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10" activeTab="21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5" r:id="rId5"/>
    <sheet name="Determination cell counts RI" sheetId="26" r:id="rId6"/>
    <sheet name="CalibrationB. hydrogenotrophica" sheetId="27" r:id="rId7"/>
    <sheet name="Determination cell counts BH" sheetId="28" r:id="rId8"/>
    <sheet name="Total cell count" sheetId="29" r:id="rId9"/>
    <sheet name="OD600nm" sheetId="4" r:id="rId10"/>
    <sheet name="CDM" sheetId="5" r:id="rId11"/>
    <sheet name="H2" sheetId="17" r:id="rId12"/>
    <sheet name="CO2" sheetId="7" r:id="rId13"/>
    <sheet name="Metabolites" sheetId="8" r:id="rId14"/>
    <sheet name="D-Fructose" sheetId="19" r:id="rId15"/>
    <sheet name="Formic acid" sheetId="18" r:id="rId16"/>
    <sheet name="Acetic acid" sheetId="15" r:id="rId17"/>
    <sheet name="Propionic acid" sheetId="20" r:id="rId18"/>
    <sheet name="Butyric acid" sheetId="21" r:id="rId19"/>
    <sheet name="Lactic acid" sheetId="14" r:id="rId20"/>
    <sheet name="Ethanol" sheetId="16" r:id="rId21"/>
    <sheet name="Graph" sheetId="13" r:id="rId22"/>
    <sheet name="Graph (2)" sheetId="24" r:id="rId23"/>
    <sheet name="Carbon recovery" sheetId="23" r:id="rId24"/>
  </sheets>
  <definedNames>
    <definedName name="_2012_05_10_FPRAU_fruc1" localSheetId="12">'CO2'!$I$5:$I$293</definedName>
    <definedName name="_2012_06_08_BIF_REC_OLI_1" localSheetId="12">'CO2'!$N$5:$N$201</definedName>
    <definedName name="_2012_06_08_BIF_REC_OLI_1" localSheetId="11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28" l="1"/>
  <c r="H65" i="28"/>
  <c r="H64" i="28"/>
  <c r="H63" i="28"/>
  <c r="H62" i="28"/>
  <c r="H61" i="28"/>
  <c r="H70" i="26"/>
  <c r="H72" i="26"/>
  <c r="H59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60" i="28"/>
  <c r="H5" i="28"/>
  <c r="B25" i="28"/>
  <c r="B24" i="28"/>
  <c r="K5" i="28"/>
  <c r="I5" i="28"/>
  <c r="L5" i="28"/>
  <c r="J5" i="28"/>
  <c r="M5" i="28"/>
  <c r="O5" i="28"/>
  <c r="S5" i="28"/>
  <c r="M6" i="29"/>
  <c r="H6" i="28"/>
  <c r="K6" i="28"/>
  <c r="I6" i="28"/>
  <c r="L6" i="28"/>
  <c r="J6" i="28"/>
  <c r="M6" i="28"/>
  <c r="O6" i="28"/>
  <c r="S6" i="28"/>
  <c r="M7" i="29"/>
  <c r="H7" i="28"/>
  <c r="K7" i="28"/>
  <c r="I7" i="28"/>
  <c r="L7" i="28"/>
  <c r="J7" i="28"/>
  <c r="M7" i="28"/>
  <c r="O7" i="28"/>
  <c r="S7" i="28"/>
  <c r="M8" i="29"/>
  <c r="H8" i="28"/>
  <c r="K8" i="28"/>
  <c r="I8" i="28"/>
  <c r="L8" i="28"/>
  <c r="J8" i="28"/>
  <c r="M8" i="28"/>
  <c r="O8" i="28"/>
  <c r="S8" i="28"/>
  <c r="M9" i="29"/>
  <c r="H9" i="28"/>
  <c r="K9" i="28"/>
  <c r="I9" i="28"/>
  <c r="L9" i="28"/>
  <c r="J9" i="28"/>
  <c r="M9" i="28"/>
  <c r="O9" i="28"/>
  <c r="S9" i="28"/>
  <c r="M10" i="29"/>
  <c r="H10" i="28"/>
  <c r="K10" i="28"/>
  <c r="I10" i="28"/>
  <c r="L10" i="28"/>
  <c r="J10" i="28"/>
  <c r="M10" i="28"/>
  <c r="O10" i="28"/>
  <c r="S10" i="28"/>
  <c r="M11" i="29"/>
  <c r="H11" i="28"/>
  <c r="K11" i="28"/>
  <c r="I11" i="28"/>
  <c r="L11" i="28"/>
  <c r="J11" i="28"/>
  <c r="M11" i="28"/>
  <c r="O11" i="28"/>
  <c r="S11" i="28"/>
  <c r="M12" i="29"/>
  <c r="H12" i="28"/>
  <c r="K12" i="28"/>
  <c r="I12" i="28"/>
  <c r="L12" i="28"/>
  <c r="J12" i="28"/>
  <c r="M12" i="28"/>
  <c r="O12" i="28"/>
  <c r="S12" i="28"/>
  <c r="M13" i="29"/>
  <c r="H13" i="28"/>
  <c r="K13" i="28"/>
  <c r="I13" i="28"/>
  <c r="L13" i="28"/>
  <c r="J13" i="28"/>
  <c r="M13" i="28"/>
  <c r="O13" i="28"/>
  <c r="S13" i="28"/>
  <c r="M14" i="29"/>
  <c r="H14" i="28"/>
  <c r="K14" i="28"/>
  <c r="I14" i="28"/>
  <c r="L14" i="28"/>
  <c r="J14" i="28"/>
  <c r="M14" i="28"/>
  <c r="O14" i="28"/>
  <c r="S14" i="28"/>
  <c r="M15" i="29"/>
  <c r="H15" i="28"/>
  <c r="K15" i="28"/>
  <c r="I15" i="28"/>
  <c r="L15" i="28"/>
  <c r="J15" i="28"/>
  <c r="M15" i="28"/>
  <c r="O15" i="28"/>
  <c r="S15" i="28"/>
  <c r="M16" i="29"/>
  <c r="H16" i="28"/>
  <c r="K16" i="28"/>
  <c r="I16" i="28"/>
  <c r="L16" i="28"/>
  <c r="J16" i="28"/>
  <c r="M16" i="28"/>
  <c r="O16" i="28"/>
  <c r="S16" i="28"/>
  <c r="M17" i="29"/>
  <c r="H17" i="28"/>
  <c r="K17" i="28"/>
  <c r="I17" i="28"/>
  <c r="L17" i="28"/>
  <c r="J17" i="28"/>
  <c r="M17" i="28"/>
  <c r="O17" i="28"/>
  <c r="S17" i="28"/>
  <c r="M18" i="29"/>
  <c r="H18" i="28"/>
  <c r="K18" i="28"/>
  <c r="I18" i="28"/>
  <c r="L18" i="28"/>
  <c r="J18" i="28"/>
  <c r="M18" i="28"/>
  <c r="O18" i="28"/>
  <c r="S18" i="28"/>
  <c r="M19" i="29"/>
  <c r="H19" i="28"/>
  <c r="K19" i="28"/>
  <c r="I19" i="28"/>
  <c r="L19" i="28"/>
  <c r="J19" i="28"/>
  <c r="M19" i="28"/>
  <c r="O19" i="28"/>
  <c r="S19" i="28"/>
  <c r="M20" i="29"/>
  <c r="H20" i="28"/>
  <c r="K20" i="28"/>
  <c r="I20" i="28"/>
  <c r="L20" i="28"/>
  <c r="J20" i="28"/>
  <c r="M20" i="28"/>
  <c r="O20" i="28"/>
  <c r="S20" i="28"/>
  <c r="M21" i="29"/>
  <c r="H4" i="28"/>
  <c r="K4" i="28"/>
  <c r="I4" i="28"/>
  <c r="L4" i="28"/>
  <c r="J4" i="28"/>
  <c r="M4" i="28"/>
  <c r="O4" i="28"/>
  <c r="S4" i="28"/>
  <c r="M5" i="29"/>
  <c r="P5" i="28"/>
  <c r="R5" i="28"/>
  <c r="L6" i="29"/>
  <c r="P6" i="28"/>
  <c r="R6" i="28"/>
  <c r="L7" i="29"/>
  <c r="P7" i="28"/>
  <c r="R7" i="28"/>
  <c r="L8" i="29"/>
  <c r="P8" i="28"/>
  <c r="R8" i="28"/>
  <c r="L9" i="29"/>
  <c r="P9" i="28"/>
  <c r="R9" i="28"/>
  <c r="L10" i="29"/>
  <c r="P10" i="28"/>
  <c r="R10" i="28"/>
  <c r="L11" i="29"/>
  <c r="P11" i="28"/>
  <c r="R11" i="28"/>
  <c r="L12" i="29"/>
  <c r="P12" i="28"/>
  <c r="R12" i="28"/>
  <c r="L13" i="29"/>
  <c r="P13" i="28"/>
  <c r="R13" i="28"/>
  <c r="L14" i="29"/>
  <c r="P14" i="28"/>
  <c r="R14" i="28"/>
  <c r="L15" i="29"/>
  <c r="P15" i="28"/>
  <c r="R15" i="28"/>
  <c r="L16" i="29"/>
  <c r="P16" i="28"/>
  <c r="R16" i="28"/>
  <c r="L17" i="29"/>
  <c r="P17" i="28"/>
  <c r="R17" i="28"/>
  <c r="L18" i="29"/>
  <c r="P18" i="28"/>
  <c r="R18" i="28"/>
  <c r="L19" i="29"/>
  <c r="P19" i="28"/>
  <c r="R19" i="28"/>
  <c r="L20" i="29"/>
  <c r="P20" i="28"/>
  <c r="R20" i="28"/>
  <c r="L21" i="29"/>
  <c r="P4" i="28"/>
  <c r="R4" i="28"/>
  <c r="L5" i="29"/>
  <c r="H5" i="26"/>
  <c r="K5" i="26"/>
  <c r="I5" i="26"/>
  <c r="L5" i="26"/>
  <c r="J5" i="26"/>
  <c r="M5" i="26"/>
  <c r="O5" i="26"/>
  <c r="S5" i="26"/>
  <c r="F6" i="29"/>
  <c r="H6" i="26"/>
  <c r="K6" i="26"/>
  <c r="I6" i="26"/>
  <c r="L6" i="26"/>
  <c r="J6" i="26"/>
  <c r="M6" i="26"/>
  <c r="O6" i="26"/>
  <c r="S6" i="26"/>
  <c r="F7" i="29"/>
  <c r="H7" i="26"/>
  <c r="K7" i="26"/>
  <c r="I7" i="26"/>
  <c r="L7" i="26"/>
  <c r="J7" i="26"/>
  <c r="M7" i="26"/>
  <c r="O7" i="26"/>
  <c r="S7" i="26"/>
  <c r="F8" i="29"/>
  <c r="H8" i="26"/>
  <c r="K8" i="26"/>
  <c r="I8" i="26"/>
  <c r="L8" i="26"/>
  <c r="J8" i="26"/>
  <c r="M8" i="26"/>
  <c r="O8" i="26"/>
  <c r="S8" i="26"/>
  <c r="F9" i="29"/>
  <c r="H9" i="26"/>
  <c r="K9" i="26"/>
  <c r="I9" i="26"/>
  <c r="L9" i="26"/>
  <c r="J9" i="26"/>
  <c r="M9" i="26"/>
  <c r="O9" i="26"/>
  <c r="S9" i="26"/>
  <c r="F10" i="29"/>
  <c r="H10" i="26"/>
  <c r="K10" i="26"/>
  <c r="I10" i="26"/>
  <c r="L10" i="26"/>
  <c r="J10" i="26"/>
  <c r="M10" i="26"/>
  <c r="O10" i="26"/>
  <c r="S10" i="26"/>
  <c r="F11" i="29"/>
  <c r="H11" i="26"/>
  <c r="K11" i="26"/>
  <c r="I11" i="26"/>
  <c r="L11" i="26"/>
  <c r="J11" i="26"/>
  <c r="M11" i="26"/>
  <c r="O11" i="26"/>
  <c r="S11" i="26"/>
  <c r="F12" i="29"/>
  <c r="H12" i="26"/>
  <c r="K12" i="26"/>
  <c r="I12" i="26"/>
  <c r="L12" i="26"/>
  <c r="J12" i="26"/>
  <c r="M12" i="26"/>
  <c r="O12" i="26"/>
  <c r="S12" i="26"/>
  <c r="F13" i="29"/>
  <c r="H13" i="26"/>
  <c r="K13" i="26"/>
  <c r="I13" i="26"/>
  <c r="L13" i="26"/>
  <c r="J13" i="26"/>
  <c r="M13" i="26"/>
  <c r="O13" i="26"/>
  <c r="S13" i="26"/>
  <c r="F14" i="29"/>
  <c r="H14" i="26"/>
  <c r="K14" i="26"/>
  <c r="I14" i="26"/>
  <c r="L14" i="26"/>
  <c r="J14" i="26"/>
  <c r="M14" i="26"/>
  <c r="O14" i="26"/>
  <c r="S14" i="26"/>
  <c r="F15" i="29"/>
  <c r="H15" i="26"/>
  <c r="K15" i="26"/>
  <c r="I15" i="26"/>
  <c r="L15" i="26"/>
  <c r="J15" i="26"/>
  <c r="M15" i="26"/>
  <c r="O15" i="26"/>
  <c r="S15" i="26"/>
  <c r="F16" i="29"/>
  <c r="H16" i="26"/>
  <c r="K16" i="26"/>
  <c r="I16" i="26"/>
  <c r="L16" i="26"/>
  <c r="J16" i="26"/>
  <c r="M16" i="26"/>
  <c r="O16" i="26"/>
  <c r="S16" i="26"/>
  <c r="F17" i="29"/>
  <c r="H17" i="26"/>
  <c r="K17" i="26"/>
  <c r="I17" i="26"/>
  <c r="L17" i="26"/>
  <c r="J17" i="26"/>
  <c r="M17" i="26"/>
  <c r="O17" i="26"/>
  <c r="S17" i="26"/>
  <c r="F18" i="29"/>
  <c r="H18" i="26"/>
  <c r="K18" i="26"/>
  <c r="I18" i="26"/>
  <c r="L18" i="26"/>
  <c r="J18" i="26"/>
  <c r="M18" i="26"/>
  <c r="O18" i="26"/>
  <c r="S18" i="26"/>
  <c r="F19" i="29"/>
  <c r="H19" i="26"/>
  <c r="K19" i="26"/>
  <c r="I19" i="26"/>
  <c r="L19" i="26"/>
  <c r="J19" i="26"/>
  <c r="M19" i="26"/>
  <c r="O19" i="26"/>
  <c r="S19" i="26"/>
  <c r="F20" i="29"/>
  <c r="H20" i="26"/>
  <c r="K20" i="26"/>
  <c r="I20" i="26"/>
  <c r="L20" i="26"/>
  <c r="J20" i="26"/>
  <c r="M20" i="26"/>
  <c r="O20" i="26"/>
  <c r="S20" i="26"/>
  <c r="F21" i="29"/>
  <c r="H4" i="26"/>
  <c r="K4" i="26"/>
  <c r="I4" i="26"/>
  <c r="L4" i="26"/>
  <c r="J4" i="26"/>
  <c r="M4" i="26"/>
  <c r="O4" i="26"/>
  <c r="S4" i="26"/>
  <c r="F5" i="29"/>
  <c r="P5" i="26"/>
  <c r="R5" i="26"/>
  <c r="E6" i="29"/>
  <c r="P6" i="26"/>
  <c r="R6" i="26"/>
  <c r="E7" i="29"/>
  <c r="P7" i="26"/>
  <c r="R7" i="26"/>
  <c r="E8" i="29"/>
  <c r="P8" i="26"/>
  <c r="R8" i="26"/>
  <c r="E9" i="29"/>
  <c r="P9" i="26"/>
  <c r="R9" i="26"/>
  <c r="E10" i="29"/>
  <c r="P10" i="26"/>
  <c r="R10" i="26"/>
  <c r="E11" i="29"/>
  <c r="P11" i="26"/>
  <c r="R11" i="26"/>
  <c r="E12" i="29"/>
  <c r="P12" i="26"/>
  <c r="R12" i="26"/>
  <c r="E13" i="29"/>
  <c r="P13" i="26"/>
  <c r="R13" i="26"/>
  <c r="E14" i="29"/>
  <c r="P14" i="26"/>
  <c r="R14" i="26"/>
  <c r="E15" i="29"/>
  <c r="P15" i="26"/>
  <c r="R15" i="26"/>
  <c r="E16" i="29"/>
  <c r="P16" i="26"/>
  <c r="R16" i="26"/>
  <c r="E17" i="29"/>
  <c r="P17" i="26"/>
  <c r="R17" i="26"/>
  <c r="E18" i="29"/>
  <c r="P18" i="26"/>
  <c r="R18" i="26"/>
  <c r="E19" i="29"/>
  <c r="P19" i="26"/>
  <c r="R19" i="26"/>
  <c r="E20" i="29"/>
  <c r="P20" i="26"/>
  <c r="R20" i="26"/>
  <c r="E21" i="29"/>
  <c r="P4" i="26"/>
  <c r="R4" i="26"/>
  <c r="E5" i="29"/>
  <c r="H69" i="26"/>
  <c r="H68" i="26"/>
  <c r="H67" i="26"/>
  <c r="H66" i="26"/>
  <c r="H65" i="26"/>
  <c r="H64" i="26"/>
  <c r="H63" i="26"/>
  <c r="H62" i="26"/>
  <c r="H61" i="26"/>
  <c r="H60" i="26"/>
  <c r="H43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B25" i="26"/>
  <c r="B2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5" i="29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P21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K21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D21" i="29"/>
  <c r="P20" i="29"/>
  <c r="K20" i="29"/>
  <c r="D20" i="29"/>
  <c r="P19" i="29"/>
  <c r="K19" i="29"/>
  <c r="D19" i="29"/>
  <c r="P18" i="29"/>
  <c r="K18" i="29"/>
  <c r="D18" i="29"/>
  <c r="P17" i="29"/>
  <c r="K17" i="29"/>
  <c r="D17" i="29"/>
  <c r="P16" i="29"/>
  <c r="K16" i="29"/>
  <c r="D16" i="29"/>
  <c r="P15" i="29"/>
  <c r="K15" i="29"/>
  <c r="D15" i="29"/>
  <c r="P14" i="29"/>
  <c r="K14" i="29"/>
  <c r="D14" i="29"/>
  <c r="P13" i="29"/>
  <c r="K13" i="29"/>
  <c r="D13" i="29"/>
  <c r="P12" i="29"/>
  <c r="K12" i="29"/>
  <c r="D12" i="29"/>
  <c r="P11" i="29"/>
  <c r="K11" i="29"/>
  <c r="D11" i="29"/>
  <c r="P10" i="29"/>
  <c r="K10" i="29"/>
  <c r="D10" i="29"/>
  <c r="P9" i="29"/>
  <c r="K9" i="29"/>
  <c r="D9" i="29"/>
  <c r="P8" i="29"/>
  <c r="K8" i="29"/>
  <c r="D8" i="29"/>
  <c r="P7" i="29"/>
  <c r="K7" i="29"/>
  <c r="D7" i="29"/>
  <c r="P6" i="29"/>
  <c r="K6" i="29"/>
  <c r="D6" i="29"/>
  <c r="P5" i="29"/>
  <c r="K5" i="29"/>
  <c r="D5" i="29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D48" i="27"/>
  <c r="F40" i="27"/>
  <c r="G38" i="27"/>
  <c r="H38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O8" i="27"/>
  <c r="K8" i="27"/>
  <c r="G8" i="27"/>
  <c r="P8" i="27"/>
  <c r="R8" i="27"/>
  <c r="Q8" i="27"/>
  <c r="O7" i="27"/>
  <c r="K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N4" i="26"/>
  <c r="D48" i="25"/>
  <c r="F40" i="25"/>
  <c r="G38" i="25"/>
  <c r="H38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O8" i="25"/>
  <c r="K8" i="25"/>
  <c r="G8" i="25"/>
  <c r="P8" i="25"/>
  <c r="R8" i="25"/>
  <c r="Q8" i="25"/>
  <c r="O7" i="25"/>
  <c r="K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H4" i="8"/>
  <c r="H20" i="8"/>
  <c r="B2" i="23"/>
  <c r="L41" i="8"/>
  <c r="L25" i="8"/>
  <c r="B6" i="23"/>
  <c r="P20" i="8"/>
  <c r="P4" i="8"/>
  <c r="B3" i="23"/>
  <c r="L20" i="8"/>
  <c r="L4" i="8"/>
  <c r="B5" i="23"/>
  <c r="B12" i="23"/>
  <c r="B4" i="23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4" i="22"/>
  <c r="B8" i="23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F8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F5" i="1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T20" i="8"/>
  <c r="T4" i="8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C5" i="17"/>
  <c r="D5" i="17"/>
  <c r="E5" i="17"/>
  <c r="G5" i="17"/>
  <c r="C6" i="17"/>
  <c r="D6" i="17"/>
  <c r="E6" i="17"/>
  <c r="C7" i="17"/>
  <c r="D7" i="17"/>
  <c r="E7" i="17"/>
  <c r="C8" i="17"/>
  <c r="D8" i="17"/>
  <c r="E8" i="17"/>
  <c r="C9" i="17"/>
  <c r="D9" i="17"/>
  <c r="E9" i="17"/>
  <c r="C10" i="17"/>
  <c r="D10" i="17"/>
  <c r="E10" i="17"/>
  <c r="C11" i="17"/>
  <c r="D11" i="17"/>
  <c r="E11" i="17"/>
  <c r="C12" i="17"/>
  <c r="D12" i="17"/>
  <c r="E12" i="17"/>
  <c r="C13" i="17"/>
  <c r="D13" i="17"/>
  <c r="E13" i="17"/>
  <c r="C14" i="17"/>
  <c r="D14" i="17"/>
  <c r="E14" i="17"/>
  <c r="C15" i="17"/>
  <c r="D15" i="17"/>
  <c r="E15" i="17"/>
  <c r="C16" i="17"/>
  <c r="D16" i="17"/>
  <c r="E16" i="17"/>
  <c r="C17" i="17"/>
  <c r="D17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2" i="17"/>
  <c r="D22" i="17"/>
  <c r="E22" i="17"/>
  <c r="C23" i="17"/>
  <c r="D23" i="17"/>
  <c r="E23" i="17"/>
  <c r="C24" i="17"/>
  <c r="D24" i="17"/>
  <c r="E24" i="17"/>
  <c r="C25" i="17"/>
  <c r="D25" i="17"/>
  <c r="E25" i="17"/>
  <c r="C26" i="17"/>
  <c r="D26" i="17"/>
  <c r="E26" i="17"/>
  <c r="C27" i="17"/>
  <c r="D27" i="17"/>
  <c r="E27" i="17"/>
  <c r="C28" i="17"/>
  <c r="D28" i="17"/>
  <c r="E28" i="17"/>
  <c r="C29" i="17"/>
  <c r="D29" i="17"/>
  <c r="E29" i="17"/>
  <c r="C30" i="17"/>
  <c r="D30" i="17"/>
  <c r="E30" i="17"/>
  <c r="C31" i="17"/>
  <c r="D31" i="17"/>
  <c r="E31" i="17"/>
  <c r="C32" i="17"/>
  <c r="D32" i="17"/>
  <c r="E32" i="17"/>
  <c r="C33" i="17"/>
  <c r="D33" i="17"/>
  <c r="E33" i="17"/>
  <c r="C34" i="17"/>
  <c r="D34" i="17"/>
  <c r="E34" i="17"/>
  <c r="C35" i="17"/>
  <c r="D35" i="17"/>
  <c r="E35" i="17"/>
  <c r="C36" i="17"/>
  <c r="D36" i="17"/>
  <c r="E36" i="17"/>
  <c r="C37" i="17"/>
  <c r="D37" i="17"/>
  <c r="E37" i="17"/>
  <c r="C38" i="17"/>
  <c r="D38" i="17"/>
  <c r="E38" i="17"/>
  <c r="C39" i="17"/>
  <c r="D39" i="17"/>
  <c r="E39" i="17"/>
  <c r="C40" i="17"/>
  <c r="D40" i="17"/>
  <c r="E40" i="17"/>
  <c r="C41" i="17"/>
  <c r="D41" i="17"/>
  <c r="E41" i="17"/>
  <c r="C42" i="17"/>
  <c r="D42" i="17"/>
  <c r="E42" i="17"/>
  <c r="C43" i="17"/>
  <c r="D43" i="17"/>
  <c r="E43" i="17"/>
  <c r="C44" i="17"/>
  <c r="D44" i="17"/>
  <c r="E44" i="17"/>
  <c r="C45" i="17"/>
  <c r="D45" i="17"/>
  <c r="E45" i="17"/>
  <c r="C46" i="17"/>
  <c r="D46" i="17"/>
  <c r="E46" i="17"/>
  <c r="C47" i="17"/>
  <c r="D47" i="17"/>
  <c r="E47" i="17"/>
  <c r="C48" i="17"/>
  <c r="D48" i="17"/>
  <c r="E48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C53" i="17"/>
  <c r="D53" i="17"/>
  <c r="E53" i="17"/>
  <c r="C54" i="17"/>
  <c r="D54" i="17"/>
  <c r="E54" i="17"/>
  <c r="C55" i="17"/>
  <c r="D55" i="17"/>
  <c r="E55" i="17"/>
  <c r="C56" i="17"/>
  <c r="D56" i="17"/>
  <c r="E56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C63" i="17"/>
  <c r="D63" i="17"/>
  <c r="E63" i="17"/>
  <c r="C64" i="17"/>
  <c r="D64" i="17"/>
  <c r="E64" i="17"/>
  <c r="C65" i="17"/>
  <c r="D65" i="17"/>
  <c r="E65" i="17"/>
  <c r="C66" i="17"/>
  <c r="D66" i="17"/>
  <c r="E66" i="17"/>
  <c r="C67" i="17"/>
  <c r="D67" i="17"/>
  <c r="E67" i="17"/>
  <c r="C68" i="17"/>
  <c r="D68" i="17"/>
  <c r="E68" i="17"/>
  <c r="C69" i="17"/>
  <c r="D69" i="17"/>
  <c r="E69" i="17"/>
  <c r="C70" i="17"/>
  <c r="D70" i="17"/>
  <c r="E70" i="17"/>
  <c r="C71" i="17"/>
  <c r="D71" i="17"/>
  <c r="E71" i="17"/>
  <c r="C72" i="17"/>
  <c r="D72" i="17"/>
  <c r="E72" i="17"/>
  <c r="C73" i="17"/>
  <c r="D73" i="17"/>
  <c r="E73" i="17"/>
  <c r="C74" i="17"/>
  <c r="D74" i="17"/>
  <c r="E74" i="17"/>
  <c r="C75" i="17"/>
  <c r="D75" i="17"/>
  <c r="E75" i="17"/>
  <c r="C76" i="17"/>
  <c r="D76" i="17"/>
  <c r="E76" i="17"/>
  <c r="C77" i="17"/>
  <c r="D77" i="17"/>
  <c r="E77" i="17"/>
  <c r="C78" i="17"/>
  <c r="D78" i="17"/>
  <c r="E78" i="17"/>
  <c r="C79" i="17"/>
  <c r="D79" i="17"/>
  <c r="E79" i="17"/>
  <c r="C80" i="17"/>
  <c r="D80" i="17"/>
  <c r="E80" i="17"/>
  <c r="C81" i="17"/>
  <c r="D81" i="17"/>
  <c r="E81" i="17"/>
  <c r="C82" i="17"/>
  <c r="D82" i="17"/>
  <c r="E82" i="17"/>
  <c r="C83" i="17"/>
  <c r="D83" i="17"/>
  <c r="E83" i="17"/>
  <c r="C84" i="17"/>
  <c r="D84" i="17"/>
  <c r="E84" i="17"/>
  <c r="C85" i="17"/>
  <c r="D85" i="17"/>
  <c r="E85" i="17"/>
  <c r="C86" i="17"/>
  <c r="D86" i="17"/>
  <c r="E86" i="17"/>
  <c r="C87" i="17"/>
  <c r="D87" i="17"/>
  <c r="E87" i="17"/>
  <c r="C88" i="17"/>
  <c r="D88" i="17"/>
  <c r="E88" i="17"/>
  <c r="C89" i="17"/>
  <c r="D89" i="17"/>
  <c r="E89" i="17"/>
  <c r="C90" i="17"/>
  <c r="D90" i="17"/>
  <c r="E90" i="17"/>
  <c r="C91" i="17"/>
  <c r="D91" i="17"/>
  <c r="E91" i="17"/>
  <c r="C92" i="17"/>
  <c r="D92" i="17"/>
  <c r="E92" i="17"/>
  <c r="C93" i="17"/>
  <c r="D93" i="17"/>
  <c r="E93" i="17"/>
  <c r="C94" i="17"/>
  <c r="D94" i="17"/>
  <c r="E94" i="17"/>
  <c r="C95" i="17"/>
  <c r="D95" i="17"/>
  <c r="E95" i="17"/>
  <c r="C96" i="17"/>
  <c r="D96" i="17"/>
  <c r="E96" i="17"/>
  <c r="C97" i="17"/>
  <c r="D97" i="17"/>
  <c r="E97" i="17"/>
  <c r="C98" i="17"/>
  <c r="D98" i="17"/>
  <c r="E98" i="17"/>
  <c r="C99" i="17"/>
  <c r="D99" i="17"/>
  <c r="E99" i="17"/>
  <c r="C100" i="17"/>
  <c r="D100" i="17"/>
  <c r="E100" i="17"/>
  <c r="C101" i="17"/>
  <c r="D101" i="17"/>
  <c r="E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5" i="22"/>
  <c r="U5" i="22"/>
  <c r="L5" i="22"/>
  <c r="V5" i="22"/>
  <c r="P5" i="22"/>
  <c r="X5" i="22"/>
  <c r="H6" i="22"/>
  <c r="U6" i="22"/>
  <c r="L6" i="22"/>
  <c r="V6" i="22"/>
  <c r="P6" i="22"/>
  <c r="X6" i="22"/>
  <c r="H7" i="22"/>
  <c r="U7" i="22"/>
  <c r="L7" i="22"/>
  <c r="V7" i="22"/>
  <c r="P7" i="22"/>
  <c r="X7" i="22"/>
  <c r="H8" i="22"/>
  <c r="U8" i="22"/>
  <c r="L8" i="22"/>
  <c r="V8" i="22"/>
  <c r="P8" i="22"/>
  <c r="X8" i="22"/>
  <c r="H9" i="22"/>
  <c r="U9" i="22"/>
  <c r="L9" i="22"/>
  <c r="V9" i="22"/>
  <c r="P9" i="22"/>
  <c r="X9" i="22"/>
  <c r="H10" i="22"/>
  <c r="U10" i="22"/>
  <c r="L10" i="22"/>
  <c r="V10" i="22"/>
  <c r="P10" i="22"/>
  <c r="X10" i="22"/>
  <c r="H11" i="22"/>
  <c r="U11" i="22"/>
  <c r="L11" i="22"/>
  <c r="V11" i="22"/>
  <c r="P11" i="22"/>
  <c r="X11" i="22"/>
  <c r="H12" i="22"/>
  <c r="U12" i="22"/>
  <c r="L12" i="22"/>
  <c r="V12" i="22"/>
  <c r="P12" i="22"/>
  <c r="X12" i="22"/>
  <c r="H13" i="22"/>
  <c r="U13" i="22"/>
  <c r="L13" i="22"/>
  <c r="V13" i="22"/>
  <c r="P13" i="22"/>
  <c r="X13" i="22"/>
  <c r="H14" i="22"/>
  <c r="U14" i="22"/>
  <c r="L14" i="22"/>
  <c r="V14" i="22"/>
  <c r="P14" i="22"/>
  <c r="X14" i="22"/>
  <c r="H15" i="22"/>
  <c r="U15" i="22"/>
  <c r="L15" i="22"/>
  <c r="V15" i="22"/>
  <c r="P15" i="22"/>
  <c r="X15" i="22"/>
  <c r="H16" i="22"/>
  <c r="U16" i="22"/>
  <c r="L16" i="22"/>
  <c r="V16" i="22"/>
  <c r="P16" i="22"/>
  <c r="X16" i="22"/>
  <c r="H17" i="22"/>
  <c r="U17" i="22"/>
  <c r="L17" i="22"/>
  <c r="V17" i="22"/>
  <c r="P17" i="22"/>
  <c r="X17" i="22"/>
  <c r="H18" i="22"/>
  <c r="U18" i="22"/>
  <c r="L18" i="22"/>
  <c r="V18" i="22"/>
  <c r="P18" i="22"/>
  <c r="X18" i="22"/>
  <c r="H19" i="22"/>
  <c r="U19" i="22"/>
  <c r="L19" i="22"/>
  <c r="V19" i="22"/>
  <c r="P19" i="22"/>
  <c r="X19" i="22"/>
  <c r="H20" i="22"/>
  <c r="U20" i="22"/>
  <c r="L20" i="22"/>
  <c r="V20" i="22"/>
  <c r="P20" i="22"/>
  <c r="X20" i="22"/>
  <c r="H4" i="22"/>
  <c r="U4" i="22"/>
  <c r="L4" i="22"/>
  <c r="V4" i="22"/>
  <c r="P4" i="22"/>
  <c r="X4" i="22"/>
  <c r="R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J20" i="2"/>
  <c r="K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3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19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<sst xmlns="http://schemas.openxmlformats.org/spreadsheetml/2006/main" count="766" uniqueCount="326">
  <si>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</si>
  <si>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</si>
  <si>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</si>
  <si>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</si>
  <si>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</si>
  <si>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</si>
  <si>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</si>
  <si>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</si>
  <si>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</si>
  <si>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</si>
  <si>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</si>
  <si>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</si>
  <si>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</si>
  <si>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</si>
  <si>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</si>
  <si>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</si>
  <si>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</si>
  <si>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</si>
  <si>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</si>
  <si>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</si>
  <si>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</si>
  <si>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</si>
  <si>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</si>
  <si>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</si>
  <si>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</si>
  <si>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</si>
  <si>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</si>
  <si>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</si>
  <si>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</si>
  <si>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</si>
  <si>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</si>
  <si>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</si>
  <si>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</si>
  <si>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</si>
  <si>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</si>
  <si>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</si>
  <si>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</si>
  <si>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</si>
  <si>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</si>
  <si>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</si>
  <si>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</si>
  <si>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</si>
  <si>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</si>
  <si>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</si>
  <si>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</si>
  <si>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</si>
  <si>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</si>
  <si>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</si>
  <si>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</si>
  <si>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</si>
  <si>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</si>
  <si>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</si>
  <si>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</si>
  <si>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</si>
  <si>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</si>
  <si>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</si>
  <si>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</si>
  <si>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</si>
  <si>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</si>
  <si>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</si>
  <si>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</si>
  <si>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</si>
  <si>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</si>
  <si>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</si>
  <si>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</si>
  <si>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</si>
  <si>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</si>
  <si>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</si>
  <si>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</si>
  <si>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</si>
  <si>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</si>
  <si>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</si>
  <si>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</si>
  <si>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</si>
  <si>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</si>
  <si>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</si>
  <si>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</si>
  <si>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</si>
  <si>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</si>
  <si>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</si>
  <si>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</si>
  <si>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</si>
  <si>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</si>
  <si>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</si>
  <si>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</si>
  <si>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</si>
  <si>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</si>
  <si>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</si>
  <si>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</si>
  <si>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</si>
  <si>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</si>
  <si>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</si>
  <si>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</si>
  <si>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</si>
  <si>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</si>
  <si>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</si>
  <si>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</si>
  <si>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</si>
  <si>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</si>
  <si>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</si>
  <si>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</si>
  <si>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</si>
  <si>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</si>
  <si>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</si>
  <si>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</si>
  <si>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</si>
  <si>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</si>
  <si>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</si>
  <si>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</si>
  <si>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</si>
  <si>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</si>
  <si>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</si>
  <si>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</si>
  <si>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</si>
  <si>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</si>
  <si>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</si>
  <si>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</si>
  <si>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</si>
  <si>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</si>
  <si>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</si>
  <si>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</si>
  <si>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</si>
  <si>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</si>
  <si>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</si>
  <si>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</si>
  <si>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</si>
  <si>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</si>
  <si>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</si>
  <si>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</si>
  <si>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</si>
  <si>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</si>
  <si>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</si>
  <si>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</si>
  <si>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</si>
  <si>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</si>
  <si>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</si>
  <si>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</si>
  <si>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</si>
  <si>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</si>
  <si>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</si>
  <si>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</si>
  <si>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</si>
  <si>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</si>
  <si>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</si>
  <si>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</si>
  <si>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</si>
  <si>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</si>
  <si>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Blautia hydrogenotrophica DSM 10507</t>
    </r>
    <r>
      <rPr>
        <vertAlign val="superscript"/>
        <sz val="11"/>
        <color theme="1"/>
        <rFont val="Calibri"/>
        <family val="2"/>
        <scheme val="minor"/>
      </rPr>
      <t>T</t>
    </r>
  </si>
  <si>
    <t>0.40</t>
  </si>
  <si>
    <t>0.20</t>
  </si>
  <si>
    <t xml:space="preserve">2x-z-y </t>
  </si>
  <si>
    <t>2x-z-y</t>
  </si>
  <si>
    <t>2x-z-y-f</t>
  </si>
  <si>
    <t>2x-z</t>
  </si>
  <si>
    <t>Na-acetate trihydrate (0 mM)</t>
  </si>
  <si>
    <t>0.00</t>
  </si>
  <si>
    <t>2x moles pyruvate produced</t>
  </si>
  <si>
    <t>z moles lactate produced</t>
  </si>
  <si>
    <t>f moles formate produced</t>
  </si>
  <si>
    <t>2x-z-y-f moles H2</t>
  </si>
  <si>
    <t>2x-z-f moles CO2 produced</t>
  </si>
  <si>
    <t>y moles acetate consumed</t>
  </si>
  <si>
    <t>2x-z+y moles acetyl-CoA produced</t>
  </si>
  <si>
    <t>(2x-2+y)/2 moles butyrate produced</t>
  </si>
  <si>
    <t>x moles D-fructose consumed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</si>
  <si>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</si>
  <si>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</si>
  <si>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</si>
  <si>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</si>
  <si>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</si>
  <si>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</si>
  <si>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</si>
  <si>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</si>
  <si>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</si>
  <si>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</si>
  <si>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</si>
  <si>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</si>
  <si>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</si>
  <si>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</si>
  <si>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</si>
  <si>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</si>
  <si>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</si>
  <si>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</si>
  <si>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Acetic acid produced</t>
  </si>
  <si>
    <t>Formic acid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</si>
  <si>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</si>
  <si>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</si>
  <si>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</si>
  <si>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</si>
  <si>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</si>
  <si>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</si>
  <si>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</si>
  <si>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</si>
  <si>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</si>
  <si>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</si>
  <si>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</si>
  <si>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</si>
  <si>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</si>
  <si>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</si>
  <si>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</si>
  <si>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</si>
  <si>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</si>
  <si>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</si>
  <si>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</si>
  <si>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</si>
  <si>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</si>
  <si>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</si>
  <si>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</si>
  <si>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</si>
  <si>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</si>
  <si>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</si>
  <si>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</si>
  <si>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</si>
  <si>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</si>
  <si>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</si>
  <si>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</si>
  <si>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</si>
  <si>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</si>
  <si>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</si>
  <si>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</si>
  <si>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</si>
  <si>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</si>
  <si>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</si>
  <si>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</si>
  <si>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</si>
  <si>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</si>
  <si>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</si>
  <si>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</si>
  <si>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</si>
  <si>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</si>
  <si>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</si>
  <si>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</si>
  <si>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</si>
  <si>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</si>
  <si>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</si>
  <si>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</si>
  <si>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</si>
  <si>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</si>
  <si>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</si>
  <si>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</si>
  <si>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</si>
  <si>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</si>
  <si>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</si>
  <si>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</si>
  <si>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</si>
  <si>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</si>
  <si>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</si>
  <si>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</si>
  <si>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</si>
  <si>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IPC value epp 7</t>
  </si>
  <si>
    <t>plate 20150807</t>
  </si>
  <si>
    <t>plate 20150831</t>
  </si>
  <si>
    <t>plate 20150902</t>
  </si>
  <si>
    <t>Total average</t>
  </si>
  <si>
    <t>Outliers</t>
  </si>
  <si>
    <t>CT1 normalized per mL</t>
  </si>
  <si>
    <t>CT2 normalized per mL</t>
  </si>
  <si>
    <t>CT3 normalized per mL</t>
  </si>
  <si>
    <t>Average CT normalized per mL</t>
  </si>
  <si>
    <t>IPC BH10 epp</t>
  </si>
  <si>
    <t>Ct Threshold</t>
  </si>
  <si>
    <t>baseline</t>
  </si>
  <si>
    <t>Taqman probe BH4O</t>
  </si>
  <si>
    <t>B. hydrogenotrophica</t>
  </si>
  <si>
    <t>STDV  (cells/ml medium)</t>
  </si>
  <si>
    <t xml:space="preserve">Dilution per ml </t>
  </si>
  <si>
    <t>IPC value  epp 10 plate  20150724</t>
  </si>
  <si>
    <t>IPC value  epp 10 plate  20150821</t>
  </si>
  <si>
    <t>IPC value  epp 9 plate  20150901</t>
  </si>
  <si>
    <t>IPC value  epp 9 plate  20150902</t>
  </si>
  <si>
    <t>IPC value  epp 8 plate  20150902</t>
  </si>
  <si>
    <t xml:space="preserve">Total cell count </t>
  </si>
  <si>
    <t>IPC value epp 6</t>
  </si>
  <si>
    <t>plate 20150903</t>
  </si>
  <si>
    <t>IPC value  epp 8 plate  20150903</t>
  </si>
  <si>
    <t>plate 20150908</t>
  </si>
  <si>
    <t>plate 20150910</t>
  </si>
  <si>
    <t>plate 20150911</t>
  </si>
  <si>
    <t>IPC value epp 5</t>
  </si>
  <si>
    <t>plate 20150922</t>
  </si>
  <si>
    <t>plate 20151007</t>
  </si>
  <si>
    <t>plate 20151009</t>
  </si>
  <si>
    <t>plate 20151013</t>
  </si>
  <si>
    <t>IPC value epp 4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</si>
  <si>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</si>
  <si>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</si>
  <si>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</si>
  <si>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</si>
  <si>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</si>
  <si>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</si>
  <si>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</si>
  <si>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</si>
  <si>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IPC value  epp 8 plate  20150907</t>
  </si>
  <si>
    <t>IPC value  epp 8 plate  20150908</t>
  </si>
  <si>
    <t>IPC value  epp 7 plate  20150910</t>
  </si>
  <si>
    <t>IPC value  epp 7 plate  20150914</t>
  </si>
  <si>
    <t>IPC value  epp 6 plate  20150910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</si>
  <si>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</si>
  <si>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</si>
  <si>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</si>
  <si>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</si>
  <si>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</si>
  <si>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</si>
  <si>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</si>
  <si>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</si>
  <si>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</si>
  <si>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</si>
  <si>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plate 20160222</t>
  </si>
  <si>
    <t>plate 20160223</t>
  </si>
  <si>
    <t>IPC value epp 1</t>
  </si>
  <si>
    <t>plate 20160225</t>
  </si>
  <si>
    <t>plate 20160308</t>
  </si>
  <si>
    <t>plate 20160310</t>
  </si>
  <si>
    <t>plate 20160311</t>
  </si>
  <si>
    <t>plate 20160318</t>
  </si>
  <si>
    <t>IPC value  epp 3 plate  20160222</t>
  </si>
  <si>
    <t>IPC value  epp 2 plate  20160223</t>
  </si>
  <si>
    <t>IPC value  epp 2 plate  20160224</t>
  </si>
  <si>
    <t>IPC value  epp 2 plate  20160308</t>
  </si>
  <si>
    <t>IPC value  epp 2 plate  20160310</t>
  </si>
  <si>
    <t>plate 20160405</t>
  </si>
  <si>
    <t>IPC value  epp 1 plate  20160325</t>
  </si>
  <si>
    <t>IPC value  epp 1 plate  20160405</t>
  </si>
  <si>
    <t>IPC value  epp 9 plate  20160411</t>
  </si>
  <si>
    <t>IPC value  epp 2 plate  20160311</t>
  </si>
  <si>
    <t>IPC value  epp 1 plate  20160318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</si>
</sst>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66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18" fillId="0" borderId="0" xfId="0" applyNumberFormat="1" applyFont="1"/>
    <xf numFmtId="165" fontId="26" fillId="0" borderId="0" xfId="0" applyNumberFormat="1" applyFont="1"/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27" fillId="2" borderId="4" xfId="349" applyFill="1" applyBorder="1" applyAlignment="1">
      <alignment horizontal="center" vertical="center"/>
    </xf>
    <xf numFmtId="0" fontId="27" fillId="0" borderId="0" xfId="349"/>
    <xf numFmtId="0" fontId="27" fillId="2" borderId="16" xfId="349" applyFill="1" applyBorder="1" applyAlignment="1">
      <alignment horizontal="center" vertical="center"/>
    </xf>
    <xf numFmtId="0" fontId="27" fillId="2" borderId="3" xfId="349" applyFill="1" applyBorder="1" applyAlignment="1">
      <alignment horizontal="center" vertical="center"/>
    </xf>
    <xf numFmtId="0" fontId="27" fillId="0" borderId="3" xfId="349" applyFill="1" applyBorder="1" applyAlignment="1">
      <alignment horizontal="center" vertical="center"/>
    </xf>
    <xf numFmtId="0" fontId="27" fillId="0" borderId="16" xfId="349" applyFill="1" applyBorder="1" applyAlignment="1">
      <alignment horizontal="center" vertical="center"/>
    </xf>
    <xf numFmtId="11" fontId="27" fillId="0" borderId="16" xfId="349" applyNumberFormat="1" applyFill="1" applyBorder="1" applyAlignment="1">
      <alignment horizontal="center" vertical="center"/>
    </xf>
    <xf numFmtId="0" fontId="0" fillId="0" borderId="16" xfId="349" applyFont="1" applyBorder="1" applyAlignment="1">
      <alignment horizontal="center" vertical="center"/>
    </xf>
    <xf numFmtId="0" fontId="27" fillId="0" borderId="16" xfId="349" applyBorder="1" applyAlignment="1">
      <alignment horizontal="center" vertical="center"/>
    </xf>
    <xf numFmtId="11" fontId="27" fillId="0" borderId="16" xfId="349" applyNumberFormat="1" applyBorder="1" applyAlignment="1">
      <alignment horizontal="center" vertical="center"/>
    </xf>
    <xf numFmtId="2" fontId="27" fillId="0" borderId="16" xfId="349" applyNumberFormat="1" applyBorder="1" applyAlignment="1">
      <alignment horizontal="center" vertical="center"/>
    </xf>
    <xf numFmtId="0" fontId="27" fillId="2" borderId="21" xfId="349" applyFill="1" applyBorder="1" applyAlignment="1">
      <alignment wrapText="1"/>
    </xf>
    <xf numFmtId="0" fontId="0" fillId="2" borderId="21" xfId="349" applyFont="1" applyFill="1" applyBorder="1" applyAlignment="1">
      <alignment wrapText="1"/>
    </xf>
    <xf numFmtId="0" fontId="0" fillId="2" borderId="21" xfId="349" applyFont="1" applyFill="1" applyBorder="1" applyAlignment="1">
      <alignment horizontal="center" vertical="center" wrapText="1"/>
    </xf>
    <xf numFmtId="0" fontId="0" fillId="0" borderId="0" xfId="349" applyFont="1"/>
    <xf numFmtId="165" fontId="27" fillId="0" borderId="16" xfId="349" applyNumberFormat="1" applyBorder="1" applyAlignment="1">
      <alignment horizontal="center" vertical="center"/>
    </xf>
    <xf numFmtId="0" fontId="27" fillId="0" borderId="16" xfId="349" applyBorder="1"/>
    <xf numFmtId="0" fontId="27" fillId="0" borderId="0" xfId="349" applyFont="1"/>
    <xf numFmtId="0" fontId="27" fillId="2" borderId="16" xfId="349" applyFill="1" applyBorder="1"/>
    <xf numFmtId="0" fontId="28" fillId="12" borderId="0" xfId="349" applyFont="1" applyFill="1"/>
    <xf numFmtId="1" fontId="0" fillId="0" borderId="16" xfId="0" applyNumberFormat="1" applyBorder="1" applyAlignment="1">
      <alignment horizontal="center" vertical="center"/>
    </xf>
    <xf numFmtId="165" fontId="27" fillId="0" borderId="16" xfId="349" applyNumberFormat="1" applyBorder="1"/>
    <xf numFmtId="2" fontId="27" fillId="0" borderId="16" xfId="349" applyNumberFormat="1" applyBorder="1"/>
    <xf numFmtId="1" fontId="27" fillId="0" borderId="16" xfId="349" applyNumberFormat="1" applyBorder="1"/>
    <xf numFmtId="165" fontId="0" fillId="0" borderId="16" xfId="349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6" xfId="349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7" fillId="0" borderId="0" xfId="349" applyNumberFormat="1"/>
    <xf numFmtId="1" fontId="27" fillId="0" borderId="0" xfId="349" applyNumberFormat="1"/>
    <xf numFmtId="0" fontId="29" fillId="2" borderId="0" xfId="349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65" fontId="27" fillId="0" borderId="0" xfId="349" applyNumberFormat="1" applyBorder="1" applyAlignment="1">
      <alignment horizontal="center" vertical="center"/>
    </xf>
    <xf numFmtId="165" fontId="27" fillId="0" borderId="0" xfId="349" applyNumberFormat="1" applyBorder="1"/>
    <xf numFmtId="2" fontId="27" fillId="0" borderId="0" xfId="349" applyNumberFormat="1" applyBorder="1"/>
    <xf numFmtId="1" fontId="27" fillId="0" borderId="0" xfId="349" applyNumberFormat="1" applyBorder="1"/>
    <xf numFmtId="1" fontId="0" fillId="0" borderId="0" xfId="0" applyNumberFormat="1"/>
    <xf numFmtId="2" fontId="0" fillId="0" borderId="0" xfId="0" applyNumberForma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7" fillId="0" borderId="17" xfId="349" applyNumberFormat="1" applyFill="1" applyBorder="1" applyAlignment="1">
      <alignment horizontal="center" vertical="center"/>
    </xf>
    <xf numFmtId="0" fontId="27" fillId="0" borderId="5" xfId="349" applyNumberFormat="1" applyFill="1" applyBorder="1" applyAlignment="1">
      <alignment horizontal="center" vertical="center"/>
    </xf>
    <xf numFmtId="0" fontId="27" fillId="0" borderId="18" xfId="349" applyNumberFormat="1" applyFill="1" applyBorder="1" applyAlignment="1">
      <alignment horizontal="center" vertical="center"/>
    </xf>
    <xf numFmtId="0" fontId="27" fillId="2" borderId="4" xfId="349" applyFill="1" applyBorder="1" applyAlignment="1">
      <alignment horizontal="center" vertical="center"/>
    </xf>
    <xf numFmtId="0" fontId="27" fillId="2" borderId="3" xfId="349" applyFill="1" applyBorder="1" applyAlignment="1">
      <alignment horizontal="center" vertical="center"/>
    </xf>
    <xf numFmtId="0" fontId="0" fillId="2" borderId="4" xfId="349" applyFont="1" applyFill="1" applyBorder="1" applyAlignment="1">
      <alignment horizontal="center" vertical="center"/>
    </xf>
    <xf numFmtId="0" fontId="27" fillId="2" borderId="16" xfId="349" applyFill="1" applyBorder="1" applyAlignment="1">
      <alignment horizontal="center" vertical="center"/>
    </xf>
    <xf numFmtId="0" fontId="21" fillId="0" borderId="23" xfId="349" applyFont="1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0" fillId="0" borderId="24" xfId="349" applyFont="1" applyBorder="1" applyAlignment="1">
      <alignment horizontal="center"/>
    </xf>
    <xf numFmtId="0" fontId="27" fillId="0" borderId="24" xfId="349" applyBorder="1" applyAlignment="1">
      <alignment horizontal="center"/>
    </xf>
    <xf numFmtId="0" fontId="0" fillId="2" borderId="3" xfId="349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349" applyFont="1" applyFill="1"/>
  </cellXfs>
  <cellStyles count="366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Input" xfId="10"/>
    <cellStyle name="Linked Cell" xfId="11"/>
    <cellStyle name="Neutral" xfId="12"/>
    <cellStyle name="Normal" xfId="0" builtinId="0"/>
    <cellStyle name="Normal 2" xfId="349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chartsheet" Target="chartsheets/sheet2.xml"/><Relationship Id="rId24" Type="http://schemas.openxmlformats.org/officeDocument/2006/relationships/worksheet" Target="worksheets/sheet22.xml"/><Relationship Id="rId25" Type="http://schemas.openxmlformats.org/officeDocument/2006/relationships/theme" Target="theme/theme1.xml"/><Relationship Id="rId26" Type="http://schemas.openxmlformats.org/officeDocument/2006/relationships/connections" Target="connections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21496"/>
        <c:axId val="2073218200"/>
      </c:scatterChart>
      <c:valAx>
        <c:axId val="-2079921496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73218200"/>
        <c:crosses val="autoZero"/>
        <c:crossBetween val="midCat"/>
        <c:majorUnit val="2.0"/>
      </c:valAx>
      <c:valAx>
        <c:axId val="2073218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79921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50568"/>
        <c:axId val="-2111102024"/>
      </c:scatterChart>
      <c:valAx>
        <c:axId val="2128150568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111102024"/>
        <c:crosses val="autoZero"/>
        <c:crossBetween val="midCat"/>
        <c:majorUnit val="2.0"/>
      </c:valAx>
      <c:valAx>
        <c:axId val="-2111102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28150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831397099953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0.0128430843534403</c:v>
                  </c:pt>
                  <c:pt idx="2">
                    <c:v>0.0257031456855367</c:v>
                  </c:pt>
                  <c:pt idx="3">
                    <c:v>0.0128690460893255</c:v>
                  </c:pt>
                  <c:pt idx="4">
                    <c:v>0.0129050686116189</c:v>
                  </c:pt>
                  <c:pt idx="5">
                    <c:v>0.034291090760982</c:v>
                  </c:pt>
                  <c:pt idx="6">
                    <c:v>0.0471108054738055</c:v>
                  </c:pt>
                  <c:pt idx="7">
                    <c:v>0.0132243249350935</c:v>
                  </c:pt>
                  <c:pt idx="8">
                    <c:v>0.035610649610223</c:v>
                  </c:pt>
                  <c:pt idx="9">
                    <c:v>0.0487953608792883</c:v>
                  </c:pt>
                  <c:pt idx="10">
                    <c:v>0.118076652706324</c:v>
                  </c:pt>
                  <c:pt idx="11">
                    <c:v>0.0135671036765847</c:v>
                  </c:pt>
                  <c:pt idx="12">
                    <c:v>0.0235194180389799</c:v>
                  </c:pt>
                  <c:pt idx="13">
                    <c:v>0.0407368270079652</c:v>
                  </c:pt>
                  <c:pt idx="14">
                    <c:v>0.0848805436932311</c:v>
                  </c:pt>
                  <c:pt idx="15">
                    <c:v>0.0622852908204285</c:v>
                  </c:pt>
                  <c:pt idx="16">
                    <c:v>0.0756757434340269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0.0128430843534403</c:v>
                  </c:pt>
                  <c:pt idx="2">
                    <c:v>0.0257031456855367</c:v>
                  </c:pt>
                  <c:pt idx="3">
                    <c:v>0.0128690460893255</c:v>
                  </c:pt>
                  <c:pt idx="4">
                    <c:v>0.0129050686116189</c:v>
                  </c:pt>
                  <c:pt idx="5">
                    <c:v>0.034291090760982</c:v>
                  </c:pt>
                  <c:pt idx="6">
                    <c:v>0.0471108054738055</c:v>
                  </c:pt>
                  <c:pt idx="7">
                    <c:v>0.0132243249350935</c:v>
                  </c:pt>
                  <c:pt idx="8">
                    <c:v>0.035610649610223</c:v>
                  </c:pt>
                  <c:pt idx="9">
                    <c:v>0.0487953608792883</c:v>
                  </c:pt>
                  <c:pt idx="10">
                    <c:v>0.118076652706324</c:v>
                  </c:pt>
                  <c:pt idx="11">
                    <c:v>0.0135671036765847</c:v>
                  </c:pt>
                  <c:pt idx="12">
                    <c:v>0.0235194180389799</c:v>
                  </c:pt>
                  <c:pt idx="13">
                    <c:v>0.0407368270079652</c:v>
                  </c:pt>
                  <c:pt idx="14">
                    <c:v>0.0848805436932311</c:v>
                  </c:pt>
                  <c:pt idx="15">
                    <c:v>0.0622852908204285</c:v>
                  </c:pt>
                  <c:pt idx="16">
                    <c:v>0.0756757434340269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0.577624768833748</c:v>
                </c:pt>
                <c:pt idx="1">
                  <c:v>0.615441531320755</c:v>
                </c:pt>
                <c:pt idx="2">
                  <c:v>0.630688018424004</c:v>
                </c:pt>
                <c:pt idx="3">
                  <c:v>0.809864247403549</c:v>
                </c:pt>
                <c:pt idx="4">
                  <c:v>0.864286401072137</c:v>
                </c:pt>
                <c:pt idx="5">
                  <c:v>0.980263761847569</c:v>
                </c:pt>
                <c:pt idx="6">
                  <c:v>1.305071570728856</c:v>
                </c:pt>
                <c:pt idx="7">
                  <c:v>1.962212363209749</c:v>
                </c:pt>
                <c:pt idx="8">
                  <c:v>3.714481035724737</c:v>
                </c:pt>
                <c:pt idx="9">
                  <c:v>3.969263614341525</c:v>
                </c:pt>
                <c:pt idx="10">
                  <c:v>3.94900776486731</c:v>
                </c:pt>
                <c:pt idx="11">
                  <c:v>3.932151421819479</c:v>
                </c:pt>
                <c:pt idx="12">
                  <c:v>4.139417574860463</c:v>
                </c:pt>
                <c:pt idx="13">
                  <c:v>4.162936992899443</c:v>
                </c:pt>
                <c:pt idx="14">
                  <c:v>4.166868000447034</c:v>
                </c:pt>
                <c:pt idx="15">
                  <c:v>4.261034508931713</c:v>
                </c:pt>
                <c:pt idx="16">
                  <c:v>4.253187299891324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0.0333263557141767</c:v>
                  </c:pt>
                  <c:pt idx="1">
                    <c:v>0.0963284794802578</c:v>
                  </c:pt>
                  <c:pt idx="2">
                    <c:v>0.126417115221356</c:v>
                  </c:pt>
                  <c:pt idx="3">
                    <c:v>0.0510752783399427</c:v>
                  </c:pt>
                  <c:pt idx="4">
                    <c:v>0.0512182462289279</c:v>
                  </c:pt>
                  <c:pt idx="5">
                    <c:v>0.0194423002411095</c:v>
                  </c:pt>
                  <c:pt idx="6">
                    <c:v>0.153083765654217</c:v>
                  </c:pt>
                  <c:pt idx="7">
                    <c:v>0.0991879425606362</c:v>
                  </c:pt>
                  <c:pt idx="8">
                    <c:v>0.0880081805011635</c:v>
                  </c:pt>
                  <c:pt idx="9">
                    <c:v>0.334200326113989</c:v>
                  </c:pt>
                  <c:pt idx="10">
                    <c:v>0.935272319447993</c:v>
                  </c:pt>
                  <c:pt idx="11">
                    <c:v>0.335032667367321</c:v>
                  </c:pt>
                  <c:pt idx="12">
                    <c:v>0.0</c:v>
                  </c:pt>
                  <c:pt idx="13">
                    <c:v>0.20061674372536</c:v>
                  </c:pt>
                  <c:pt idx="14">
                    <c:v>0.797772038299874</c:v>
                  </c:pt>
                  <c:pt idx="15">
                    <c:v>0.407265538302152</c:v>
                  </c:pt>
                  <c:pt idx="16">
                    <c:v>0.500668042113698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0.0333263557141767</c:v>
                  </c:pt>
                  <c:pt idx="1">
                    <c:v>0.0963284794802578</c:v>
                  </c:pt>
                  <c:pt idx="2">
                    <c:v>0.126417115221356</c:v>
                  </c:pt>
                  <c:pt idx="3">
                    <c:v>0.0510752783399427</c:v>
                  </c:pt>
                  <c:pt idx="4">
                    <c:v>0.0512182462289279</c:v>
                  </c:pt>
                  <c:pt idx="5">
                    <c:v>0.0194423002411095</c:v>
                  </c:pt>
                  <c:pt idx="6">
                    <c:v>0.153083765654217</c:v>
                  </c:pt>
                  <c:pt idx="7">
                    <c:v>0.0991879425606362</c:v>
                  </c:pt>
                  <c:pt idx="8">
                    <c:v>0.0880081805011635</c:v>
                  </c:pt>
                  <c:pt idx="9">
                    <c:v>0.334200326113989</c:v>
                  </c:pt>
                  <c:pt idx="10">
                    <c:v>0.935272319447993</c:v>
                  </c:pt>
                  <c:pt idx="11">
                    <c:v>0.335032667367321</c:v>
                  </c:pt>
                  <c:pt idx="12">
                    <c:v>0.0</c:v>
                  </c:pt>
                  <c:pt idx="13">
                    <c:v>0.20061674372536</c:v>
                  </c:pt>
                  <c:pt idx="14">
                    <c:v>0.797772038299874</c:v>
                  </c:pt>
                  <c:pt idx="15">
                    <c:v>0.407265538302152</c:v>
                  </c:pt>
                  <c:pt idx="16">
                    <c:v>0.500668042113698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1.732970497137185</c:v>
                </c:pt>
                <c:pt idx="1">
                  <c:v>1.991026793396242</c:v>
                </c:pt>
                <c:pt idx="2">
                  <c:v>2.181559647965581</c:v>
                </c:pt>
                <c:pt idx="3">
                  <c:v>2.752948252191919</c:v>
                </c:pt>
                <c:pt idx="4">
                  <c:v>3.677146681475525</c:v>
                </c:pt>
                <c:pt idx="5">
                  <c:v>6.454384934775308</c:v>
                </c:pt>
                <c:pt idx="6">
                  <c:v>10.70519859157134</c:v>
                </c:pt>
                <c:pt idx="7">
                  <c:v>19.43614330363181</c:v>
                </c:pt>
                <c:pt idx="8">
                  <c:v>34.38805641426249</c:v>
                </c:pt>
                <c:pt idx="9">
                  <c:v>40.51921062747123</c:v>
                </c:pt>
                <c:pt idx="10">
                  <c:v>42.3935829952175</c:v>
                </c:pt>
                <c:pt idx="11">
                  <c:v>42.52364318182615</c:v>
                </c:pt>
                <c:pt idx="12">
                  <c:v>44.70113517397684</c:v>
                </c:pt>
                <c:pt idx="13">
                  <c:v>44.43064685274521</c:v>
                </c:pt>
                <c:pt idx="14">
                  <c:v>43.44848451311518</c:v>
                </c:pt>
                <c:pt idx="15">
                  <c:v>44.00174345977364</c:v>
                </c:pt>
                <c:pt idx="16">
                  <c:v>42.76573943000472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0.0251014745944706</c:v>
                  </c:pt>
                  <c:pt idx="1">
                    <c:v>0.0435328765221532</c:v>
                  </c:pt>
                  <c:pt idx="2">
                    <c:v>0.0251503298213464</c:v>
                  </c:pt>
                  <c:pt idx="3">
                    <c:v>0.0436208763367997</c:v>
                  </c:pt>
                  <c:pt idx="4">
                    <c:v>0.0437429781599958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0.0251014745944706</c:v>
                  </c:pt>
                  <c:pt idx="1">
                    <c:v>0.0435328765221532</c:v>
                  </c:pt>
                  <c:pt idx="2">
                    <c:v>0.0251503298213464</c:v>
                  </c:pt>
                  <c:pt idx="3">
                    <c:v>0.0436208763367997</c:v>
                  </c:pt>
                  <c:pt idx="4">
                    <c:v>0.0437429781599958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1.072433390448886</c:v>
                </c:pt>
                <c:pt idx="1">
                  <c:v>1.001256160009523</c:v>
                </c:pt>
                <c:pt idx="2">
                  <c:v>0.900274080938857</c:v>
                </c:pt>
                <c:pt idx="3">
                  <c:v>0.741554897725595</c:v>
                </c:pt>
                <c:pt idx="4">
                  <c:v>0.393686803439962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0.018267349604607</c:v>
                </c:pt>
                <c:pt idx="1">
                  <c:v>0.115852491053152</c:v>
                </c:pt>
                <c:pt idx="2">
                  <c:v>0.29035157311852</c:v>
                </c:pt>
                <c:pt idx="3">
                  <c:v>0.497290648490762</c:v>
                </c:pt>
                <c:pt idx="4">
                  <c:v>0.734928332813407</c:v>
                </c:pt>
                <c:pt idx="5">
                  <c:v>0.997664041909411</c:v>
                </c:pt>
                <c:pt idx="6">
                  <c:v>1.28089242420355</c:v>
                </c:pt>
                <c:pt idx="7">
                  <c:v>1.592730414385989</c:v>
                </c:pt>
                <c:pt idx="8">
                  <c:v>1.944049299790841</c:v>
                </c:pt>
                <c:pt idx="9">
                  <c:v>2.35377208570266</c:v>
                </c:pt>
                <c:pt idx="10">
                  <c:v>2.860870403823704</c:v>
                </c:pt>
                <c:pt idx="11">
                  <c:v>3.492274090504218</c:v>
                </c:pt>
                <c:pt idx="12">
                  <c:v>4.240254690156425</c:v>
                </c:pt>
                <c:pt idx="13">
                  <c:v>5.10604239100772</c:v>
                </c:pt>
                <c:pt idx="14">
                  <c:v>6.118704087340173</c:v>
                </c:pt>
                <c:pt idx="15">
                  <c:v>7.309140227935178</c:v>
                </c:pt>
                <c:pt idx="16">
                  <c:v>8.68272643217941</c:v>
                </c:pt>
                <c:pt idx="17">
                  <c:v>10.24740488371676</c:v>
                </c:pt>
                <c:pt idx="18">
                  <c:v>12.06381447732957</c:v>
                </c:pt>
                <c:pt idx="19">
                  <c:v>14.13602184340816</c:v>
                </c:pt>
                <c:pt idx="20">
                  <c:v>16.40932875562381</c:v>
                </c:pt>
                <c:pt idx="21">
                  <c:v>18.81402135211338</c:v>
                </c:pt>
                <c:pt idx="22">
                  <c:v>21.32276035627771</c:v>
                </c:pt>
                <c:pt idx="23">
                  <c:v>24.00273414506421</c:v>
                </c:pt>
                <c:pt idx="24">
                  <c:v>26.87444335697918</c:v>
                </c:pt>
                <c:pt idx="25">
                  <c:v>29.6898134802993</c:v>
                </c:pt>
                <c:pt idx="26">
                  <c:v>32.18822109654941</c:v>
                </c:pt>
                <c:pt idx="27">
                  <c:v>34.36154604738626</c:v>
                </c:pt>
                <c:pt idx="28">
                  <c:v>36.25143421084581</c:v>
                </c:pt>
                <c:pt idx="29">
                  <c:v>37.8822848931926</c:v>
                </c:pt>
                <c:pt idx="30">
                  <c:v>39.2633535069634</c:v>
                </c:pt>
                <c:pt idx="31">
                  <c:v>40.45127944202702</c:v>
                </c:pt>
                <c:pt idx="32">
                  <c:v>41.48201462250335</c:v>
                </c:pt>
                <c:pt idx="33">
                  <c:v>42.35420901460542</c:v>
                </c:pt>
                <c:pt idx="34">
                  <c:v>43.1079194674648</c:v>
                </c:pt>
                <c:pt idx="35">
                  <c:v>43.7629666318777</c:v>
                </c:pt>
                <c:pt idx="36">
                  <c:v>44.32931011571477</c:v>
                </c:pt>
                <c:pt idx="37">
                  <c:v>44.81497380996984</c:v>
                </c:pt>
                <c:pt idx="38">
                  <c:v>45.2247312652002</c:v>
                </c:pt>
                <c:pt idx="39">
                  <c:v>45.57103276296269</c:v>
                </c:pt>
                <c:pt idx="40">
                  <c:v>45.86471458161385</c:v>
                </c:pt>
                <c:pt idx="41">
                  <c:v>46.11432295447192</c:v>
                </c:pt>
                <c:pt idx="42">
                  <c:v>46.32726259393393</c:v>
                </c:pt>
                <c:pt idx="43">
                  <c:v>46.51131124929507</c:v>
                </c:pt>
                <c:pt idx="44">
                  <c:v>46.67066103358263</c:v>
                </c:pt>
                <c:pt idx="45">
                  <c:v>46.81006198109215</c:v>
                </c:pt>
                <c:pt idx="46">
                  <c:v>46.93275843901448</c:v>
                </c:pt>
                <c:pt idx="47">
                  <c:v>47.03945726324932</c:v>
                </c:pt>
                <c:pt idx="48">
                  <c:v>47.13600667240552</c:v>
                </c:pt>
                <c:pt idx="49">
                  <c:v>47.22490063626351</c:v>
                </c:pt>
                <c:pt idx="50">
                  <c:v>47.30381541123867</c:v>
                </c:pt>
                <c:pt idx="51">
                  <c:v>47.37446156142755</c:v>
                </c:pt>
                <c:pt idx="52">
                  <c:v>47.43758828548486</c:v>
                </c:pt>
                <c:pt idx="53">
                  <c:v>47.49444212453392</c:v>
                </c:pt>
                <c:pt idx="54">
                  <c:v>47.54797234391333</c:v>
                </c:pt>
                <c:pt idx="55">
                  <c:v>47.59882230388053</c:v>
                </c:pt>
                <c:pt idx="56">
                  <c:v>47.64691066566726</c:v>
                </c:pt>
                <c:pt idx="57">
                  <c:v>47.69332129286031</c:v>
                </c:pt>
                <c:pt idx="58">
                  <c:v>47.73888472288267</c:v>
                </c:pt>
                <c:pt idx="59">
                  <c:v>47.78536835897013</c:v>
                </c:pt>
                <c:pt idx="60">
                  <c:v>47.83383130293191</c:v>
                </c:pt>
                <c:pt idx="61">
                  <c:v>47.88440238748792</c:v>
                </c:pt>
                <c:pt idx="62">
                  <c:v>47.9363061136189</c:v>
                </c:pt>
                <c:pt idx="63">
                  <c:v>47.98807228342124</c:v>
                </c:pt>
                <c:pt idx="64">
                  <c:v>48.04138622048548</c:v>
                </c:pt>
                <c:pt idx="65">
                  <c:v>48.09761469690424</c:v>
                </c:pt>
                <c:pt idx="66">
                  <c:v>48.15707574704641</c:v>
                </c:pt>
                <c:pt idx="67">
                  <c:v>48.22075812166532</c:v>
                </c:pt>
                <c:pt idx="68">
                  <c:v>48.28773357410711</c:v>
                </c:pt>
                <c:pt idx="69">
                  <c:v>48.3570733405888</c:v>
                </c:pt>
                <c:pt idx="70">
                  <c:v>48.42819254814905</c:v>
                </c:pt>
                <c:pt idx="71">
                  <c:v>48.50157316106726</c:v>
                </c:pt>
                <c:pt idx="72">
                  <c:v>48.57731808802537</c:v>
                </c:pt>
                <c:pt idx="73">
                  <c:v>48.65395713111974</c:v>
                </c:pt>
                <c:pt idx="74">
                  <c:v>48.73132687756896</c:v>
                </c:pt>
                <c:pt idx="75">
                  <c:v>48.81064826907212</c:v>
                </c:pt>
                <c:pt idx="76">
                  <c:v>48.89000430822196</c:v>
                </c:pt>
                <c:pt idx="77">
                  <c:v>48.9680706275084</c:v>
                </c:pt>
                <c:pt idx="78">
                  <c:v>49.0459564687546</c:v>
                </c:pt>
                <c:pt idx="79">
                  <c:v>49.12453009164409</c:v>
                </c:pt>
                <c:pt idx="80">
                  <c:v>49.2029744322698</c:v>
                </c:pt>
                <c:pt idx="81">
                  <c:v>49.2792008063782</c:v>
                </c:pt>
                <c:pt idx="82">
                  <c:v>49.35443842973326</c:v>
                </c:pt>
                <c:pt idx="83">
                  <c:v>49.42752634760627</c:v>
                </c:pt>
                <c:pt idx="84">
                  <c:v>49.49726120068605</c:v>
                </c:pt>
                <c:pt idx="85">
                  <c:v>49.56553464705612</c:v>
                </c:pt>
                <c:pt idx="86">
                  <c:v>49.6327252251848</c:v>
                </c:pt>
                <c:pt idx="87">
                  <c:v>49.69848852712144</c:v>
                </c:pt>
                <c:pt idx="88">
                  <c:v>49.761594819973</c:v>
                </c:pt>
                <c:pt idx="89">
                  <c:v>49.82218217719716</c:v>
                </c:pt>
                <c:pt idx="90">
                  <c:v>49.88033644221711</c:v>
                </c:pt>
                <c:pt idx="91">
                  <c:v>49.9356790765645</c:v>
                </c:pt>
                <c:pt idx="92">
                  <c:v>49.98992126028263</c:v>
                </c:pt>
                <c:pt idx="93">
                  <c:v>50.0436390751389</c:v>
                </c:pt>
                <c:pt idx="94">
                  <c:v>50.09666031715794</c:v>
                </c:pt>
                <c:pt idx="95">
                  <c:v>50.14969862443582</c:v>
                </c:pt>
                <c:pt idx="96">
                  <c:v>50.20256354002088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0.278000275801074</c:v>
                  </c:pt>
                  <c:pt idx="1">
                    <c:v>0.178998688407445</c:v>
                  </c:pt>
                  <c:pt idx="2">
                    <c:v>0.652684053046871</c:v>
                  </c:pt>
                  <c:pt idx="3">
                    <c:v>0.103553848235521</c:v>
                  </c:pt>
                  <c:pt idx="4">
                    <c:v>0.124451974737106</c:v>
                  </c:pt>
                  <c:pt idx="5">
                    <c:v>0.615229242291431</c:v>
                  </c:pt>
                  <c:pt idx="6">
                    <c:v>0.388760221756676</c:v>
                  </c:pt>
                  <c:pt idx="7">
                    <c:v>0.0198364874026398</c:v>
                  </c:pt>
                  <c:pt idx="8">
                    <c:v>0.0538382416537767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0.278000275801074</c:v>
                  </c:pt>
                  <c:pt idx="1">
                    <c:v>0.178998688407445</c:v>
                  </c:pt>
                  <c:pt idx="2">
                    <c:v>0.652684053046871</c:v>
                  </c:pt>
                  <c:pt idx="3">
                    <c:v>0.103553848235521</c:v>
                  </c:pt>
                  <c:pt idx="4">
                    <c:v>0.124451974737106</c:v>
                  </c:pt>
                  <c:pt idx="5">
                    <c:v>0.615229242291431</c:v>
                  </c:pt>
                  <c:pt idx="6">
                    <c:v>0.388760221756676</c:v>
                  </c:pt>
                  <c:pt idx="7">
                    <c:v>0.0198364874026398</c:v>
                  </c:pt>
                  <c:pt idx="8">
                    <c:v>0.0538382416537767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48.15761374007514</c:v>
                </c:pt>
                <c:pt idx="1">
                  <c:v>47.73750094750627</c:v>
                </c:pt>
                <c:pt idx="2">
                  <c:v>47.346120536042</c:v>
                </c:pt>
                <c:pt idx="3">
                  <c:v>47.25817931752546</c:v>
                </c:pt>
                <c:pt idx="4">
                  <c:v>45.27445100099002</c:v>
                </c:pt>
                <c:pt idx="5">
                  <c:v>41.71733184961984</c:v>
                </c:pt>
                <c:pt idx="6">
                  <c:v>34.78807831454403</c:v>
                </c:pt>
                <c:pt idx="7">
                  <c:v>22.2409518055642</c:v>
                </c:pt>
                <c:pt idx="8">
                  <c:v>5.497898185722283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0.0227130593648429</c:v>
                  </c:pt>
                  <c:pt idx="1">
                    <c:v>0.0861007112563688</c:v>
                  </c:pt>
                  <c:pt idx="2">
                    <c:v>0.0820524894436128</c:v>
                  </c:pt>
                  <c:pt idx="3">
                    <c:v>0.120583858235954</c:v>
                  </c:pt>
                  <c:pt idx="4">
                    <c:v>0.0131936054992014</c:v>
                  </c:pt>
                  <c:pt idx="5">
                    <c:v>0.245404496541197</c:v>
                  </c:pt>
                  <c:pt idx="6">
                    <c:v>0.0353428078642374</c:v>
                  </c:pt>
                  <c:pt idx="7">
                    <c:v>0.0270399997764894</c:v>
                  </c:pt>
                  <c:pt idx="8">
                    <c:v>0.135525157150487</c:v>
                  </c:pt>
                  <c:pt idx="9">
                    <c:v>0.36185792231206</c:v>
                  </c:pt>
                  <c:pt idx="10">
                    <c:v>0.733898977783872</c:v>
                  </c:pt>
                  <c:pt idx="11">
                    <c:v>0.108331619972089</c:v>
                  </c:pt>
                  <c:pt idx="12">
                    <c:v>0.127235635514212</c:v>
                  </c:pt>
                  <c:pt idx="13">
                    <c:v>0.374314219746958</c:v>
                  </c:pt>
                  <c:pt idx="14">
                    <c:v>0.386089219817359</c:v>
                  </c:pt>
                  <c:pt idx="15">
                    <c:v>0.300608981402956</c:v>
                  </c:pt>
                  <c:pt idx="16">
                    <c:v>0.273359711844517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0.0227130593648429</c:v>
                  </c:pt>
                  <c:pt idx="1">
                    <c:v>0.0861007112563688</c:v>
                  </c:pt>
                  <c:pt idx="2">
                    <c:v>0.0820524894436128</c:v>
                  </c:pt>
                  <c:pt idx="3">
                    <c:v>0.120583858235954</c:v>
                  </c:pt>
                  <c:pt idx="4">
                    <c:v>0.0131936054992014</c:v>
                  </c:pt>
                  <c:pt idx="5">
                    <c:v>0.245404496541197</c:v>
                  </c:pt>
                  <c:pt idx="6">
                    <c:v>0.0353428078642374</c:v>
                  </c:pt>
                  <c:pt idx="7">
                    <c:v>0.0270399997764894</c:v>
                  </c:pt>
                  <c:pt idx="8">
                    <c:v>0.135525157150487</c:v>
                  </c:pt>
                  <c:pt idx="9">
                    <c:v>0.36185792231206</c:v>
                  </c:pt>
                  <c:pt idx="10">
                    <c:v>0.733898977783872</c:v>
                  </c:pt>
                  <c:pt idx="11">
                    <c:v>0.108331619972089</c:v>
                  </c:pt>
                  <c:pt idx="12">
                    <c:v>0.127235635514212</c:v>
                  </c:pt>
                  <c:pt idx="13">
                    <c:v>0.374314219746958</c:v>
                  </c:pt>
                  <c:pt idx="14">
                    <c:v>0.386089219817359</c:v>
                  </c:pt>
                  <c:pt idx="15">
                    <c:v>0.300608981402956</c:v>
                  </c:pt>
                  <c:pt idx="16">
                    <c:v>0.273359711844517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2.066888402200703</c:v>
                </c:pt>
                <c:pt idx="1">
                  <c:v>2.941329031324886</c:v>
                </c:pt>
                <c:pt idx="2">
                  <c:v>3.618405293613671</c:v>
                </c:pt>
                <c:pt idx="3">
                  <c:v>4.489276821509812</c:v>
                </c:pt>
                <c:pt idx="4">
                  <c:v>6.154804002728873</c:v>
                </c:pt>
                <c:pt idx="5">
                  <c:v>8.392308812020214</c:v>
                </c:pt>
                <c:pt idx="6">
                  <c:v>13.48133282657807</c:v>
                </c:pt>
                <c:pt idx="7">
                  <c:v>18.53871699043924</c:v>
                </c:pt>
                <c:pt idx="8">
                  <c:v>25.27979805823039</c:v>
                </c:pt>
                <c:pt idx="9">
                  <c:v>27.00813388307542</c:v>
                </c:pt>
                <c:pt idx="10">
                  <c:v>27.46963830005413</c:v>
                </c:pt>
                <c:pt idx="11">
                  <c:v>27.27560147479451</c:v>
                </c:pt>
                <c:pt idx="12">
                  <c:v>28.85432995507402</c:v>
                </c:pt>
                <c:pt idx="13">
                  <c:v>28.8703601383824</c:v>
                </c:pt>
                <c:pt idx="14">
                  <c:v>28.79332746335282</c:v>
                </c:pt>
                <c:pt idx="15">
                  <c:v>29.60361614370909</c:v>
                </c:pt>
                <c:pt idx="16">
                  <c:v>32.10668612659181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0.0057981587497053</c:v>
                </c:pt>
                <c:pt idx="1">
                  <c:v>0.128073917855945</c:v>
                </c:pt>
                <c:pt idx="2">
                  <c:v>0.511880231699604</c:v>
                </c:pt>
                <c:pt idx="3">
                  <c:v>1.050131137298863</c:v>
                </c:pt>
                <c:pt idx="4">
                  <c:v>1.587835771990904</c:v>
                </c:pt>
                <c:pt idx="5">
                  <c:v>2.121636791297335</c:v>
                </c:pt>
                <c:pt idx="6">
                  <c:v>2.644595420730148</c:v>
                </c:pt>
                <c:pt idx="7">
                  <c:v>3.226191393059905</c:v>
                </c:pt>
                <c:pt idx="8">
                  <c:v>3.960082611728538</c:v>
                </c:pt>
                <c:pt idx="9">
                  <c:v>4.894948702653044</c:v>
                </c:pt>
                <c:pt idx="10">
                  <c:v>6.110333257342829</c:v>
                </c:pt>
                <c:pt idx="11">
                  <c:v>7.497622214260558</c:v>
                </c:pt>
                <c:pt idx="12">
                  <c:v>8.965436185870586</c:v>
                </c:pt>
                <c:pt idx="13">
                  <c:v>10.55570961723372</c:v>
                </c:pt>
                <c:pt idx="14">
                  <c:v>12.23147647302828</c:v>
                </c:pt>
                <c:pt idx="15">
                  <c:v>14.04333320059397</c:v>
                </c:pt>
                <c:pt idx="16">
                  <c:v>16.05059373487068</c:v>
                </c:pt>
                <c:pt idx="17">
                  <c:v>18.22259544785473</c:v>
                </c:pt>
                <c:pt idx="18">
                  <c:v>20.55970240808667</c:v>
                </c:pt>
                <c:pt idx="19">
                  <c:v>22.96448343044151</c:v>
                </c:pt>
                <c:pt idx="20">
                  <c:v>25.01338811282618</c:v>
                </c:pt>
                <c:pt idx="21">
                  <c:v>26.4390526262307</c:v>
                </c:pt>
                <c:pt idx="22">
                  <c:v>27.60280056502801</c:v>
                </c:pt>
                <c:pt idx="23">
                  <c:v>28.70696047015601</c:v>
                </c:pt>
                <c:pt idx="24">
                  <c:v>29.49116487985081</c:v>
                </c:pt>
                <c:pt idx="25">
                  <c:v>29.82627583796885</c:v>
                </c:pt>
                <c:pt idx="26">
                  <c:v>29.90105188714629</c:v>
                </c:pt>
                <c:pt idx="27">
                  <c:v>29.92584257683223</c:v>
                </c:pt>
                <c:pt idx="28">
                  <c:v>29.93786966702964</c:v>
                </c:pt>
                <c:pt idx="29">
                  <c:v>29.94715394441775</c:v>
                </c:pt>
                <c:pt idx="30">
                  <c:v>29.95598280112269</c:v>
                </c:pt>
                <c:pt idx="31">
                  <c:v>29.96405592416647</c:v>
                </c:pt>
                <c:pt idx="32">
                  <c:v>29.97403409713139</c:v>
                </c:pt>
                <c:pt idx="33">
                  <c:v>29.98522613458004</c:v>
                </c:pt>
                <c:pt idx="34">
                  <c:v>29.99564745385578</c:v>
                </c:pt>
                <c:pt idx="35">
                  <c:v>30.00583136663657</c:v>
                </c:pt>
                <c:pt idx="36">
                  <c:v>30.01609420029155</c:v>
                </c:pt>
                <c:pt idx="37">
                  <c:v>30.02632260124955</c:v>
                </c:pt>
                <c:pt idx="38">
                  <c:v>30.03670694003482</c:v>
                </c:pt>
                <c:pt idx="39">
                  <c:v>30.04702404814007</c:v>
                </c:pt>
                <c:pt idx="40">
                  <c:v>30.05749709407259</c:v>
                </c:pt>
                <c:pt idx="41">
                  <c:v>30.06752473674997</c:v>
                </c:pt>
                <c:pt idx="42">
                  <c:v>30.07697298169186</c:v>
                </c:pt>
                <c:pt idx="43">
                  <c:v>30.08653234400768</c:v>
                </c:pt>
                <c:pt idx="44">
                  <c:v>30.09613605989713</c:v>
                </c:pt>
                <c:pt idx="45">
                  <c:v>30.10672022320358</c:v>
                </c:pt>
                <c:pt idx="46">
                  <c:v>30.11837400795402</c:v>
                </c:pt>
                <c:pt idx="47">
                  <c:v>30.1301393769581</c:v>
                </c:pt>
                <c:pt idx="48">
                  <c:v>30.14145546899211</c:v>
                </c:pt>
                <c:pt idx="49">
                  <c:v>30.15256409077166</c:v>
                </c:pt>
                <c:pt idx="50">
                  <c:v>30.16414065546504</c:v>
                </c:pt>
                <c:pt idx="51">
                  <c:v>30.17712006891476</c:v>
                </c:pt>
                <c:pt idx="52">
                  <c:v>30.19019258095466</c:v>
                </c:pt>
                <c:pt idx="53">
                  <c:v>30.20296129759501</c:v>
                </c:pt>
                <c:pt idx="54">
                  <c:v>30.21479461840028</c:v>
                </c:pt>
                <c:pt idx="55">
                  <c:v>30.22646428168385</c:v>
                </c:pt>
                <c:pt idx="56">
                  <c:v>30.23899927186357</c:v>
                </c:pt>
                <c:pt idx="57">
                  <c:v>30.25139412416543</c:v>
                </c:pt>
                <c:pt idx="58">
                  <c:v>30.26435050796389</c:v>
                </c:pt>
                <c:pt idx="59">
                  <c:v>30.27786793326637</c:v>
                </c:pt>
                <c:pt idx="60">
                  <c:v>30.29214776295879</c:v>
                </c:pt>
                <c:pt idx="61">
                  <c:v>30.30737617937328</c:v>
                </c:pt>
                <c:pt idx="62">
                  <c:v>30.3237650333874</c:v>
                </c:pt>
                <c:pt idx="63">
                  <c:v>30.34045020235009</c:v>
                </c:pt>
                <c:pt idx="64">
                  <c:v>30.35622212140148</c:v>
                </c:pt>
                <c:pt idx="65">
                  <c:v>30.37159895385478</c:v>
                </c:pt>
                <c:pt idx="66">
                  <c:v>30.38769149292033</c:v>
                </c:pt>
                <c:pt idx="67">
                  <c:v>30.40331499593291</c:v>
                </c:pt>
                <c:pt idx="68">
                  <c:v>30.41876577784108</c:v>
                </c:pt>
                <c:pt idx="69">
                  <c:v>30.43414261029438</c:v>
                </c:pt>
                <c:pt idx="70">
                  <c:v>30.4481371567834</c:v>
                </c:pt>
                <c:pt idx="71">
                  <c:v>30.46161353995922</c:v>
                </c:pt>
                <c:pt idx="72">
                  <c:v>30.47546018753848</c:v>
                </c:pt>
                <c:pt idx="73">
                  <c:v>30.48980017623631</c:v>
                </c:pt>
                <c:pt idx="74">
                  <c:v>30.50322691502284</c:v>
                </c:pt>
                <c:pt idx="75">
                  <c:v>30.51606154104128</c:v>
                </c:pt>
                <c:pt idx="76">
                  <c:v>30.52934038091805</c:v>
                </c:pt>
                <c:pt idx="77">
                  <c:v>30.54210054035256</c:v>
                </c:pt>
                <c:pt idx="78">
                  <c:v>30.55488552198171</c:v>
                </c:pt>
                <c:pt idx="79">
                  <c:v>30.56833708296288</c:v>
                </c:pt>
                <c:pt idx="80">
                  <c:v>30.58065302853906</c:v>
                </c:pt>
                <c:pt idx="81">
                  <c:v>30.59378345237702</c:v>
                </c:pt>
                <c:pt idx="82">
                  <c:v>30.60760527776164</c:v>
                </c:pt>
                <c:pt idx="83">
                  <c:v>30.6196254255183</c:v>
                </c:pt>
                <c:pt idx="84">
                  <c:v>30.63100381611759</c:v>
                </c:pt>
                <c:pt idx="85">
                  <c:v>30.64339422827771</c:v>
                </c:pt>
                <c:pt idx="86">
                  <c:v>30.65687061145352</c:v>
                </c:pt>
                <c:pt idx="87">
                  <c:v>30.66980400912149</c:v>
                </c:pt>
                <c:pt idx="88">
                  <c:v>30.68226837073648</c:v>
                </c:pt>
                <c:pt idx="89">
                  <c:v>30.69406615299946</c:v>
                </c:pt>
                <c:pt idx="90">
                  <c:v>30.70593788471731</c:v>
                </c:pt>
                <c:pt idx="91">
                  <c:v>30.71901918129504</c:v>
                </c:pt>
                <c:pt idx="92">
                  <c:v>30.73316162669382</c:v>
                </c:pt>
                <c:pt idx="93">
                  <c:v>30.74597091338856</c:v>
                </c:pt>
                <c:pt idx="94">
                  <c:v>30.76033520715198</c:v>
                </c:pt>
                <c:pt idx="95">
                  <c:v>30.77529213081254</c:v>
                </c:pt>
                <c:pt idx="96">
                  <c:v>30.78769069890279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18248"/>
        <c:axId val="211817096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11129.0</c:v>
                </c:pt>
                <c:pt idx="1">
                  <c:v>11240.0</c:v>
                </c:pt>
                <c:pt idx="2">
                  <c:v>17390.0</c:v>
                </c:pt>
                <c:pt idx="3">
                  <c:v>3278.0</c:v>
                </c:pt>
                <c:pt idx="4">
                  <c:v>4814.0</c:v>
                </c:pt>
                <c:pt idx="5">
                  <c:v>12128.0</c:v>
                </c:pt>
                <c:pt idx="6">
                  <c:v>22397.0</c:v>
                </c:pt>
                <c:pt idx="7">
                  <c:v>40826.0</c:v>
                </c:pt>
                <c:pt idx="8">
                  <c:v>5083.0</c:v>
                </c:pt>
                <c:pt idx="9">
                  <c:v>6478.0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0.00671204296386511</c:v>
                  </c:pt>
                  <c:pt idx="1">
                    <c:v>0.0144801015305508</c:v>
                  </c:pt>
                  <c:pt idx="2">
                    <c:v>0.0252880648152263</c:v>
                  </c:pt>
                  <c:pt idx="3">
                    <c:v>0.0191439458895049</c:v>
                  </c:pt>
                  <c:pt idx="4">
                    <c:v>0.0350619885341616</c:v>
                  </c:pt>
                  <c:pt idx="5">
                    <c:v>0.0124568983642897</c:v>
                  </c:pt>
                  <c:pt idx="6">
                    <c:v>0.017144038901036</c:v>
                  </c:pt>
                  <c:pt idx="7">
                    <c:v>0.00603893600162302</c:v>
                  </c:pt>
                  <c:pt idx="8">
                    <c:v>0.0382913383699336</c:v>
                  </c:pt>
                  <c:pt idx="9">
                    <c:v>0.0204938493158643</c:v>
                  </c:pt>
                  <c:pt idx="10">
                    <c:v>0.0324394690448718</c:v>
                  </c:pt>
                  <c:pt idx="11">
                    <c:v>0.00778269984834337</c:v>
                  </c:pt>
                  <c:pt idx="12">
                    <c:v>0.0400666733913332</c:v>
                  </c:pt>
                  <c:pt idx="13">
                    <c:v>0.032866619469346</c:v>
                  </c:pt>
                  <c:pt idx="14">
                    <c:v>0.0215782511465256</c:v>
                  </c:pt>
                  <c:pt idx="15">
                    <c:v>0.0222307105524106</c:v>
                  </c:pt>
                  <c:pt idx="16">
                    <c:v>0.0213560264503842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0.00671204296386511</c:v>
                  </c:pt>
                  <c:pt idx="1">
                    <c:v>0.0144801015305508</c:v>
                  </c:pt>
                  <c:pt idx="2">
                    <c:v>0.0252880648152263</c:v>
                  </c:pt>
                  <c:pt idx="3">
                    <c:v>0.0191439458895049</c:v>
                  </c:pt>
                  <c:pt idx="4">
                    <c:v>0.0350619885341616</c:v>
                  </c:pt>
                  <c:pt idx="5">
                    <c:v>0.0124568983642897</c:v>
                  </c:pt>
                  <c:pt idx="6">
                    <c:v>0.017144038901036</c:v>
                  </c:pt>
                  <c:pt idx="7">
                    <c:v>0.00603893600162302</c:v>
                  </c:pt>
                  <c:pt idx="8">
                    <c:v>0.0382913383699336</c:v>
                  </c:pt>
                  <c:pt idx="9">
                    <c:v>0.0204938493158643</c:v>
                  </c:pt>
                  <c:pt idx="10">
                    <c:v>0.0324394690448718</c:v>
                  </c:pt>
                  <c:pt idx="11">
                    <c:v>0.00778269984834337</c:v>
                  </c:pt>
                  <c:pt idx="12">
                    <c:v>0.0400666733913332</c:v>
                  </c:pt>
                  <c:pt idx="13">
                    <c:v>0.032866619469346</c:v>
                  </c:pt>
                  <c:pt idx="14">
                    <c:v>0.0215782511465256</c:v>
                  </c:pt>
                  <c:pt idx="15">
                    <c:v>0.0222307105524106</c:v>
                  </c:pt>
                  <c:pt idx="16">
                    <c:v>0.0213560264503842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8.209460971225668</c:v>
                </c:pt>
                <c:pt idx="1">
                  <c:v>8.226059327700765</c:v>
                </c:pt>
                <c:pt idx="2">
                  <c:v>8.425141958945475</c:v>
                </c:pt>
                <c:pt idx="3">
                  <c:v>8.697026903875775</c:v>
                </c:pt>
                <c:pt idx="4">
                  <c:v>8.878593959990753</c:v>
                </c:pt>
                <c:pt idx="5">
                  <c:v>9.260323603656259</c:v>
                </c:pt>
                <c:pt idx="6">
                  <c:v>9.540963982112112</c:v>
                </c:pt>
                <c:pt idx="7">
                  <c:v>9.783613053937935</c:v>
                </c:pt>
                <c:pt idx="8">
                  <c:v>9.92267934343272</c:v>
                </c:pt>
                <c:pt idx="9">
                  <c:v>9.977001080020823</c:v>
                </c:pt>
                <c:pt idx="10">
                  <c:v>9.98020682190534</c:v>
                </c:pt>
                <c:pt idx="11">
                  <c:v>10.05341022773062</c:v>
                </c:pt>
                <c:pt idx="12">
                  <c:v>9.934797922738335</c:v>
                </c:pt>
                <c:pt idx="13">
                  <c:v>9.965300887421333</c:v>
                </c:pt>
                <c:pt idx="14">
                  <c:v>9.850371040560432</c:v>
                </c:pt>
                <c:pt idx="15">
                  <c:v>10.03023387765679</c:v>
                </c:pt>
                <c:pt idx="16">
                  <c:v>10.09300304208102</c:v>
                </c:pt>
              </c:numCache>
            </c:numRef>
          </c:yVal>
          <c:smooth val="0"/>
        </c:ser>
        <c:ser>
          <c:idx val="5"/>
          <c:order val="9"/>
          <c:tx>
            <c:v>qPCR RI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0.287673642289815</c:v>
                  </c:pt>
                  <c:pt idx="1">
                    <c:v>0.195118269789837</c:v>
                  </c:pt>
                  <c:pt idx="2">
                    <c:v>0.0559450397597696</c:v>
                  </c:pt>
                  <c:pt idx="3">
                    <c:v>0.0747699751383528</c:v>
                  </c:pt>
                  <c:pt idx="4">
                    <c:v>0.0414153830260225</c:v>
                  </c:pt>
                  <c:pt idx="5">
                    <c:v>0.0557964130691934</c:v>
                  </c:pt>
                  <c:pt idx="6">
                    <c:v>0.0111095529807945</c:v>
                  </c:pt>
                  <c:pt idx="7">
                    <c:v>0.0441550715998927</c:v>
                  </c:pt>
                  <c:pt idx="8">
                    <c:v>0.0515680823193986</c:v>
                  </c:pt>
                  <c:pt idx="9">
                    <c:v>0.0302925930082997</c:v>
                  </c:pt>
                  <c:pt idx="10">
                    <c:v>0.0371710920202093</c:v>
                  </c:pt>
                  <c:pt idx="11">
                    <c:v>0.0545876118764193</c:v>
                  </c:pt>
                  <c:pt idx="12">
                    <c:v>0.0425364685461624</c:v>
                  </c:pt>
                  <c:pt idx="13">
                    <c:v>0.0219855113494581</c:v>
                  </c:pt>
                  <c:pt idx="14">
                    <c:v>0.0326094722108012</c:v>
                  </c:pt>
                  <c:pt idx="15">
                    <c:v>0.0224208971243503</c:v>
                  </c:pt>
                  <c:pt idx="16">
                    <c:v>0.0672314073959188</c:v>
                  </c:pt>
                </c:numCache>
              </c:numRef>
            </c:plus>
            <c:min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0.287673642289815</c:v>
                  </c:pt>
                  <c:pt idx="1">
                    <c:v>0.195118269789837</c:v>
                  </c:pt>
                  <c:pt idx="2">
                    <c:v>0.0559450397597696</c:v>
                  </c:pt>
                  <c:pt idx="3">
                    <c:v>0.0747699751383528</c:v>
                  </c:pt>
                  <c:pt idx="4">
                    <c:v>0.0414153830260225</c:v>
                  </c:pt>
                  <c:pt idx="5">
                    <c:v>0.0557964130691934</c:v>
                  </c:pt>
                  <c:pt idx="6">
                    <c:v>0.0111095529807945</c:v>
                  </c:pt>
                  <c:pt idx="7">
                    <c:v>0.0441550715998927</c:v>
                  </c:pt>
                  <c:pt idx="8">
                    <c:v>0.0515680823193986</c:v>
                  </c:pt>
                  <c:pt idx="9">
                    <c:v>0.0302925930082997</c:v>
                  </c:pt>
                  <c:pt idx="10">
                    <c:v>0.0371710920202093</c:v>
                  </c:pt>
                  <c:pt idx="11">
                    <c:v>0.0545876118764193</c:v>
                  </c:pt>
                  <c:pt idx="12">
                    <c:v>0.0425364685461624</c:v>
                  </c:pt>
                  <c:pt idx="13">
                    <c:v>0.0219855113494581</c:v>
                  </c:pt>
                  <c:pt idx="14">
                    <c:v>0.0326094722108012</c:v>
                  </c:pt>
                  <c:pt idx="15">
                    <c:v>0.0224208971243503</c:v>
                  </c:pt>
                  <c:pt idx="16">
                    <c:v>0.0672314073959188</c:v>
                  </c:pt>
                </c:numCache>
              </c:numRef>
            </c:minus>
          </c:errBars>
          <c:xVal>
            <c:numRef>
              <c:f>'Determination cell counts RI'!$D$4:$D$20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RI'!$R$4:$R$20</c:f>
              <c:numCache>
                <c:formatCode>0.00</c:formatCode>
                <c:ptCount val="17"/>
                <c:pt idx="0">
                  <c:v>8.156438377681714</c:v>
                </c:pt>
                <c:pt idx="1">
                  <c:v>8.266602274407818</c:v>
                </c:pt>
                <c:pt idx="2">
                  <c:v>8.534555288479207</c:v>
                </c:pt>
                <c:pt idx="3">
                  <c:v>8.77635900922266</c:v>
                </c:pt>
                <c:pt idx="4">
                  <c:v>9.103095321700122</c:v>
                </c:pt>
                <c:pt idx="5">
                  <c:v>9.208339980126166</c:v>
                </c:pt>
                <c:pt idx="6">
                  <c:v>9.56249504994613</c:v>
                </c:pt>
                <c:pt idx="7">
                  <c:v>9.638166479984131</c:v>
                </c:pt>
                <c:pt idx="8">
                  <c:v>9.718323626805917</c:v>
                </c:pt>
                <c:pt idx="9">
                  <c:v>9.875702150978247</c:v>
                </c:pt>
                <c:pt idx="10">
                  <c:v>9.77564369051263</c:v>
                </c:pt>
                <c:pt idx="11">
                  <c:v>9.777755659653867</c:v>
                </c:pt>
                <c:pt idx="12">
                  <c:v>9.774091083739641</c:v>
                </c:pt>
                <c:pt idx="13">
                  <c:v>9.733433370763277</c:v>
                </c:pt>
                <c:pt idx="14">
                  <c:v>9.80354081409246</c:v>
                </c:pt>
                <c:pt idx="15">
                  <c:v>9.864165209438617</c:v>
                </c:pt>
                <c:pt idx="16">
                  <c:v>9.322069245992915</c:v>
                </c:pt>
              </c:numCache>
            </c:numRef>
          </c:yVal>
          <c:smooth val="0"/>
        </c:ser>
        <c:ser>
          <c:idx val="7"/>
          <c:order val="10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0.0776762780104176</c:v>
                  </c:pt>
                  <c:pt idx="1">
                    <c:v>0.175267982654759</c:v>
                  </c:pt>
                  <c:pt idx="2">
                    <c:v>0.026176511011206</c:v>
                  </c:pt>
                  <c:pt idx="3">
                    <c:v>0.00976388291343104</c:v>
                  </c:pt>
                  <c:pt idx="4">
                    <c:v>0.0613674525987665</c:v>
                  </c:pt>
                  <c:pt idx="5">
                    <c:v>0.0791483081876827</c:v>
                  </c:pt>
                  <c:pt idx="6">
                    <c:v>0.136647821752885</c:v>
                  </c:pt>
                  <c:pt idx="7">
                    <c:v>0.112387731925532</c:v>
                  </c:pt>
                  <c:pt idx="8">
                    <c:v>0.0695571942148813</c:v>
                  </c:pt>
                  <c:pt idx="9">
                    <c:v>0.0371079713719151</c:v>
                  </c:pt>
                  <c:pt idx="10">
                    <c:v>0.0239464550544456</c:v>
                  </c:pt>
                  <c:pt idx="11">
                    <c:v>0.0467514032732519</c:v>
                  </c:pt>
                  <c:pt idx="12">
                    <c:v>0.0538202138240256</c:v>
                  </c:pt>
                  <c:pt idx="13">
                    <c:v>0.041117429973043</c:v>
                  </c:pt>
                  <c:pt idx="14">
                    <c:v>0.0517326085149983</c:v>
                  </c:pt>
                  <c:pt idx="15">
                    <c:v>0.0146741321215192</c:v>
                  </c:pt>
                  <c:pt idx="16">
                    <c:v>0.0333481578629797</c:v>
                  </c:pt>
                </c:numCache>
              </c:numRef>
            </c:plus>
            <c:min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0.0776762780104176</c:v>
                  </c:pt>
                  <c:pt idx="1">
                    <c:v>0.175267982654759</c:v>
                  </c:pt>
                  <c:pt idx="2">
                    <c:v>0.026176511011206</c:v>
                  </c:pt>
                  <c:pt idx="3">
                    <c:v>0.00976388291343104</c:v>
                  </c:pt>
                  <c:pt idx="4">
                    <c:v>0.0613674525987665</c:v>
                  </c:pt>
                  <c:pt idx="5">
                    <c:v>0.0791483081876827</c:v>
                  </c:pt>
                  <c:pt idx="6">
                    <c:v>0.136647821752885</c:v>
                  </c:pt>
                  <c:pt idx="7">
                    <c:v>0.112387731925532</c:v>
                  </c:pt>
                  <c:pt idx="8">
                    <c:v>0.0695571942148813</c:v>
                  </c:pt>
                  <c:pt idx="9">
                    <c:v>0.0371079713719151</c:v>
                  </c:pt>
                  <c:pt idx="10">
                    <c:v>0.0239464550544456</c:v>
                  </c:pt>
                  <c:pt idx="11">
                    <c:v>0.0467514032732519</c:v>
                  </c:pt>
                  <c:pt idx="12">
                    <c:v>0.0538202138240256</c:v>
                  </c:pt>
                  <c:pt idx="13">
                    <c:v>0.041117429973043</c:v>
                  </c:pt>
                  <c:pt idx="14">
                    <c:v>0.0517326085149983</c:v>
                  </c:pt>
                  <c:pt idx="15">
                    <c:v>0.0146741321215192</c:v>
                  </c:pt>
                  <c:pt idx="16">
                    <c:v>0.0333481578629797</c:v>
                  </c:pt>
                </c:numCache>
              </c:numRef>
            </c:minus>
          </c:errBars>
          <c:xVal>
            <c:numRef>
              <c:f>'Determination cell counts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BH'!$R$4:$R$20</c:f>
              <c:numCache>
                <c:formatCode>0.00</c:formatCode>
                <c:ptCount val="17"/>
                <c:pt idx="0">
                  <c:v>7.334193960471768</c:v>
                </c:pt>
                <c:pt idx="1">
                  <c:v>7.644248839255912</c:v>
                </c:pt>
                <c:pt idx="2">
                  <c:v>7.964390314245962</c:v>
                </c:pt>
                <c:pt idx="3">
                  <c:v>8.369063201532446</c:v>
                </c:pt>
                <c:pt idx="4">
                  <c:v>8.520312900126548</c:v>
                </c:pt>
                <c:pt idx="5">
                  <c:v>8.63247004945634</c:v>
                </c:pt>
                <c:pt idx="6">
                  <c:v>8.89078362280015</c:v>
                </c:pt>
                <c:pt idx="7">
                  <c:v>9.18894940898508</c:v>
                </c:pt>
                <c:pt idx="8">
                  <c:v>9.398212293542408</c:v>
                </c:pt>
                <c:pt idx="9">
                  <c:v>9.818790138678407</c:v>
                </c:pt>
                <c:pt idx="10">
                  <c:v>9.693108352562467</c:v>
                </c:pt>
                <c:pt idx="11">
                  <c:v>9.750899117988055</c:v>
                </c:pt>
                <c:pt idx="12">
                  <c:v>9.792663759808105</c:v>
                </c:pt>
                <c:pt idx="13">
                  <c:v>9.809029979694182</c:v>
                </c:pt>
                <c:pt idx="14">
                  <c:v>10.06345480321825</c:v>
                </c:pt>
                <c:pt idx="15">
                  <c:v>9.98165125701626</c:v>
                </c:pt>
                <c:pt idx="16">
                  <c:v>9.583043585066853</c:v>
                </c:pt>
              </c:numCache>
            </c:numRef>
          </c:yVal>
          <c:smooth val="0"/>
        </c:ser>
        <c:ser>
          <c:idx val="11"/>
          <c:order val="11"/>
          <c:tx>
            <c:v>Total qPCR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count'!$D$5:$D$21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8.217353665788444</c:v>
                </c:pt>
                <c:pt idx="1">
                  <c:v>8.359528751077656</c:v>
                </c:pt>
                <c:pt idx="2">
                  <c:v>8.638034452167008</c:v>
                </c:pt>
                <c:pt idx="3">
                  <c:v>8.9198344620719</c:v>
                </c:pt>
                <c:pt idx="4">
                  <c:v>9.203929912578338</c:v>
                </c:pt>
                <c:pt idx="5">
                  <c:v>9.310615881454895</c:v>
                </c:pt>
                <c:pt idx="6">
                  <c:v>9.646339867433172</c:v>
                </c:pt>
                <c:pt idx="7">
                  <c:v>9.770251138476679</c:v>
                </c:pt>
                <c:pt idx="8">
                  <c:v>9.88814713202873</c:v>
                </c:pt>
                <c:pt idx="9">
                  <c:v>10.1492077267611</c:v>
                </c:pt>
                <c:pt idx="10">
                  <c:v>10.03736374853008</c:v>
                </c:pt>
                <c:pt idx="11">
                  <c:v>10.06556495071103</c:v>
                </c:pt>
                <c:pt idx="12">
                  <c:v>10.0845066928225</c:v>
                </c:pt>
                <c:pt idx="13">
                  <c:v>10.07390446373703</c:v>
                </c:pt>
                <c:pt idx="14">
                  <c:v>10.25368834527882</c:v>
                </c:pt>
                <c:pt idx="15">
                  <c:v>10.22789898808729</c:v>
                </c:pt>
                <c:pt idx="16">
                  <c:v>9.772901324762472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24584"/>
        <c:axId val="-2094902312"/>
      </c:scatterChart>
      <c:valAx>
        <c:axId val="-211081824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8170968"/>
        <c:crosses val="autoZero"/>
        <c:crossBetween val="midCat"/>
        <c:majorUnit val="6.0"/>
      </c:valAx>
      <c:valAx>
        <c:axId val="21181709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0818248"/>
        <c:crosses val="autoZero"/>
        <c:crossBetween val="midCat"/>
      </c:valAx>
      <c:valAx>
        <c:axId val="-2094902312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1224584"/>
        <c:crosses val="max"/>
        <c:crossBetween val="midCat"/>
        <c:majorUnit val="1.0"/>
        <c:minorUnit val="0.2"/>
      </c:valAx>
      <c:valAx>
        <c:axId val="-2111224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9490231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0.0128430843534403</c:v>
                  </c:pt>
                  <c:pt idx="2">
                    <c:v>0.0257031456855367</c:v>
                  </c:pt>
                  <c:pt idx="3">
                    <c:v>0.0128690460893255</c:v>
                  </c:pt>
                  <c:pt idx="4">
                    <c:v>0.0129050686116189</c:v>
                  </c:pt>
                  <c:pt idx="5">
                    <c:v>0.034291090760982</c:v>
                  </c:pt>
                  <c:pt idx="6">
                    <c:v>0.0471108054738055</c:v>
                  </c:pt>
                  <c:pt idx="7">
                    <c:v>0.0132243249350935</c:v>
                  </c:pt>
                  <c:pt idx="8">
                    <c:v>0.035610649610223</c:v>
                  </c:pt>
                  <c:pt idx="9">
                    <c:v>0.0487953608792883</c:v>
                  </c:pt>
                  <c:pt idx="10">
                    <c:v>0.118076652706324</c:v>
                  </c:pt>
                  <c:pt idx="11">
                    <c:v>0.0135671036765847</c:v>
                  </c:pt>
                  <c:pt idx="12">
                    <c:v>0.0235194180389799</c:v>
                  </c:pt>
                  <c:pt idx="13">
                    <c:v>0.0407368270079652</c:v>
                  </c:pt>
                  <c:pt idx="14">
                    <c:v>0.0848805436932311</c:v>
                  </c:pt>
                  <c:pt idx="15">
                    <c:v>0.0622852908204285</c:v>
                  </c:pt>
                  <c:pt idx="16">
                    <c:v>0.0756757434340269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0.0128430843534403</c:v>
                  </c:pt>
                  <c:pt idx="2">
                    <c:v>0.0257031456855367</c:v>
                  </c:pt>
                  <c:pt idx="3">
                    <c:v>0.0128690460893255</c:v>
                  </c:pt>
                  <c:pt idx="4">
                    <c:v>0.0129050686116189</c:v>
                  </c:pt>
                  <c:pt idx="5">
                    <c:v>0.034291090760982</c:v>
                  </c:pt>
                  <c:pt idx="6">
                    <c:v>0.0471108054738055</c:v>
                  </c:pt>
                  <c:pt idx="7">
                    <c:v>0.0132243249350935</c:v>
                  </c:pt>
                  <c:pt idx="8">
                    <c:v>0.035610649610223</c:v>
                  </c:pt>
                  <c:pt idx="9">
                    <c:v>0.0487953608792883</c:v>
                  </c:pt>
                  <c:pt idx="10">
                    <c:v>0.118076652706324</c:v>
                  </c:pt>
                  <c:pt idx="11">
                    <c:v>0.0135671036765847</c:v>
                  </c:pt>
                  <c:pt idx="12">
                    <c:v>0.0235194180389799</c:v>
                  </c:pt>
                  <c:pt idx="13">
                    <c:v>0.0407368270079652</c:v>
                  </c:pt>
                  <c:pt idx="14">
                    <c:v>0.0848805436932311</c:v>
                  </c:pt>
                  <c:pt idx="15">
                    <c:v>0.0622852908204285</c:v>
                  </c:pt>
                  <c:pt idx="16">
                    <c:v>0.0756757434340269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0.577624768833748</c:v>
                </c:pt>
                <c:pt idx="1">
                  <c:v>0.615441531320755</c:v>
                </c:pt>
                <c:pt idx="2">
                  <c:v>0.630688018424004</c:v>
                </c:pt>
                <c:pt idx="3">
                  <c:v>0.809864247403549</c:v>
                </c:pt>
                <c:pt idx="4">
                  <c:v>0.864286401072137</c:v>
                </c:pt>
                <c:pt idx="5">
                  <c:v>0.980263761847569</c:v>
                </c:pt>
                <c:pt idx="6">
                  <c:v>1.305071570728856</c:v>
                </c:pt>
                <c:pt idx="7">
                  <c:v>1.962212363209749</c:v>
                </c:pt>
                <c:pt idx="8">
                  <c:v>3.714481035724737</c:v>
                </c:pt>
                <c:pt idx="9">
                  <c:v>3.969263614341525</c:v>
                </c:pt>
                <c:pt idx="10">
                  <c:v>3.94900776486731</c:v>
                </c:pt>
                <c:pt idx="11">
                  <c:v>3.932151421819479</c:v>
                </c:pt>
                <c:pt idx="12">
                  <c:v>4.139417574860463</c:v>
                </c:pt>
                <c:pt idx="13">
                  <c:v>4.162936992899443</c:v>
                </c:pt>
                <c:pt idx="14">
                  <c:v>4.166868000447034</c:v>
                </c:pt>
                <c:pt idx="15">
                  <c:v>4.261034508931713</c:v>
                </c:pt>
                <c:pt idx="16">
                  <c:v>4.253187299891324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0.0333263557141767</c:v>
                  </c:pt>
                  <c:pt idx="1">
                    <c:v>0.0963284794802578</c:v>
                  </c:pt>
                  <c:pt idx="2">
                    <c:v>0.126417115221356</c:v>
                  </c:pt>
                  <c:pt idx="3">
                    <c:v>0.0510752783399427</c:v>
                  </c:pt>
                  <c:pt idx="4">
                    <c:v>0.0512182462289279</c:v>
                  </c:pt>
                  <c:pt idx="5">
                    <c:v>0.0194423002411095</c:v>
                  </c:pt>
                  <c:pt idx="6">
                    <c:v>0.153083765654217</c:v>
                  </c:pt>
                  <c:pt idx="7">
                    <c:v>0.0991879425606362</c:v>
                  </c:pt>
                  <c:pt idx="8">
                    <c:v>0.0880081805011635</c:v>
                  </c:pt>
                  <c:pt idx="9">
                    <c:v>0.334200326113989</c:v>
                  </c:pt>
                  <c:pt idx="10">
                    <c:v>0.935272319447993</c:v>
                  </c:pt>
                  <c:pt idx="11">
                    <c:v>0.335032667367321</c:v>
                  </c:pt>
                  <c:pt idx="12">
                    <c:v>0.0</c:v>
                  </c:pt>
                  <c:pt idx="13">
                    <c:v>0.20061674372536</c:v>
                  </c:pt>
                  <c:pt idx="14">
                    <c:v>0.797772038299874</c:v>
                  </c:pt>
                  <c:pt idx="15">
                    <c:v>0.407265538302152</c:v>
                  </c:pt>
                  <c:pt idx="16">
                    <c:v>0.500668042113698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0.0333263557141767</c:v>
                  </c:pt>
                  <c:pt idx="1">
                    <c:v>0.0963284794802578</c:v>
                  </c:pt>
                  <c:pt idx="2">
                    <c:v>0.126417115221356</c:v>
                  </c:pt>
                  <c:pt idx="3">
                    <c:v>0.0510752783399427</c:v>
                  </c:pt>
                  <c:pt idx="4">
                    <c:v>0.0512182462289279</c:v>
                  </c:pt>
                  <c:pt idx="5">
                    <c:v>0.0194423002411095</c:v>
                  </c:pt>
                  <c:pt idx="6">
                    <c:v>0.153083765654217</c:v>
                  </c:pt>
                  <c:pt idx="7">
                    <c:v>0.0991879425606362</c:v>
                  </c:pt>
                  <c:pt idx="8">
                    <c:v>0.0880081805011635</c:v>
                  </c:pt>
                  <c:pt idx="9">
                    <c:v>0.334200326113989</c:v>
                  </c:pt>
                  <c:pt idx="10">
                    <c:v>0.935272319447993</c:v>
                  </c:pt>
                  <c:pt idx="11">
                    <c:v>0.335032667367321</c:v>
                  </c:pt>
                  <c:pt idx="12">
                    <c:v>0.0</c:v>
                  </c:pt>
                  <c:pt idx="13">
                    <c:v>0.20061674372536</c:v>
                  </c:pt>
                  <c:pt idx="14">
                    <c:v>0.797772038299874</c:v>
                  </c:pt>
                  <c:pt idx="15">
                    <c:v>0.407265538302152</c:v>
                  </c:pt>
                  <c:pt idx="16">
                    <c:v>0.500668042113698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1.732970497137185</c:v>
                </c:pt>
                <c:pt idx="1">
                  <c:v>1.991026793396242</c:v>
                </c:pt>
                <c:pt idx="2">
                  <c:v>2.181559647965581</c:v>
                </c:pt>
                <c:pt idx="3">
                  <c:v>2.752948252191919</c:v>
                </c:pt>
                <c:pt idx="4">
                  <c:v>3.677146681475525</c:v>
                </c:pt>
                <c:pt idx="5">
                  <c:v>6.454384934775308</c:v>
                </c:pt>
                <c:pt idx="6">
                  <c:v>10.70519859157134</c:v>
                </c:pt>
                <c:pt idx="7">
                  <c:v>19.43614330363181</c:v>
                </c:pt>
                <c:pt idx="8">
                  <c:v>34.38805641426249</c:v>
                </c:pt>
                <c:pt idx="9">
                  <c:v>40.51921062747123</c:v>
                </c:pt>
                <c:pt idx="10">
                  <c:v>42.3935829952175</c:v>
                </c:pt>
                <c:pt idx="11">
                  <c:v>42.52364318182615</c:v>
                </c:pt>
                <c:pt idx="12">
                  <c:v>44.70113517397684</c:v>
                </c:pt>
                <c:pt idx="13">
                  <c:v>44.43064685274521</c:v>
                </c:pt>
                <c:pt idx="14">
                  <c:v>43.44848451311518</c:v>
                </c:pt>
                <c:pt idx="15">
                  <c:v>44.00174345977364</c:v>
                </c:pt>
                <c:pt idx="16">
                  <c:v>42.76573943000472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0.0251014745944706</c:v>
                  </c:pt>
                  <c:pt idx="1">
                    <c:v>0.0435328765221532</c:v>
                  </c:pt>
                  <c:pt idx="2">
                    <c:v>0.0251503298213464</c:v>
                  </c:pt>
                  <c:pt idx="3">
                    <c:v>0.0436208763367997</c:v>
                  </c:pt>
                  <c:pt idx="4">
                    <c:v>0.0437429781599958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0.0251014745944706</c:v>
                  </c:pt>
                  <c:pt idx="1">
                    <c:v>0.0435328765221532</c:v>
                  </c:pt>
                  <c:pt idx="2">
                    <c:v>0.0251503298213464</c:v>
                  </c:pt>
                  <c:pt idx="3">
                    <c:v>0.0436208763367997</c:v>
                  </c:pt>
                  <c:pt idx="4">
                    <c:v>0.0437429781599958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1.072433390448886</c:v>
                </c:pt>
                <c:pt idx="1">
                  <c:v>1.001256160009523</c:v>
                </c:pt>
                <c:pt idx="2">
                  <c:v>0.900274080938857</c:v>
                </c:pt>
                <c:pt idx="3">
                  <c:v>0.741554897725595</c:v>
                </c:pt>
                <c:pt idx="4">
                  <c:v>0.393686803439962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0.018267349604607</c:v>
                </c:pt>
                <c:pt idx="1">
                  <c:v>0.115852491053152</c:v>
                </c:pt>
                <c:pt idx="2">
                  <c:v>0.29035157311852</c:v>
                </c:pt>
                <c:pt idx="3">
                  <c:v>0.497290648490762</c:v>
                </c:pt>
                <c:pt idx="4">
                  <c:v>0.734928332813407</c:v>
                </c:pt>
                <c:pt idx="5">
                  <c:v>0.997664041909411</c:v>
                </c:pt>
                <c:pt idx="6">
                  <c:v>1.28089242420355</c:v>
                </c:pt>
                <c:pt idx="7">
                  <c:v>1.592730414385989</c:v>
                </c:pt>
                <c:pt idx="8">
                  <c:v>1.944049299790841</c:v>
                </c:pt>
                <c:pt idx="9">
                  <c:v>2.35377208570266</c:v>
                </c:pt>
                <c:pt idx="10">
                  <c:v>2.860870403823704</c:v>
                </c:pt>
                <c:pt idx="11">
                  <c:v>3.492274090504218</c:v>
                </c:pt>
                <c:pt idx="12">
                  <c:v>4.240254690156425</c:v>
                </c:pt>
                <c:pt idx="13">
                  <c:v>5.10604239100772</c:v>
                </c:pt>
                <c:pt idx="14">
                  <c:v>6.118704087340173</c:v>
                </c:pt>
                <c:pt idx="15">
                  <c:v>7.309140227935178</c:v>
                </c:pt>
                <c:pt idx="16">
                  <c:v>8.68272643217941</c:v>
                </c:pt>
                <c:pt idx="17">
                  <c:v>10.24740488371676</c:v>
                </c:pt>
                <c:pt idx="18">
                  <c:v>12.06381447732957</c:v>
                </c:pt>
                <c:pt idx="19">
                  <c:v>14.13602184340816</c:v>
                </c:pt>
                <c:pt idx="20">
                  <c:v>16.40932875562381</c:v>
                </c:pt>
                <c:pt idx="21">
                  <c:v>18.81402135211338</c:v>
                </c:pt>
                <c:pt idx="22">
                  <c:v>21.32276035627771</c:v>
                </c:pt>
                <c:pt idx="23">
                  <c:v>24.00273414506421</c:v>
                </c:pt>
                <c:pt idx="24">
                  <c:v>26.87444335697918</c:v>
                </c:pt>
                <c:pt idx="25">
                  <c:v>29.6898134802993</c:v>
                </c:pt>
                <c:pt idx="26">
                  <c:v>32.18822109654941</c:v>
                </c:pt>
                <c:pt idx="27">
                  <c:v>34.36154604738626</c:v>
                </c:pt>
                <c:pt idx="28">
                  <c:v>36.25143421084581</c:v>
                </c:pt>
                <c:pt idx="29">
                  <c:v>37.8822848931926</c:v>
                </c:pt>
                <c:pt idx="30">
                  <c:v>39.2633535069634</c:v>
                </c:pt>
                <c:pt idx="31">
                  <c:v>40.45127944202702</c:v>
                </c:pt>
                <c:pt idx="32">
                  <c:v>41.48201462250335</c:v>
                </c:pt>
                <c:pt idx="33">
                  <c:v>42.35420901460542</c:v>
                </c:pt>
                <c:pt idx="34">
                  <c:v>43.1079194674648</c:v>
                </c:pt>
                <c:pt idx="35">
                  <c:v>43.7629666318777</c:v>
                </c:pt>
                <c:pt idx="36">
                  <c:v>44.32931011571477</c:v>
                </c:pt>
                <c:pt idx="37">
                  <c:v>44.81497380996984</c:v>
                </c:pt>
                <c:pt idx="38">
                  <c:v>45.2247312652002</c:v>
                </c:pt>
                <c:pt idx="39">
                  <c:v>45.57103276296269</c:v>
                </c:pt>
                <c:pt idx="40">
                  <c:v>45.86471458161385</c:v>
                </c:pt>
                <c:pt idx="41">
                  <c:v>46.11432295447192</c:v>
                </c:pt>
                <c:pt idx="42">
                  <c:v>46.32726259393393</c:v>
                </c:pt>
                <c:pt idx="43">
                  <c:v>46.51131124929507</c:v>
                </c:pt>
                <c:pt idx="44">
                  <c:v>46.67066103358263</c:v>
                </c:pt>
                <c:pt idx="45">
                  <c:v>46.81006198109215</c:v>
                </c:pt>
                <c:pt idx="46">
                  <c:v>46.93275843901448</c:v>
                </c:pt>
                <c:pt idx="47">
                  <c:v>47.03945726324932</c:v>
                </c:pt>
                <c:pt idx="48">
                  <c:v>47.13600667240552</c:v>
                </c:pt>
                <c:pt idx="49">
                  <c:v>47.22490063626351</c:v>
                </c:pt>
                <c:pt idx="50">
                  <c:v>47.30381541123867</c:v>
                </c:pt>
                <c:pt idx="51">
                  <c:v>47.37446156142755</c:v>
                </c:pt>
                <c:pt idx="52">
                  <c:v>47.43758828548486</c:v>
                </c:pt>
                <c:pt idx="53">
                  <c:v>47.49444212453392</c:v>
                </c:pt>
                <c:pt idx="54">
                  <c:v>47.54797234391333</c:v>
                </c:pt>
                <c:pt idx="55">
                  <c:v>47.59882230388053</c:v>
                </c:pt>
                <c:pt idx="56">
                  <c:v>47.64691066566726</c:v>
                </c:pt>
                <c:pt idx="57">
                  <c:v>47.69332129286031</c:v>
                </c:pt>
                <c:pt idx="58">
                  <c:v>47.73888472288267</c:v>
                </c:pt>
                <c:pt idx="59">
                  <c:v>47.78536835897013</c:v>
                </c:pt>
                <c:pt idx="60">
                  <c:v>47.83383130293191</c:v>
                </c:pt>
                <c:pt idx="61">
                  <c:v>47.88440238748792</c:v>
                </c:pt>
                <c:pt idx="62">
                  <c:v>47.9363061136189</c:v>
                </c:pt>
                <c:pt idx="63">
                  <c:v>47.98807228342124</c:v>
                </c:pt>
                <c:pt idx="64">
                  <c:v>48.04138622048548</c:v>
                </c:pt>
                <c:pt idx="65">
                  <c:v>48.09761469690424</c:v>
                </c:pt>
                <c:pt idx="66">
                  <c:v>48.15707574704641</c:v>
                </c:pt>
                <c:pt idx="67">
                  <c:v>48.22075812166532</c:v>
                </c:pt>
                <c:pt idx="68">
                  <c:v>48.28773357410711</c:v>
                </c:pt>
                <c:pt idx="69">
                  <c:v>48.3570733405888</c:v>
                </c:pt>
                <c:pt idx="70">
                  <c:v>48.42819254814905</c:v>
                </c:pt>
                <c:pt idx="71">
                  <c:v>48.50157316106726</c:v>
                </c:pt>
                <c:pt idx="72">
                  <c:v>48.57731808802537</c:v>
                </c:pt>
                <c:pt idx="73">
                  <c:v>48.65395713111974</c:v>
                </c:pt>
                <c:pt idx="74">
                  <c:v>48.73132687756896</c:v>
                </c:pt>
                <c:pt idx="75">
                  <c:v>48.81064826907212</c:v>
                </c:pt>
                <c:pt idx="76">
                  <c:v>48.89000430822196</c:v>
                </c:pt>
                <c:pt idx="77">
                  <c:v>48.9680706275084</c:v>
                </c:pt>
                <c:pt idx="78">
                  <c:v>49.0459564687546</c:v>
                </c:pt>
                <c:pt idx="79">
                  <c:v>49.12453009164409</c:v>
                </c:pt>
                <c:pt idx="80">
                  <c:v>49.2029744322698</c:v>
                </c:pt>
                <c:pt idx="81">
                  <c:v>49.2792008063782</c:v>
                </c:pt>
                <c:pt idx="82">
                  <c:v>49.35443842973326</c:v>
                </c:pt>
                <c:pt idx="83">
                  <c:v>49.42752634760627</c:v>
                </c:pt>
                <c:pt idx="84">
                  <c:v>49.49726120068605</c:v>
                </c:pt>
                <c:pt idx="85">
                  <c:v>49.56553464705612</c:v>
                </c:pt>
                <c:pt idx="86">
                  <c:v>49.6327252251848</c:v>
                </c:pt>
                <c:pt idx="87">
                  <c:v>49.69848852712144</c:v>
                </c:pt>
                <c:pt idx="88">
                  <c:v>49.761594819973</c:v>
                </c:pt>
                <c:pt idx="89">
                  <c:v>49.82218217719716</c:v>
                </c:pt>
                <c:pt idx="90">
                  <c:v>49.88033644221711</c:v>
                </c:pt>
                <c:pt idx="91">
                  <c:v>49.9356790765645</c:v>
                </c:pt>
                <c:pt idx="92">
                  <c:v>49.98992126028263</c:v>
                </c:pt>
                <c:pt idx="93">
                  <c:v>50.0436390751389</c:v>
                </c:pt>
                <c:pt idx="94">
                  <c:v>50.09666031715794</c:v>
                </c:pt>
                <c:pt idx="95">
                  <c:v>50.14969862443582</c:v>
                </c:pt>
                <c:pt idx="96">
                  <c:v>50.20256354002088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0.278000275801074</c:v>
                  </c:pt>
                  <c:pt idx="1">
                    <c:v>0.178998688407445</c:v>
                  </c:pt>
                  <c:pt idx="2">
                    <c:v>0.652684053046871</c:v>
                  </c:pt>
                  <c:pt idx="3">
                    <c:v>0.103553848235521</c:v>
                  </c:pt>
                  <c:pt idx="4">
                    <c:v>0.124451974737106</c:v>
                  </c:pt>
                  <c:pt idx="5">
                    <c:v>0.615229242291431</c:v>
                  </c:pt>
                  <c:pt idx="6">
                    <c:v>0.388760221756676</c:v>
                  </c:pt>
                  <c:pt idx="7">
                    <c:v>0.0198364874026398</c:v>
                  </c:pt>
                  <c:pt idx="8">
                    <c:v>0.0538382416537767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0.278000275801074</c:v>
                  </c:pt>
                  <c:pt idx="1">
                    <c:v>0.178998688407445</c:v>
                  </c:pt>
                  <c:pt idx="2">
                    <c:v>0.652684053046871</c:v>
                  </c:pt>
                  <c:pt idx="3">
                    <c:v>0.103553848235521</c:v>
                  </c:pt>
                  <c:pt idx="4">
                    <c:v>0.124451974737106</c:v>
                  </c:pt>
                  <c:pt idx="5">
                    <c:v>0.615229242291431</c:v>
                  </c:pt>
                  <c:pt idx="6">
                    <c:v>0.388760221756676</c:v>
                  </c:pt>
                  <c:pt idx="7">
                    <c:v>0.0198364874026398</c:v>
                  </c:pt>
                  <c:pt idx="8">
                    <c:v>0.0538382416537767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48.15761374007514</c:v>
                </c:pt>
                <c:pt idx="1">
                  <c:v>47.73750094750627</c:v>
                </c:pt>
                <c:pt idx="2">
                  <c:v>47.346120536042</c:v>
                </c:pt>
                <c:pt idx="3">
                  <c:v>47.25817931752546</c:v>
                </c:pt>
                <c:pt idx="4">
                  <c:v>45.27445100099002</c:v>
                </c:pt>
                <c:pt idx="5">
                  <c:v>41.71733184961984</c:v>
                </c:pt>
                <c:pt idx="6">
                  <c:v>34.78807831454403</c:v>
                </c:pt>
                <c:pt idx="7">
                  <c:v>22.2409518055642</c:v>
                </c:pt>
                <c:pt idx="8">
                  <c:v>5.497898185722283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0.0227130593648429</c:v>
                  </c:pt>
                  <c:pt idx="1">
                    <c:v>0.0861007112563688</c:v>
                  </c:pt>
                  <c:pt idx="2">
                    <c:v>0.0820524894436128</c:v>
                  </c:pt>
                  <c:pt idx="3">
                    <c:v>0.120583858235954</c:v>
                  </c:pt>
                  <c:pt idx="4">
                    <c:v>0.0131936054992014</c:v>
                  </c:pt>
                  <c:pt idx="5">
                    <c:v>0.245404496541197</c:v>
                  </c:pt>
                  <c:pt idx="6">
                    <c:v>0.0353428078642374</c:v>
                  </c:pt>
                  <c:pt idx="7">
                    <c:v>0.0270399997764894</c:v>
                  </c:pt>
                  <c:pt idx="8">
                    <c:v>0.135525157150487</c:v>
                  </c:pt>
                  <c:pt idx="9">
                    <c:v>0.36185792231206</c:v>
                  </c:pt>
                  <c:pt idx="10">
                    <c:v>0.733898977783872</c:v>
                  </c:pt>
                  <c:pt idx="11">
                    <c:v>0.108331619972089</c:v>
                  </c:pt>
                  <c:pt idx="12">
                    <c:v>0.127235635514212</c:v>
                  </c:pt>
                  <c:pt idx="13">
                    <c:v>0.374314219746958</c:v>
                  </c:pt>
                  <c:pt idx="14">
                    <c:v>0.386089219817359</c:v>
                  </c:pt>
                  <c:pt idx="15">
                    <c:v>0.300608981402956</c:v>
                  </c:pt>
                  <c:pt idx="16">
                    <c:v>0.273359711844517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0.0227130593648429</c:v>
                  </c:pt>
                  <c:pt idx="1">
                    <c:v>0.0861007112563688</c:v>
                  </c:pt>
                  <c:pt idx="2">
                    <c:v>0.0820524894436128</c:v>
                  </c:pt>
                  <c:pt idx="3">
                    <c:v>0.120583858235954</c:v>
                  </c:pt>
                  <c:pt idx="4">
                    <c:v>0.0131936054992014</c:v>
                  </c:pt>
                  <c:pt idx="5">
                    <c:v>0.245404496541197</c:v>
                  </c:pt>
                  <c:pt idx="6">
                    <c:v>0.0353428078642374</c:v>
                  </c:pt>
                  <c:pt idx="7">
                    <c:v>0.0270399997764894</c:v>
                  </c:pt>
                  <c:pt idx="8">
                    <c:v>0.135525157150487</c:v>
                  </c:pt>
                  <c:pt idx="9">
                    <c:v>0.36185792231206</c:v>
                  </c:pt>
                  <c:pt idx="10">
                    <c:v>0.733898977783872</c:v>
                  </c:pt>
                  <c:pt idx="11">
                    <c:v>0.108331619972089</c:v>
                  </c:pt>
                  <c:pt idx="12">
                    <c:v>0.127235635514212</c:v>
                  </c:pt>
                  <c:pt idx="13">
                    <c:v>0.374314219746958</c:v>
                  </c:pt>
                  <c:pt idx="14">
                    <c:v>0.386089219817359</c:v>
                  </c:pt>
                  <c:pt idx="15">
                    <c:v>0.300608981402956</c:v>
                  </c:pt>
                  <c:pt idx="16">
                    <c:v>0.273359711844517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2.066888402200703</c:v>
                </c:pt>
                <c:pt idx="1">
                  <c:v>2.941329031324886</c:v>
                </c:pt>
                <c:pt idx="2">
                  <c:v>3.618405293613671</c:v>
                </c:pt>
                <c:pt idx="3">
                  <c:v>4.489276821509812</c:v>
                </c:pt>
                <c:pt idx="4">
                  <c:v>6.154804002728873</c:v>
                </c:pt>
                <c:pt idx="5">
                  <c:v>8.392308812020214</c:v>
                </c:pt>
                <c:pt idx="6">
                  <c:v>13.48133282657807</c:v>
                </c:pt>
                <c:pt idx="7">
                  <c:v>18.53871699043924</c:v>
                </c:pt>
                <c:pt idx="8">
                  <c:v>25.27979805823039</c:v>
                </c:pt>
                <c:pt idx="9">
                  <c:v>27.00813388307542</c:v>
                </c:pt>
                <c:pt idx="10">
                  <c:v>27.46963830005413</c:v>
                </c:pt>
                <c:pt idx="11">
                  <c:v>27.27560147479451</c:v>
                </c:pt>
                <c:pt idx="12">
                  <c:v>28.85432995507402</c:v>
                </c:pt>
                <c:pt idx="13">
                  <c:v>28.8703601383824</c:v>
                </c:pt>
                <c:pt idx="14">
                  <c:v>28.79332746335282</c:v>
                </c:pt>
                <c:pt idx="15">
                  <c:v>29.60361614370909</c:v>
                </c:pt>
                <c:pt idx="16">
                  <c:v>32.10668612659181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0.0057981587497053</c:v>
                </c:pt>
                <c:pt idx="1">
                  <c:v>0.128073917855945</c:v>
                </c:pt>
                <c:pt idx="2">
                  <c:v>0.511880231699604</c:v>
                </c:pt>
                <c:pt idx="3">
                  <c:v>1.050131137298863</c:v>
                </c:pt>
                <c:pt idx="4">
                  <c:v>1.587835771990904</c:v>
                </c:pt>
                <c:pt idx="5">
                  <c:v>2.121636791297335</c:v>
                </c:pt>
                <c:pt idx="6">
                  <c:v>2.644595420730148</c:v>
                </c:pt>
                <c:pt idx="7">
                  <c:v>3.226191393059905</c:v>
                </c:pt>
                <c:pt idx="8">
                  <c:v>3.960082611728538</c:v>
                </c:pt>
                <c:pt idx="9">
                  <c:v>4.894948702653044</c:v>
                </c:pt>
                <c:pt idx="10">
                  <c:v>6.110333257342829</c:v>
                </c:pt>
                <c:pt idx="11">
                  <c:v>7.497622214260558</c:v>
                </c:pt>
                <c:pt idx="12">
                  <c:v>8.965436185870586</c:v>
                </c:pt>
                <c:pt idx="13">
                  <c:v>10.55570961723372</c:v>
                </c:pt>
                <c:pt idx="14">
                  <c:v>12.23147647302828</c:v>
                </c:pt>
                <c:pt idx="15">
                  <c:v>14.04333320059397</c:v>
                </c:pt>
                <c:pt idx="16">
                  <c:v>16.05059373487068</c:v>
                </c:pt>
                <c:pt idx="17">
                  <c:v>18.22259544785473</c:v>
                </c:pt>
                <c:pt idx="18">
                  <c:v>20.55970240808667</c:v>
                </c:pt>
                <c:pt idx="19">
                  <c:v>22.96448343044151</c:v>
                </c:pt>
                <c:pt idx="20">
                  <c:v>25.01338811282618</c:v>
                </c:pt>
                <c:pt idx="21">
                  <c:v>26.4390526262307</c:v>
                </c:pt>
                <c:pt idx="22">
                  <c:v>27.60280056502801</c:v>
                </c:pt>
                <c:pt idx="23">
                  <c:v>28.70696047015601</c:v>
                </c:pt>
                <c:pt idx="24">
                  <c:v>29.49116487985081</c:v>
                </c:pt>
                <c:pt idx="25">
                  <c:v>29.82627583796885</c:v>
                </c:pt>
                <c:pt idx="26">
                  <c:v>29.90105188714629</c:v>
                </c:pt>
                <c:pt idx="27">
                  <c:v>29.92584257683223</c:v>
                </c:pt>
                <c:pt idx="28">
                  <c:v>29.93786966702964</c:v>
                </c:pt>
                <c:pt idx="29">
                  <c:v>29.94715394441775</c:v>
                </c:pt>
                <c:pt idx="30">
                  <c:v>29.95598280112269</c:v>
                </c:pt>
                <c:pt idx="31">
                  <c:v>29.96405592416647</c:v>
                </c:pt>
                <c:pt idx="32">
                  <c:v>29.97403409713139</c:v>
                </c:pt>
                <c:pt idx="33">
                  <c:v>29.98522613458004</c:v>
                </c:pt>
                <c:pt idx="34">
                  <c:v>29.99564745385578</c:v>
                </c:pt>
                <c:pt idx="35">
                  <c:v>30.00583136663657</c:v>
                </c:pt>
                <c:pt idx="36">
                  <c:v>30.01609420029155</c:v>
                </c:pt>
                <c:pt idx="37">
                  <c:v>30.02632260124955</c:v>
                </c:pt>
                <c:pt idx="38">
                  <c:v>30.03670694003482</c:v>
                </c:pt>
                <c:pt idx="39">
                  <c:v>30.04702404814007</c:v>
                </c:pt>
                <c:pt idx="40">
                  <c:v>30.05749709407259</c:v>
                </c:pt>
                <c:pt idx="41">
                  <c:v>30.06752473674997</c:v>
                </c:pt>
                <c:pt idx="42">
                  <c:v>30.07697298169186</c:v>
                </c:pt>
                <c:pt idx="43">
                  <c:v>30.08653234400768</c:v>
                </c:pt>
                <c:pt idx="44">
                  <c:v>30.09613605989713</c:v>
                </c:pt>
                <c:pt idx="45">
                  <c:v>30.10672022320358</c:v>
                </c:pt>
                <c:pt idx="46">
                  <c:v>30.11837400795402</c:v>
                </c:pt>
                <c:pt idx="47">
                  <c:v>30.1301393769581</c:v>
                </c:pt>
                <c:pt idx="48">
                  <c:v>30.14145546899211</c:v>
                </c:pt>
                <c:pt idx="49">
                  <c:v>30.15256409077166</c:v>
                </c:pt>
                <c:pt idx="50">
                  <c:v>30.16414065546504</c:v>
                </c:pt>
                <c:pt idx="51">
                  <c:v>30.17712006891476</c:v>
                </c:pt>
                <c:pt idx="52">
                  <c:v>30.19019258095466</c:v>
                </c:pt>
                <c:pt idx="53">
                  <c:v>30.20296129759501</c:v>
                </c:pt>
                <c:pt idx="54">
                  <c:v>30.21479461840028</c:v>
                </c:pt>
                <c:pt idx="55">
                  <c:v>30.22646428168385</c:v>
                </c:pt>
                <c:pt idx="56">
                  <c:v>30.23899927186357</c:v>
                </c:pt>
                <c:pt idx="57">
                  <c:v>30.25139412416543</c:v>
                </c:pt>
                <c:pt idx="58">
                  <c:v>30.26435050796389</c:v>
                </c:pt>
                <c:pt idx="59">
                  <c:v>30.27786793326637</c:v>
                </c:pt>
                <c:pt idx="60">
                  <c:v>30.29214776295879</c:v>
                </c:pt>
                <c:pt idx="61">
                  <c:v>30.30737617937328</c:v>
                </c:pt>
                <c:pt idx="62">
                  <c:v>30.3237650333874</c:v>
                </c:pt>
                <c:pt idx="63">
                  <c:v>30.34045020235009</c:v>
                </c:pt>
                <c:pt idx="64">
                  <c:v>30.35622212140148</c:v>
                </c:pt>
                <c:pt idx="65">
                  <c:v>30.37159895385478</c:v>
                </c:pt>
                <c:pt idx="66">
                  <c:v>30.38769149292033</c:v>
                </c:pt>
                <c:pt idx="67">
                  <c:v>30.40331499593291</c:v>
                </c:pt>
                <c:pt idx="68">
                  <c:v>30.41876577784108</c:v>
                </c:pt>
                <c:pt idx="69">
                  <c:v>30.43414261029438</c:v>
                </c:pt>
                <c:pt idx="70">
                  <c:v>30.4481371567834</c:v>
                </c:pt>
                <c:pt idx="71">
                  <c:v>30.46161353995922</c:v>
                </c:pt>
                <c:pt idx="72">
                  <c:v>30.47546018753848</c:v>
                </c:pt>
                <c:pt idx="73">
                  <c:v>30.48980017623631</c:v>
                </c:pt>
                <c:pt idx="74">
                  <c:v>30.50322691502284</c:v>
                </c:pt>
                <c:pt idx="75">
                  <c:v>30.51606154104128</c:v>
                </c:pt>
                <c:pt idx="76">
                  <c:v>30.52934038091805</c:v>
                </c:pt>
                <c:pt idx="77">
                  <c:v>30.54210054035256</c:v>
                </c:pt>
                <c:pt idx="78">
                  <c:v>30.55488552198171</c:v>
                </c:pt>
                <c:pt idx="79">
                  <c:v>30.56833708296288</c:v>
                </c:pt>
                <c:pt idx="80">
                  <c:v>30.58065302853906</c:v>
                </c:pt>
                <c:pt idx="81">
                  <c:v>30.59378345237702</c:v>
                </c:pt>
                <c:pt idx="82">
                  <c:v>30.60760527776164</c:v>
                </c:pt>
                <c:pt idx="83">
                  <c:v>30.6196254255183</c:v>
                </c:pt>
                <c:pt idx="84">
                  <c:v>30.63100381611759</c:v>
                </c:pt>
                <c:pt idx="85">
                  <c:v>30.64339422827771</c:v>
                </c:pt>
                <c:pt idx="86">
                  <c:v>30.65687061145352</c:v>
                </c:pt>
                <c:pt idx="87">
                  <c:v>30.66980400912149</c:v>
                </c:pt>
                <c:pt idx="88">
                  <c:v>30.68226837073648</c:v>
                </c:pt>
                <c:pt idx="89">
                  <c:v>30.69406615299946</c:v>
                </c:pt>
                <c:pt idx="90">
                  <c:v>30.70593788471731</c:v>
                </c:pt>
                <c:pt idx="91">
                  <c:v>30.71901918129504</c:v>
                </c:pt>
                <c:pt idx="92">
                  <c:v>30.73316162669382</c:v>
                </c:pt>
                <c:pt idx="93">
                  <c:v>30.74597091338856</c:v>
                </c:pt>
                <c:pt idx="94">
                  <c:v>30.76033520715198</c:v>
                </c:pt>
                <c:pt idx="95">
                  <c:v>30.77529213081254</c:v>
                </c:pt>
                <c:pt idx="96">
                  <c:v>30.78769069890279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3560"/>
        <c:axId val="-211373052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11129.0</c:v>
                </c:pt>
                <c:pt idx="1">
                  <c:v>11240.0</c:v>
                </c:pt>
                <c:pt idx="2">
                  <c:v>17390.0</c:v>
                </c:pt>
                <c:pt idx="3">
                  <c:v>3278.0</c:v>
                </c:pt>
                <c:pt idx="4">
                  <c:v>4814.0</c:v>
                </c:pt>
                <c:pt idx="5">
                  <c:v>12128.0</c:v>
                </c:pt>
                <c:pt idx="6">
                  <c:v>22397.0</c:v>
                </c:pt>
                <c:pt idx="7">
                  <c:v>40826.0</c:v>
                </c:pt>
                <c:pt idx="8">
                  <c:v>5083.0</c:v>
                </c:pt>
                <c:pt idx="9">
                  <c:v>6478.0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0.0402833999351263</c:v>
                  </c:pt>
                  <c:pt idx="3">
                    <c:v>0.0244510963830527</c:v>
                  </c:pt>
                  <c:pt idx="4">
                    <c:v>0.122255481915264</c:v>
                  </c:pt>
                  <c:pt idx="5">
                    <c:v>0.0937924606902565</c:v>
                  </c:pt>
                  <c:pt idx="6">
                    <c:v>0.11089974910702</c:v>
                  </c:pt>
                  <c:pt idx="7">
                    <c:v>0.192084</c:v>
                  </c:pt>
                  <c:pt idx="8">
                    <c:v>0.195608771064422</c:v>
                  </c:pt>
                  <c:pt idx="9">
                    <c:v>0.303007619637417</c:v>
                  </c:pt>
                  <c:pt idx="10">
                    <c:v>0.380341724853563</c:v>
                  </c:pt>
                  <c:pt idx="11">
                    <c:v>0.337288419243828</c:v>
                  </c:pt>
                  <c:pt idx="12">
                    <c:v>0.112429473081275</c:v>
                  </c:pt>
                  <c:pt idx="13">
                    <c:v>0.224098</c:v>
                  </c:pt>
                  <c:pt idx="14">
                    <c:v>0.10291061182081</c:v>
                  </c:pt>
                  <c:pt idx="15">
                    <c:v>0.0978043855322105</c:v>
                  </c:pt>
                  <c:pt idx="16">
                    <c:v>0.131022941819362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0.0402833999351263</c:v>
                  </c:pt>
                  <c:pt idx="3">
                    <c:v>0.0244510963830527</c:v>
                  </c:pt>
                  <c:pt idx="4">
                    <c:v>0.122255481915264</c:v>
                  </c:pt>
                  <c:pt idx="5">
                    <c:v>0.0937924606902565</c:v>
                  </c:pt>
                  <c:pt idx="6">
                    <c:v>0.11089974910702</c:v>
                  </c:pt>
                  <c:pt idx="7">
                    <c:v>0.192084</c:v>
                  </c:pt>
                  <c:pt idx="8">
                    <c:v>0.195608771064422</c:v>
                  </c:pt>
                  <c:pt idx="9">
                    <c:v>0.303007619637417</c:v>
                  </c:pt>
                  <c:pt idx="10">
                    <c:v>0.380341724853563</c:v>
                  </c:pt>
                  <c:pt idx="11">
                    <c:v>0.337288419243828</c:v>
                  </c:pt>
                  <c:pt idx="12">
                    <c:v>0.112429473081275</c:v>
                  </c:pt>
                  <c:pt idx="13">
                    <c:v>0.224098</c:v>
                  </c:pt>
                  <c:pt idx="14">
                    <c:v>0.10291061182081</c:v>
                  </c:pt>
                  <c:pt idx="15">
                    <c:v>0.0978043855322105</c:v>
                  </c:pt>
                  <c:pt idx="16">
                    <c:v>0.131022941819362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0.3163435</c:v>
                </c:pt>
                <c:pt idx="1">
                  <c:v>0.4604065</c:v>
                </c:pt>
                <c:pt idx="2">
                  <c:v>0.511608666666667</c:v>
                </c:pt>
                <c:pt idx="3">
                  <c:v>0.853091333333333</c:v>
                </c:pt>
                <c:pt idx="4">
                  <c:v>1.557399333333333</c:v>
                </c:pt>
                <c:pt idx="5">
                  <c:v>2.672553666666666</c:v>
                </c:pt>
                <c:pt idx="6">
                  <c:v>4.630128</c:v>
                </c:pt>
                <c:pt idx="7">
                  <c:v>7.383332</c:v>
                </c:pt>
                <c:pt idx="8">
                  <c:v>10.22190666666667</c:v>
                </c:pt>
                <c:pt idx="9">
                  <c:v>10.53640333333333</c:v>
                </c:pt>
                <c:pt idx="10">
                  <c:v>9.575983333333333</c:v>
                </c:pt>
                <c:pt idx="11">
                  <c:v>9.272158000000001</c:v>
                </c:pt>
                <c:pt idx="12">
                  <c:v>8.674563333333333</c:v>
                </c:pt>
                <c:pt idx="13">
                  <c:v>8.247710000000001</c:v>
                </c:pt>
                <c:pt idx="14">
                  <c:v>7.436688666666667</c:v>
                </c:pt>
                <c:pt idx="15">
                  <c:v>5.217051333333334</c:v>
                </c:pt>
                <c:pt idx="16">
                  <c:v>2.347078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04760"/>
        <c:axId val="-2096973864"/>
      </c:scatterChart>
      <c:valAx>
        <c:axId val="-209254356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3730520"/>
        <c:crosses val="autoZero"/>
        <c:crossBetween val="midCat"/>
        <c:majorUnit val="6.0"/>
      </c:valAx>
      <c:valAx>
        <c:axId val="-211373052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2543560"/>
        <c:crosses val="autoZero"/>
        <c:crossBetween val="midCat"/>
      </c:valAx>
      <c:valAx>
        <c:axId val="-2096973864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27504760"/>
        <c:crosses val="max"/>
        <c:crossBetween val="midCat"/>
        <c:majorUnit val="1.0"/>
        <c:minorUnit val="0.2"/>
      </c:valAx>
      <c:valAx>
        <c:axId val="-2127504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9697386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4" sqref="C14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24" t="s">
        <v>0</v>
      </c>
      <c r="B1" s="125"/>
      <c r="C1" s="33">
        <v>42046</v>
      </c>
    </row>
    <row r="2" spans="1:3" ht="16">
      <c r="A2" s="124" t="s">
        <v>1</v>
      </c>
      <c r="B2" s="126"/>
      <c r="C2" s="31" t="s">
        <v>147</v>
      </c>
    </row>
    <row r="3" spans="1:3">
      <c r="A3" s="11"/>
      <c r="B3" s="11"/>
      <c r="C3" s="10"/>
    </row>
    <row r="4" spans="1:3">
      <c r="A4" s="127" t="s">
        <v>49</v>
      </c>
      <c r="B4" s="127"/>
      <c r="C4" s="7" t="s">
        <v>107</v>
      </c>
    </row>
    <row r="6" spans="1:3">
      <c r="A6" s="40" t="s">
        <v>83</v>
      </c>
      <c r="B6" s="40" t="s">
        <v>84</v>
      </c>
      <c r="C6" s="40" t="s">
        <v>69</v>
      </c>
    </row>
    <row r="7" spans="1:3">
      <c r="A7" s="31" t="s">
        <v>85</v>
      </c>
      <c r="B7" s="36" t="s">
        <v>86</v>
      </c>
      <c r="C7" s="36" t="s">
        <v>101</v>
      </c>
    </row>
    <row r="8" spans="1:3">
      <c r="A8" s="31" t="s">
        <v>87</v>
      </c>
      <c r="B8" s="36" t="s">
        <v>88</v>
      </c>
      <c r="C8" s="36" t="s">
        <v>101</v>
      </c>
    </row>
    <row r="9" spans="1:3">
      <c r="A9" s="31" t="s">
        <v>89</v>
      </c>
      <c r="B9" s="36" t="s">
        <v>90</v>
      </c>
      <c r="C9" s="36" t="s">
        <v>101</v>
      </c>
    </row>
    <row r="10" spans="1:3">
      <c r="A10" s="31" t="s">
        <v>91</v>
      </c>
      <c r="B10" s="36" t="s">
        <v>92</v>
      </c>
      <c r="C10" s="36" t="s">
        <v>101</v>
      </c>
    </row>
    <row r="11" spans="1:3">
      <c r="A11" s="29" t="s">
        <v>154</v>
      </c>
      <c r="B11" s="29" t="s">
        <v>155</v>
      </c>
      <c r="C11" s="29" t="s">
        <v>101</v>
      </c>
    </row>
    <row r="12" spans="1:3">
      <c r="A12" s="31" t="s">
        <v>73</v>
      </c>
      <c r="B12" s="36" t="s">
        <v>93</v>
      </c>
      <c r="C12" s="36" t="s">
        <v>101</v>
      </c>
    </row>
    <row r="13" spans="1:3" ht="16">
      <c r="A13" s="68" t="s">
        <v>77</v>
      </c>
      <c r="B13" s="36" t="s">
        <v>94</v>
      </c>
      <c r="C13" s="36" t="s">
        <v>101</v>
      </c>
    </row>
    <row r="14" spans="1:3" ht="16">
      <c r="A14" s="68" t="s">
        <v>76</v>
      </c>
      <c r="B14" s="36" t="s">
        <v>94</v>
      </c>
      <c r="C14" s="36" t="s">
        <v>101</v>
      </c>
    </row>
    <row r="15" spans="1:3" ht="16">
      <c r="A15" s="31" t="s">
        <v>109</v>
      </c>
      <c r="B15" s="36" t="s">
        <v>95</v>
      </c>
      <c r="C15" s="36" t="s">
        <v>101</v>
      </c>
    </row>
    <row r="16" spans="1:3" ht="16">
      <c r="A16" s="31" t="s">
        <v>108</v>
      </c>
      <c r="B16" s="36" t="s">
        <v>94</v>
      </c>
      <c r="C16" s="36" t="s">
        <v>101</v>
      </c>
    </row>
    <row r="17" spans="1:3" ht="16">
      <c r="A17" s="31" t="s">
        <v>110</v>
      </c>
      <c r="B17" s="36" t="s">
        <v>94</v>
      </c>
      <c r="C17" s="36" t="s">
        <v>101</v>
      </c>
    </row>
    <row r="18" spans="1:3" ht="16">
      <c r="A18" s="31" t="s">
        <v>111</v>
      </c>
      <c r="B18" s="36" t="s">
        <v>148</v>
      </c>
      <c r="C18" s="36" t="s">
        <v>101</v>
      </c>
    </row>
    <row r="19" spans="1:3" ht="16">
      <c r="A19" s="31" t="s">
        <v>75</v>
      </c>
      <c r="B19" s="36" t="s">
        <v>149</v>
      </c>
      <c r="C19" s="36" t="s">
        <v>101</v>
      </c>
    </row>
    <row r="20" spans="1:3" ht="16">
      <c r="A20" s="31" t="s">
        <v>112</v>
      </c>
      <c r="B20" s="36" t="s">
        <v>96</v>
      </c>
      <c r="C20" s="36" t="s">
        <v>101</v>
      </c>
    </row>
    <row r="21" spans="1:3" ht="16">
      <c r="A21" s="31" t="s">
        <v>113</v>
      </c>
      <c r="B21" s="36" t="s">
        <v>97</v>
      </c>
      <c r="C21" s="36" t="s">
        <v>101</v>
      </c>
    </row>
    <row r="22" spans="1:3" ht="16">
      <c r="A22" s="31" t="s">
        <v>114</v>
      </c>
      <c r="B22" s="36" t="s">
        <v>98</v>
      </c>
      <c r="C22" s="36" t="s">
        <v>101</v>
      </c>
    </row>
    <row r="23" spans="1:3" ht="16">
      <c r="A23" s="31" t="s">
        <v>115</v>
      </c>
      <c r="B23" s="36" t="s">
        <v>98</v>
      </c>
      <c r="C23" s="36" t="s">
        <v>101</v>
      </c>
    </row>
    <row r="24" spans="1:3">
      <c r="A24" s="31" t="s">
        <v>99</v>
      </c>
      <c r="B24" s="36" t="s">
        <v>98</v>
      </c>
      <c r="C24" s="36" t="s">
        <v>101</v>
      </c>
    </row>
    <row r="25" spans="1:3">
      <c r="A25" s="31" t="s">
        <v>100</v>
      </c>
      <c r="B25" s="36" t="s">
        <v>98</v>
      </c>
      <c r="C25" s="36" t="s">
        <v>101</v>
      </c>
    </row>
    <row r="26" spans="1:3">
      <c r="A26" s="31" t="s">
        <v>74</v>
      </c>
      <c r="B26" s="36" t="s">
        <v>102</v>
      </c>
      <c r="C26" s="36" t="s">
        <v>103</v>
      </c>
    </row>
    <row r="27" spans="1:3">
      <c r="A27" s="31" t="s">
        <v>104</v>
      </c>
      <c r="B27" s="36" t="s">
        <v>101</v>
      </c>
      <c r="C27" s="36" t="s">
        <v>106</v>
      </c>
    </row>
    <row r="28" spans="1:3">
      <c r="A28" s="31" t="s">
        <v>105</v>
      </c>
      <c r="B28" s="36" t="s">
        <v>101</v>
      </c>
      <c r="C28" s="36" t="s">
        <v>106</v>
      </c>
    </row>
    <row r="29" spans="1:3" ht="16">
      <c r="A29" s="29" t="s">
        <v>142</v>
      </c>
      <c r="B29" s="29" t="s">
        <v>143</v>
      </c>
      <c r="C29" s="29" t="s">
        <v>144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28" t="s">
        <v>4</v>
      </c>
      <c r="B1" s="128" t="s">
        <v>117</v>
      </c>
      <c r="C1" s="128" t="s">
        <v>117</v>
      </c>
      <c r="D1" s="128" t="s">
        <v>5</v>
      </c>
      <c r="E1" s="128" t="s">
        <v>19</v>
      </c>
      <c r="F1" s="128" t="s">
        <v>24</v>
      </c>
      <c r="G1" s="127" t="s">
        <v>25</v>
      </c>
      <c r="H1" s="124" t="s">
        <v>26</v>
      </c>
      <c r="I1" s="4" t="s">
        <v>27</v>
      </c>
      <c r="J1" s="52" t="s">
        <v>27</v>
      </c>
    </row>
    <row r="2" spans="1:10">
      <c r="A2" s="129"/>
      <c r="B2" s="129"/>
      <c r="C2" s="129"/>
      <c r="D2" s="129"/>
      <c r="E2" s="129"/>
      <c r="F2" s="129"/>
      <c r="G2" s="127"/>
      <c r="H2" s="124"/>
      <c r="I2" s="5" t="s">
        <v>28</v>
      </c>
      <c r="J2" s="53" t="s">
        <v>23</v>
      </c>
    </row>
    <row r="3" spans="1:10">
      <c r="A3" s="61" t="s">
        <v>6</v>
      </c>
      <c r="B3" s="31">
        <v>-10</v>
      </c>
      <c r="C3" s="31">
        <f>B3</f>
        <v>-10</v>
      </c>
      <c r="D3" s="13">
        <f>C3/60</f>
        <v>-0.16666666666666666</v>
      </c>
      <c r="E3" s="39">
        <v>1</v>
      </c>
      <c r="F3" s="49">
        <v>8.8999999999999996E-2</v>
      </c>
      <c r="G3" s="49">
        <v>8.8999999999999996E-2</v>
      </c>
      <c r="H3" s="49">
        <v>8.8999999999999996E-2</v>
      </c>
      <c r="I3" s="50">
        <f>E3*(AVERAGE(F3:H3)*1.6007-0.0118)</f>
        <v>0.13066230000000001</v>
      </c>
      <c r="J3" s="50">
        <f>E3*(STDEV(F3:H3)*1.6007)</f>
        <v>2.7206696834821082E-17</v>
      </c>
    </row>
    <row r="4" spans="1:10">
      <c r="A4" s="63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39">
        <v>1</v>
      </c>
      <c r="F4" s="49">
        <v>0.20499999999999999</v>
      </c>
      <c r="G4" s="49">
        <v>0.20499999999999999</v>
      </c>
      <c r="H4" s="49">
        <v>0.20499999999999999</v>
      </c>
      <c r="I4" s="50">
        <f>E4*(AVERAGE(F4:H4)*1.6007-0.0118)</f>
        <v>0.3163435</v>
      </c>
      <c r="J4" s="50">
        <f t="shared" ref="J4:J9" si="1">E4*(STDEV(F4:H4)*1.6007)</f>
        <v>0</v>
      </c>
    </row>
    <row r="5" spans="1:10">
      <c r="A5" s="63">
        <v>1</v>
      </c>
      <c r="B5" s="31">
        <v>110</v>
      </c>
      <c r="C5" s="31">
        <f>C4+B5</f>
        <v>120</v>
      </c>
      <c r="D5" s="13">
        <f t="shared" si="0"/>
        <v>2</v>
      </c>
      <c r="E5" s="39">
        <v>1</v>
      </c>
      <c r="F5" s="49">
        <v>0.29499999999999998</v>
      </c>
      <c r="G5" s="49">
        <v>0.29499999999999998</v>
      </c>
      <c r="H5" s="49">
        <v>0.29499999999999998</v>
      </c>
      <c r="I5" s="50">
        <f t="shared" ref="I5:I9" si="2">E5*(AVERAGE(F5:H5)*1.6007-0.0118)</f>
        <v>0.4604065</v>
      </c>
      <c r="J5" s="50">
        <f t="shared" si="1"/>
        <v>0</v>
      </c>
    </row>
    <row r="6" spans="1:10">
      <c r="A6" s="63">
        <v>2</v>
      </c>
      <c r="B6" s="31">
        <v>80</v>
      </c>
      <c r="C6" s="31">
        <f>C5+B6</f>
        <v>200</v>
      </c>
      <c r="D6" s="13">
        <f t="shared" si="0"/>
        <v>3.3333333333333335</v>
      </c>
      <c r="E6" s="39">
        <v>10</v>
      </c>
      <c r="F6" s="49">
        <v>3.6999999999999998E-2</v>
      </c>
      <c r="G6" s="49">
        <v>3.9E-2</v>
      </c>
      <c r="H6" s="49">
        <v>4.2000000000000003E-2</v>
      </c>
      <c r="I6" s="50">
        <f t="shared" si="2"/>
        <v>0.51160866666666671</v>
      </c>
      <c r="J6" s="50">
        <f t="shared" si="1"/>
        <v>4.0283399935126328E-2</v>
      </c>
    </row>
    <row r="7" spans="1:10">
      <c r="A7" s="63">
        <v>3</v>
      </c>
      <c r="B7" s="31">
        <v>80</v>
      </c>
      <c r="C7" s="31">
        <f>C6+B7</f>
        <v>280</v>
      </c>
      <c r="D7" s="13">
        <f t="shared" si="0"/>
        <v>4.666666666666667</v>
      </c>
      <c r="E7" s="39">
        <v>10</v>
      </c>
      <c r="F7" s="49">
        <v>6.2E-2</v>
      </c>
      <c r="G7" s="49">
        <v>6.0999999999999999E-2</v>
      </c>
      <c r="H7" s="49">
        <v>5.8999999999999997E-2</v>
      </c>
      <c r="I7" s="50">
        <f t="shared" si="2"/>
        <v>0.85309133333333331</v>
      </c>
      <c r="J7" s="50">
        <f t="shared" si="1"/>
        <v>2.4451096383052734E-2</v>
      </c>
    </row>
    <row r="8" spans="1:10">
      <c r="A8" s="63">
        <v>4</v>
      </c>
      <c r="B8" s="31">
        <v>80</v>
      </c>
      <c r="C8" s="31">
        <f t="shared" ref="C8:C18" si="3">C7+B8</f>
        <v>360</v>
      </c>
      <c r="D8" s="13">
        <f t="shared" si="0"/>
        <v>6</v>
      </c>
      <c r="E8" s="39">
        <v>10</v>
      </c>
      <c r="F8" s="49">
        <v>0.113</v>
      </c>
      <c r="G8" s="49">
        <v>0.10299999999999999</v>
      </c>
      <c r="H8" s="49">
        <v>9.8000000000000004E-2</v>
      </c>
      <c r="I8" s="50">
        <f t="shared" si="2"/>
        <v>1.5573993333333334</v>
      </c>
      <c r="J8" s="50">
        <f t="shared" si="1"/>
        <v>0.12225548191526356</v>
      </c>
    </row>
    <row r="9" spans="1:10">
      <c r="A9" s="63">
        <v>5</v>
      </c>
      <c r="B9" s="31">
        <v>80</v>
      </c>
      <c r="C9" s="31">
        <f t="shared" si="3"/>
        <v>440</v>
      </c>
      <c r="D9" s="13">
        <f t="shared" si="0"/>
        <v>7.333333333333333</v>
      </c>
      <c r="E9" s="39">
        <v>10</v>
      </c>
      <c r="F9" s="49">
        <v>0.17</v>
      </c>
      <c r="G9" s="49">
        <v>0.17199999999999999</v>
      </c>
      <c r="H9" s="49">
        <v>0.18099999999999999</v>
      </c>
      <c r="I9" s="50">
        <f t="shared" si="2"/>
        <v>2.6725536666666665</v>
      </c>
      <c r="J9" s="50">
        <f t="shared" si="1"/>
        <v>9.3792460690256541E-2</v>
      </c>
    </row>
    <row r="10" spans="1:10">
      <c r="A10" s="63">
        <v>6</v>
      </c>
      <c r="B10" s="31">
        <v>80</v>
      </c>
      <c r="C10" s="31">
        <f t="shared" si="3"/>
        <v>520</v>
      </c>
      <c r="D10" s="13">
        <f t="shared" si="0"/>
        <v>8.6666666666666661</v>
      </c>
      <c r="E10" s="39">
        <v>20</v>
      </c>
      <c r="F10" s="49">
        <v>0.15</v>
      </c>
      <c r="G10" s="49">
        <v>0.156</v>
      </c>
      <c r="H10" s="49">
        <v>0.15</v>
      </c>
      <c r="I10" s="50">
        <f t="shared" ref="I10:I20" si="4">E10*(AVERAGE(F10:H10)*1.6007-0.0118)</f>
        <v>4.630128</v>
      </c>
      <c r="J10" s="50">
        <f t="shared" ref="J10:J20" si="5">E10*(STDEV(F10:H10)*1.6007)</f>
        <v>0.11089974910702019</v>
      </c>
    </row>
    <row r="11" spans="1:10">
      <c r="A11" s="63">
        <v>7</v>
      </c>
      <c r="B11" s="31">
        <v>80</v>
      </c>
      <c r="C11" s="31">
        <f t="shared" si="3"/>
        <v>600</v>
      </c>
      <c r="D11" s="13">
        <f t="shared" si="0"/>
        <v>10</v>
      </c>
      <c r="E11" s="39">
        <v>20</v>
      </c>
      <c r="F11" s="49">
        <v>0.23200000000000001</v>
      </c>
      <c r="G11" s="49">
        <v>0.23799999999999999</v>
      </c>
      <c r="H11" s="49">
        <v>0.24399999999999999</v>
      </c>
      <c r="I11" s="50">
        <f t="shared" si="4"/>
        <v>7.3833320000000002</v>
      </c>
      <c r="J11" s="50">
        <f t="shared" si="5"/>
        <v>0.19208399999999973</v>
      </c>
    </row>
    <row r="12" spans="1:10">
      <c r="A12" s="63">
        <v>8</v>
      </c>
      <c r="B12" s="31">
        <v>80</v>
      </c>
      <c r="C12" s="31">
        <f t="shared" si="3"/>
        <v>680</v>
      </c>
      <c r="D12" s="13">
        <f t="shared" si="0"/>
        <v>11.333333333333334</v>
      </c>
      <c r="E12" s="39">
        <v>20</v>
      </c>
      <c r="F12" s="49">
        <v>0.32800000000000001</v>
      </c>
      <c r="G12" s="49">
        <v>0.33200000000000002</v>
      </c>
      <c r="H12" s="49">
        <v>0.32</v>
      </c>
      <c r="I12" s="50">
        <f t="shared" si="4"/>
        <v>10.221906666666667</v>
      </c>
      <c r="J12" s="50">
        <f t="shared" si="5"/>
        <v>0.19560877106442187</v>
      </c>
    </row>
    <row r="13" spans="1:10">
      <c r="A13" s="63">
        <v>9</v>
      </c>
      <c r="B13" s="31">
        <v>80</v>
      </c>
      <c r="C13" s="31">
        <f t="shared" si="3"/>
        <v>760</v>
      </c>
      <c r="D13" s="13">
        <f t="shared" si="0"/>
        <v>12.666666666666666</v>
      </c>
      <c r="E13" s="39">
        <v>25</v>
      </c>
      <c r="F13" s="49">
        <v>0.27400000000000002</v>
      </c>
      <c r="G13" s="49">
        <v>0.27600000000000002</v>
      </c>
      <c r="H13" s="49">
        <v>0.26200000000000001</v>
      </c>
      <c r="I13" s="50">
        <f t="shared" si="4"/>
        <v>10.536403333333334</v>
      </c>
      <c r="J13" s="50">
        <f t="shared" si="5"/>
        <v>0.30300761963741685</v>
      </c>
    </row>
    <row r="14" spans="1:10">
      <c r="A14" s="63">
        <v>10</v>
      </c>
      <c r="B14" s="31">
        <v>80</v>
      </c>
      <c r="C14" s="31">
        <f t="shared" si="3"/>
        <v>840</v>
      </c>
      <c r="D14" s="13">
        <f t="shared" si="0"/>
        <v>14</v>
      </c>
      <c r="E14" s="39">
        <v>25</v>
      </c>
      <c r="F14" s="49">
        <v>0.247</v>
      </c>
      <c r="G14" s="49">
        <v>0.25600000000000001</v>
      </c>
      <c r="H14" s="49">
        <v>0.23699999999999999</v>
      </c>
      <c r="I14" s="50">
        <f t="shared" si="4"/>
        <v>9.5759833333333333</v>
      </c>
      <c r="J14" s="50">
        <f t="shared" si="5"/>
        <v>0.38034172485356321</v>
      </c>
    </row>
    <row r="15" spans="1:10">
      <c r="A15" s="63">
        <v>11</v>
      </c>
      <c r="B15" s="31">
        <v>80</v>
      </c>
      <c r="C15" s="31">
        <f t="shared" si="3"/>
        <v>920</v>
      </c>
      <c r="D15" s="13">
        <f t="shared" si="0"/>
        <v>15.333333333333334</v>
      </c>
      <c r="E15" s="39">
        <v>20</v>
      </c>
      <c r="F15" s="49">
        <v>0.308</v>
      </c>
      <c r="G15" s="49">
        <v>0.28699999999999998</v>
      </c>
      <c r="H15" s="49">
        <v>0.29599999999999999</v>
      </c>
      <c r="I15" s="50">
        <f t="shared" si="4"/>
        <v>9.272158000000001</v>
      </c>
      <c r="J15" s="50">
        <f t="shared" si="5"/>
        <v>0.33728841924382791</v>
      </c>
    </row>
    <row r="16" spans="1:10">
      <c r="A16" s="63">
        <v>12</v>
      </c>
      <c r="B16" s="31">
        <v>80</v>
      </c>
      <c r="C16" s="31">
        <f t="shared" si="3"/>
        <v>1000</v>
      </c>
      <c r="D16" s="13">
        <f t="shared" si="0"/>
        <v>16.666666666666668</v>
      </c>
      <c r="E16" s="39">
        <v>20</v>
      </c>
      <c r="F16" s="49">
        <v>0.27800000000000002</v>
      </c>
      <c r="G16" s="49">
        <v>0.27500000000000002</v>
      </c>
      <c r="H16" s="49">
        <v>0.28199999999999997</v>
      </c>
      <c r="I16" s="50">
        <f t="shared" si="4"/>
        <v>8.6745633333333334</v>
      </c>
      <c r="J16" s="50">
        <f t="shared" si="5"/>
        <v>0.11242947308127504</v>
      </c>
    </row>
    <row r="17" spans="1:10">
      <c r="A17" s="63">
        <v>13</v>
      </c>
      <c r="B17" s="31">
        <v>80</v>
      </c>
      <c r="C17" s="31">
        <f t="shared" si="3"/>
        <v>1080</v>
      </c>
      <c r="D17" s="13">
        <f t="shared" si="0"/>
        <v>18</v>
      </c>
      <c r="E17" s="39">
        <v>20</v>
      </c>
      <c r="F17" s="49">
        <v>0.26500000000000001</v>
      </c>
      <c r="G17" s="49">
        <v>0.27200000000000002</v>
      </c>
      <c r="H17" s="49">
        <v>0.25800000000000001</v>
      </c>
      <c r="I17" s="50">
        <f t="shared" si="4"/>
        <v>8.2477100000000014</v>
      </c>
      <c r="J17" s="50">
        <f t="shared" si="5"/>
        <v>0.22409800000000021</v>
      </c>
    </row>
    <row r="18" spans="1:10">
      <c r="A18" s="63">
        <v>14</v>
      </c>
      <c r="B18" s="31">
        <v>360</v>
      </c>
      <c r="C18" s="31">
        <f t="shared" si="3"/>
        <v>1440</v>
      </c>
      <c r="D18" s="13">
        <f t="shared" si="0"/>
        <v>24</v>
      </c>
      <c r="E18" s="39">
        <v>20</v>
      </c>
      <c r="F18" s="49">
        <v>0.24199999999999999</v>
      </c>
      <c r="G18" s="49">
        <v>0.24099999999999999</v>
      </c>
      <c r="H18" s="49">
        <v>0.23599999999999999</v>
      </c>
      <c r="I18" s="50">
        <f>E18*(AVERAGE(F18:H18)*1.6007-0.0118)</f>
        <v>7.4366886666666678</v>
      </c>
      <c r="J18" s="50">
        <f t="shared" si="5"/>
        <v>0.10291061182080959</v>
      </c>
    </row>
    <row r="19" spans="1:10">
      <c r="A19" s="63">
        <v>15</v>
      </c>
      <c r="B19" s="31">
        <v>360</v>
      </c>
      <c r="C19" s="31">
        <f>C18+B19</f>
        <v>1800</v>
      </c>
      <c r="D19" s="13">
        <f t="shared" si="0"/>
        <v>30</v>
      </c>
      <c r="E19" s="39">
        <v>20</v>
      </c>
      <c r="F19" s="49">
        <v>0.16700000000000001</v>
      </c>
      <c r="G19" s="49">
        <v>0.17100000000000001</v>
      </c>
      <c r="H19" s="49">
        <v>0.17299999999999999</v>
      </c>
      <c r="I19" s="50">
        <f>E19*(AVERAGE(F19:H19)*1.6007-0.0118)</f>
        <v>5.2170513333333339</v>
      </c>
      <c r="J19" s="50">
        <f t="shared" si="5"/>
        <v>9.7804385532210547E-2</v>
      </c>
    </row>
    <row r="20" spans="1:10">
      <c r="A20" s="63">
        <v>16</v>
      </c>
      <c r="B20" s="31">
        <v>1080</v>
      </c>
      <c r="C20" s="31">
        <f>C19+B20</f>
        <v>2880</v>
      </c>
      <c r="D20" s="13">
        <f t="shared" si="0"/>
        <v>48</v>
      </c>
      <c r="E20" s="39">
        <v>10</v>
      </c>
      <c r="F20" s="49">
        <v>0.14699999999999999</v>
      </c>
      <c r="G20" s="49">
        <v>0.16300000000000001</v>
      </c>
      <c r="H20" s="49">
        <v>0.152</v>
      </c>
      <c r="I20" s="50">
        <f t="shared" si="4"/>
        <v>2.3470779999999998</v>
      </c>
      <c r="J20" s="50">
        <f t="shared" si="5"/>
        <v>0.13102294181936244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28" t="s">
        <v>4</v>
      </c>
      <c r="B1" s="128" t="s">
        <v>117</v>
      </c>
      <c r="C1" s="128" t="s">
        <v>117</v>
      </c>
      <c r="D1" s="128" t="s">
        <v>5</v>
      </c>
      <c r="E1" s="4" t="s">
        <v>29</v>
      </c>
      <c r="F1" s="4" t="s">
        <v>2</v>
      </c>
      <c r="G1" s="4" t="s">
        <v>32</v>
      </c>
    </row>
    <row r="2" spans="1:7">
      <c r="A2" s="129"/>
      <c r="B2" s="129"/>
      <c r="C2" s="129"/>
      <c r="D2" s="129"/>
      <c r="E2" s="5" t="s">
        <v>30</v>
      </c>
      <c r="F2" s="5" t="s">
        <v>31</v>
      </c>
      <c r="G2" s="5" t="s">
        <v>33</v>
      </c>
    </row>
    <row r="3" spans="1:7">
      <c r="A3" s="61" t="s">
        <v>6</v>
      </c>
      <c r="B3" s="31">
        <v>-10</v>
      </c>
      <c r="C3" s="31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3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3">
        <v>1</v>
      </c>
      <c r="B5" s="31">
        <v>110</v>
      </c>
      <c r="C5" s="31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3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3">
        <v>3</v>
      </c>
      <c r="B7" s="31">
        <v>80</v>
      </c>
      <c r="C7" s="31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3">
        <v>4</v>
      </c>
      <c r="B8" s="31">
        <v>80</v>
      </c>
      <c r="C8" s="31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3">
        <v>5</v>
      </c>
      <c r="B9" s="31">
        <v>80</v>
      </c>
      <c r="C9" s="31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3">
        <v>6</v>
      </c>
      <c r="B10" s="31">
        <v>80</v>
      </c>
      <c r="C10" s="31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3">
        <v>7</v>
      </c>
      <c r="B11" s="31">
        <v>80</v>
      </c>
      <c r="C11" s="31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3">
        <v>8</v>
      </c>
      <c r="B12" s="31">
        <v>80</v>
      </c>
      <c r="C12" s="31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3">
        <v>9</v>
      </c>
      <c r="B13" s="31">
        <v>80</v>
      </c>
      <c r="C13" s="31">
        <f t="shared" si="1"/>
        <v>760</v>
      </c>
      <c r="D13" s="13">
        <f t="shared" si="0"/>
        <v>12.666666666666666</v>
      </c>
      <c r="E13" s="36"/>
      <c r="F13" s="36"/>
      <c r="G13" s="36" t="e">
        <f>(F13-$C$22)/E13*1000*Calculation!I14/Calculation!K13</f>
        <v>#DIV/0!</v>
      </c>
    </row>
    <row r="14" spans="1:7">
      <c r="A14" s="63">
        <v>10</v>
      </c>
      <c r="B14" s="31">
        <v>80</v>
      </c>
      <c r="C14" s="31">
        <f t="shared" si="1"/>
        <v>840</v>
      </c>
      <c r="D14" s="13">
        <f t="shared" si="0"/>
        <v>14</v>
      </c>
      <c r="E14" s="36"/>
      <c r="F14" s="36"/>
      <c r="G14" s="36" t="e">
        <f>(F14-$C$22)/E14*1000*Calculation!I15/Calculation!K14</f>
        <v>#DIV/0!</v>
      </c>
    </row>
    <row r="15" spans="1:7">
      <c r="A15" s="63">
        <v>11</v>
      </c>
      <c r="B15" s="31">
        <v>80</v>
      </c>
      <c r="C15" s="31">
        <f t="shared" si="1"/>
        <v>920</v>
      </c>
      <c r="D15" s="13">
        <f t="shared" si="0"/>
        <v>15.333333333333334</v>
      </c>
      <c r="E15" s="36"/>
      <c r="F15" s="36"/>
      <c r="G15" s="36" t="e">
        <f>(F15-$C$22)/E15*1000*Calculation!I16/Calculation!K15</f>
        <v>#DIV/0!</v>
      </c>
    </row>
    <row r="16" spans="1:7">
      <c r="A16" s="63">
        <v>12</v>
      </c>
      <c r="B16" s="31">
        <v>80</v>
      </c>
      <c r="C16" s="31">
        <f t="shared" si="1"/>
        <v>1000</v>
      </c>
      <c r="D16" s="13">
        <f t="shared" si="0"/>
        <v>16.666666666666668</v>
      </c>
      <c r="E16" s="36"/>
      <c r="F16" s="36"/>
      <c r="G16" s="36" t="e">
        <f>(F16-$C$22)/E16*1000*Calculation!I17/Calculation!K16</f>
        <v>#DIV/0!</v>
      </c>
    </row>
    <row r="17" spans="1:7" ht="15" customHeight="1">
      <c r="A17" s="63">
        <v>13</v>
      </c>
      <c r="B17" s="31">
        <v>80</v>
      </c>
      <c r="C17" s="31">
        <f t="shared" si="1"/>
        <v>1080</v>
      </c>
      <c r="D17" s="13">
        <f t="shared" si="0"/>
        <v>18</v>
      </c>
      <c r="E17" s="36"/>
      <c r="F17" s="36"/>
      <c r="G17" s="36" t="e">
        <f>(F17-$C$22)/E17*1000*Calculation!I18/Calculation!K17</f>
        <v>#DIV/0!</v>
      </c>
    </row>
    <row r="18" spans="1:7">
      <c r="A18" s="63">
        <v>14</v>
      </c>
      <c r="B18" s="31">
        <v>360</v>
      </c>
      <c r="C18" s="31">
        <f t="shared" si="1"/>
        <v>1440</v>
      </c>
      <c r="D18" s="13">
        <f t="shared" si="0"/>
        <v>24</v>
      </c>
      <c r="E18" s="36"/>
      <c r="F18" s="36"/>
      <c r="G18" s="36" t="e">
        <f>(F18-$C$22)/E18*1000*Calculation!I19/Calculation!K18</f>
        <v>#DIV/0!</v>
      </c>
    </row>
    <row r="19" spans="1:7">
      <c r="A19" s="63">
        <v>15</v>
      </c>
      <c r="B19" s="31">
        <v>360</v>
      </c>
      <c r="C19" s="31">
        <f>C18+B19</f>
        <v>1800</v>
      </c>
      <c r="D19" s="13">
        <f t="shared" si="0"/>
        <v>30</v>
      </c>
      <c r="E19" s="39"/>
      <c r="F19" s="39"/>
      <c r="G19" s="39" t="e">
        <f>(F19-$C$22)/E19*1000*Calculation!I21/Calculation!K19</f>
        <v>#DIV/0!</v>
      </c>
    </row>
    <row r="20" spans="1:7">
      <c r="A20" s="63">
        <v>16</v>
      </c>
      <c r="B20" s="31">
        <v>1080</v>
      </c>
      <c r="C20" s="31">
        <f>C19+B20</f>
        <v>2880</v>
      </c>
      <c r="D20" s="13">
        <f t="shared" si="0"/>
        <v>48</v>
      </c>
      <c r="E20" s="39"/>
      <c r="F20" s="39"/>
      <c r="G20" s="39" t="e">
        <f>(F20-$C$22)/E20*1000*Calculation!I22/Calculation!K20</f>
        <v>#DIV/0!</v>
      </c>
    </row>
    <row r="22" spans="1:7">
      <c r="A22" s="151" t="s">
        <v>3</v>
      </c>
      <c r="B22" s="152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69.7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27" t="s">
        <v>5</v>
      </c>
      <c r="B3" s="127" t="s">
        <v>36</v>
      </c>
      <c r="C3" s="127"/>
      <c r="D3" s="127" t="s">
        <v>52</v>
      </c>
      <c r="E3" s="127"/>
      <c r="F3" s="127"/>
      <c r="G3" s="23" t="s">
        <v>53</v>
      </c>
    </row>
    <row r="4" spans="1:10">
      <c r="A4" s="127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74">
        <v>193.3</v>
      </c>
      <c r="C5" s="12">
        <f>B5/1000</f>
        <v>0.1933</v>
      </c>
      <c r="D5" s="12">
        <f>C5/1000*$B$1</f>
        <v>1.3473010000000001E-2</v>
      </c>
      <c r="E5" s="12">
        <f>D5/22.4</f>
        <v>6.0147366071428574E-4</v>
      </c>
      <c r="F5" s="12">
        <f>E5/Calculation!K$4*1000</f>
        <v>3.8654391664702E-4</v>
      </c>
      <c r="G5" s="12">
        <f>(0+F5)/2*30</f>
        <v>5.7981587497052999E-3</v>
      </c>
      <c r="I5" s="75">
        <v>-0.16666666666666666</v>
      </c>
      <c r="J5" t="s">
        <v>165</v>
      </c>
    </row>
    <row r="6" spans="1:10">
      <c r="A6" s="12">
        <v>0.5</v>
      </c>
      <c r="B6" s="74">
        <v>3883.15</v>
      </c>
      <c r="C6" s="12">
        <f t="shared" ref="C6:C69" si="0">B6/1000</f>
        <v>3.8831500000000001</v>
      </c>
      <c r="D6" s="12">
        <f>C6/1000*$B$1</f>
        <v>0.27065555500000005</v>
      </c>
      <c r="E6" s="12">
        <f>D6/22.4</f>
        <v>1.2082837276785717E-2</v>
      </c>
      <c r="F6" s="12">
        <f>E6/Calculation!K$4*1000</f>
        <v>7.7651733571023071E-3</v>
      </c>
      <c r="G6" s="12">
        <f>G5+(F6+F5)/2*30</f>
        <v>0.12807391785594519</v>
      </c>
      <c r="I6" s="75">
        <v>0.16666666666666666</v>
      </c>
      <c r="J6" t="s">
        <v>166</v>
      </c>
    </row>
    <row r="7" spans="1:10">
      <c r="A7" s="12">
        <v>1</v>
      </c>
      <c r="B7" s="74">
        <v>8912.25</v>
      </c>
      <c r="C7" s="12">
        <f t="shared" si="0"/>
        <v>8.9122500000000002</v>
      </c>
      <c r="D7" s="12">
        <f t="shared" ref="D7:D69" si="1">C7/1000*$B$1</f>
        <v>0.62118382500000002</v>
      </c>
      <c r="E7" s="12">
        <f t="shared" ref="E7:E69" si="2">D7/22.4</f>
        <v>2.7731420758928576E-2</v>
      </c>
      <c r="F7" s="12">
        <f>E7/Calculation!K$4*1000</f>
        <v>1.7821914232474929E-2</v>
      </c>
      <c r="G7" s="12">
        <f t="shared" ref="G7:G70" si="3">G6+(F7+F6)/2*30</f>
        <v>0.51188023169960373</v>
      </c>
      <c r="I7" s="75">
        <v>2</v>
      </c>
      <c r="J7" t="s">
        <v>167</v>
      </c>
    </row>
    <row r="8" spans="1:10">
      <c r="A8" s="12">
        <v>1.5</v>
      </c>
      <c r="B8" s="74">
        <v>9032.0499999999993</v>
      </c>
      <c r="C8" s="12">
        <f t="shared" si="0"/>
        <v>9.0320499999999999</v>
      </c>
      <c r="D8" s="12">
        <f t="shared" si="1"/>
        <v>0.62953388499999996</v>
      </c>
      <c r="E8" s="12">
        <f t="shared" si="2"/>
        <v>2.8104191294642856E-2</v>
      </c>
      <c r="F8" s="12">
        <f>E8/Calculation!K$4*1000</f>
        <v>1.8061479474142352E-2</v>
      </c>
      <c r="G8" s="12">
        <f t="shared" si="3"/>
        <v>1.0501311372988629</v>
      </c>
      <c r="I8" s="75">
        <v>3.3333333333333335</v>
      </c>
      <c r="J8" t="s">
        <v>168</v>
      </c>
    </row>
    <row r="9" spans="1:10">
      <c r="A9" s="12">
        <v>2</v>
      </c>
      <c r="B9" s="74">
        <v>8631.61</v>
      </c>
      <c r="C9" s="12">
        <f t="shared" si="0"/>
        <v>8.6316100000000002</v>
      </c>
      <c r="D9" s="12">
        <f t="shared" si="1"/>
        <v>0.60162321699999999</v>
      </c>
      <c r="E9" s="12">
        <f t="shared" si="2"/>
        <v>2.6858179330357144E-2</v>
      </c>
      <c r="F9" s="12">
        <f>E9/Calculation!K$5*1000</f>
        <v>1.7785496171993716E-2</v>
      </c>
      <c r="G9" s="12">
        <f t="shared" si="3"/>
        <v>1.5878357719909038</v>
      </c>
      <c r="I9" s="75">
        <v>4.666666666666667</v>
      </c>
      <c r="J9" t="s">
        <v>169</v>
      </c>
    </row>
    <row r="10" spans="1:10">
      <c r="A10" s="12">
        <v>2.5</v>
      </c>
      <c r="B10" s="74">
        <v>8639.25</v>
      </c>
      <c r="C10" s="12">
        <f t="shared" si="0"/>
        <v>8.6392500000000005</v>
      </c>
      <c r="D10" s="12">
        <f t="shared" si="1"/>
        <v>0.60215572500000014</v>
      </c>
      <c r="E10" s="12">
        <f t="shared" si="2"/>
        <v>2.6881952008928581E-2</v>
      </c>
      <c r="F10" s="12">
        <f>E10/Calculation!K$5*1000</f>
        <v>1.7801238448435088E-2</v>
      </c>
      <c r="G10" s="12">
        <f t="shared" si="3"/>
        <v>2.1216367912973357</v>
      </c>
      <c r="I10" s="75">
        <v>6</v>
      </c>
      <c r="J10" t="s">
        <v>170</v>
      </c>
    </row>
    <row r="11" spans="1:10">
      <c r="A11" s="12">
        <v>3</v>
      </c>
      <c r="B11" s="74">
        <v>8280.81</v>
      </c>
      <c r="C11" s="12">
        <f t="shared" si="0"/>
        <v>8.2808099999999989</v>
      </c>
      <c r="D11" s="12">
        <f t="shared" si="1"/>
        <v>0.57717245699999997</v>
      </c>
      <c r="E11" s="12">
        <f t="shared" si="2"/>
        <v>2.5766627544642859E-2</v>
      </c>
      <c r="F11" s="12">
        <f>E11/Calculation!K$5*1000</f>
        <v>1.7062670180419098E-2</v>
      </c>
      <c r="G11" s="12">
        <f t="shared" si="3"/>
        <v>2.6445954207301483</v>
      </c>
      <c r="I11" s="75">
        <v>7.333333333333333</v>
      </c>
      <c r="J11" t="s">
        <v>171</v>
      </c>
    </row>
    <row r="12" spans="1:10">
      <c r="A12" s="12">
        <v>3.5</v>
      </c>
      <c r="B12" s="74">
        <v>10237.18</v>
      </c>
      <c r="C12" s="12">
        <f t="shared" si="0"/>
        <v>10.23718</v>
      </c>
      <c r="D12" s="12">
        <f t="shared" si="1"/>
        <v>0.71353144600000007</v>
      </c>
      <c r="E12" s="12">
        <f t="shared" si="2"/>
        <v>3.1854082410714288E-2</v>
      </c>
      <c r="F12" s="12">
        <f>E12/Calculation!K$6*1000</f>
        <v>2.1710394641564695E-2</v>
      </c>
      <c r="G12" s="12">
        <f t="shared" si="3"/>
        <v>3.2261913930599051</v>
      </c>
      <c r="I12" s="75">
        <v>8.6666666666666661</v>
      </c>
      <c r="J12" t="s">
        <v>172</v>
      </c>
    </row>
    <row r="13" spans="1:10">
      <c r="A13" s="12">
        <v>4</v>
      </c>
      <c r="B13" s="74">
        <v>12833.11</v>
      </c>
      <c r="C13" s="12">
        <f t="shared" si="0"/>
        <v>12.833110000000001</v>
      </c>
      <c r="D13" s="12">
        <f t="shared" si="1"/>
        <v>0.89446776700000019</v>
      </c>
      <c r="E13" s="12">
        <f t="shared" si="2"/>
        <v>3.993159674107144E-2</v>
      </c>
      <c r="F13" s="12">
        <f>E13/Calculation!K$6*1000</f>
        <v>2.7215686603010825E-2</v>
      </c>
      <c r="G13" s="12">
        <f t="shared" si="3"/>
        <v>3.9600826117285379</v>
      </c>
      <c r="I13" s="75">
        <v>10</v>
      </c>
      <c r="J13" t="s">
        <v>173</v>
      </c>
    </row>
    <row r="14" spans="1:10">
      <c r="A14" s="12">
        <v>4.5</v>
      </c>
      <c r="B14" s="74">
        <v>16554.939999999999</v>
      </c>
      <c r="C14" s="12">
        <f t="shared" si="0"/>
        <v>16.554939999999998</v>
      </c>
      <c r="D14" s="12">
        <f t="shared" si="1"/>
        <v>1.1538793179999998</v>
      </c>
      <c r="E14" s="12">
        <f t="shared" si="2"/>
        <v>5.1512469553571423E-2</v>
      </c>
      <c r="F14" s="12">
        <f>E14/Calculation!K$6*1000</f>
        <v>3.5108719458622872E-2</v>
      </c>
      <c r="G14" s="12">
        <f t="shared" si="3"/>
        <v>4.8949487026530436</v>
      </c>
      <c r="I14" s="75">
        <v>11.333333333333334</v>
      </c>
      <c r="J14" t="s">
        <v>174</v>
      </c>
    </row>
    <row r="15" spans="1:10">
      <c r="A15" s="12">
        <v>5</v>
      </c>
      <c r="B15" s="74">
        <v>21004.62</v>
      </c>
      <c r="C15" s="12">
        <f t="shared" si="0"/>
        <v>21.004619999999999</v>
      </c>
      <c r="D15" s="12">
        <f t="shared" si="1"/>
        <v>1.464022014</v>
      </c>
      <c r="E15" s="12">
        <f t="shared" si="2"/>
        <v>6.5358125624999999E-2</v>
      </c>
      <c r="F15" s="12">
        <f>E15/Calculation!K$7*1000</f>
        <v>4.5916917520696134E-2</v>
      </c>
      <c r="G15" s="12">
        <f t="shared" si="3"/>
        <v>6.1103332573428286</v>
      </c>
      <c r="I15" s="75">
        <v>12.666666666666666</v>
      </c>
      <c r="J15" t="s">
        <v>175</v>
      </c>
    </row>
    <row r="16" spans="1:10">
      <c r="A16" s="12">
        <v>5.5</v>
      </c>
      <c r="B16" s="74">
        <v>21302.92</v>
      </c>
      <c r="C16" s="12">
        <f t="shared" si="0"/>
        <v>21.302919999999997</v>
      </c>
      <c r="D16" s="12">
        <f t="shared" si="1"/>
        <v>1.4848135239999998</v>
      </c>
      <c r="E16" s="12">
        <f t="shared" si="2"/>
        <v>6.6286318035714276E-2</v>
      </c>
      <c r="F16" s="12">
        <f>E16/Calculation!K$7*1000</f>
        <v>4.6569012940485849E-2</v>
      </c>
      <c r="G16" s="12">
        <f t="shared" si="3"/>
        <v>7.4976222142605584</v>
      </c>
      <c r="I16" s="75">
        <v>14</v>
      </c>
      <c r="J16" t="s">
        <v>176</v>
      </c>
    </row>
    <row r="17" spans="1:10">
      <c r="A17" s="12">
        <v>6</v>
      </c>
      <c r="B17" s="74">
        <v>22740.01</v>
      </c>
      <c r="C17" s="12">
        <f t="shared" si="0"/>
        <v>22.740009999999998</v>
      </c>
      <c r="D17" s="12">
        <f t="shared" si="1"/>
        <v>1.5849786969999999</v>
      </c>
      <c r="E17" s="12">
        <f t="shared" si="2"/>
        <v>7.0757977544642858E-2</v>
      </c>
      <c r="F17" s="12">
        <f>E17/Calculation!K$8*1000</f>
        <v>5.1285251833516052E-2</v>
      </c>
      <c r="G17" s="12">
        <f t="shared" si="3"/>
        <v>8.9654361858705869</v>
      </c>
      <c r="I17" s="75">
        <v>15.333333333333334</v>
      </c>
      <c r="J17" t="s">
        <v>177</v>
      </c>
    </row>
    <row r="18" spans="1:10">
      <c r="A18" s="12">
        <v>6.5</v>
      </c>
      <c r="B18" s="74">
        <v>24268.74</v>
      </c>
      <c r="C18" s="12">
        <f t="shared" si="0"/>
        <v>24.268740000000001</v>
      </c>
      <c r="D18" s="12">
        <f t="shared" si="1"/>
        <v>1.6915311780000002</v>
      </c>
      <c r="E18" s="12">
        <f t="shared" si="2"/>
        <v>7.5514784732142876E-2</v>
      </c>
      <c r="F18" s="12">
        <f>E18/Calculation!K$8*1000</f>
        <v>5.4732976924026185E-2</v>
      </c>
      <c r="G18" s="12">
        <f t="shared" si="3"/>
        <v>10.55570961723372</v>
      </c>
      <c r="I18" s="75">
        <v>16.666666666666668</v>
      </c>
      <c r="J18" t="s">
        <v>178</v>
      </c>
    </row>
    <row r="19" spans="1:10">
      <c r="A19" s="12">
        <v>7</v>
      </c>
      <c r="B19" s="74">
        <v>25267.21</v>
      </c>
      <c r="C19" s="12">
        <f t="shared" si="0"/>
        <v>25.267209999999999</v>
      </c>
      <c r="D19" s="12">
        <f t="shared" si="1"/>
        <v>1.7611245369999999</v>
      </c>
      <c r="E19" s="12">
        <f t="shared" si="2"/>
        <v>7.8621631116071428E-2</v>
      </c>
      <c r="F19" s="12">
        <f>E19/Calculation!K$8*1000</f>
        <v>5.6984813462277947E-2</v>
      </c>
      <c r="G19" s="12">
        <f t="shared" si="3"/>
        <v>12.231476473028282</v>
      </c>
      <c r="I19" s="75">
        <v>18</v>
      </c>
      <c r="J19" t="s">
        <v>179</v>
      </c>
    </row>
    <row r="20" spans="1:10">
      <c r="A20" s="12">
        <v>7.5</v>
      </c>
      <c r="B20" s="74">
        <v>27439.79</v>
      </c>
      <c r="C20" s="12">
        <f t="shared" si="0"/>
        <v>27.439790000000002</v>
      </c>
      <c r="D20" s="12">
        <f t="shared" si="1"/>
        <v>1.9125533630000002</v>
      </c>
      <c r="E20" s="12">
        <f t="shared" si="2"/>
        <v>8.5381846562500016E-2</v>
      </c>
      <c r="F20" s="12">
        <f>E20/Calculation!K$9*1000</f>
        <v>6.3805635042100906E-2</v>
      </c>
      <c r="G20" s="12">
        <f t="shared" si="3"/>
        <v>14.043333200593965</v>
      </c>
      <c r="I20" s="75">
        <v>24</v>
      </c>
      <c r="J20" t="s">
        <v>180</v>
      </c>
    </row>
    <row r="21" spans="1:10">
      <c r="A21" s="12">
        <v>8</v>
      </c>
      <c r="B21" s="74">
        <v>30108.74</v>
      </c>
      <c r="C21" s="12">
        <f t="shared" si="0"/>
        <v>30.108740000000001</v>
      </c>
      <c r="D21" s="12">
        <f t="shared" si="1"/>
        <v>2.098579178</v>
      </c>
      <c r="E21" s="12">
        <f t="shared" si="2"/>
        <v>9.3686570446428585E-2</v>
      </c>
      <c r="F21" s="12">
        <f>E21/Calculation!K$9*1000</f>
        <v>7.0011733909680254E-2</v>
      </c>
      <c r="G21" s="12">
        <f t="shared" si="3"/>
        <v>16.050593734870681</v>
      </c>
      <c r="I21" s="75">
        <v>30</v>
      </c>
      <c r="J21" t="s">
        <v>181</v>
      </c>
    </row>
    <row r="22" spans="1:10">
      <c r="A22" s="12">
        <v>8.5</v>
      </c>
      <c r="B22" s="74">
        <v>32162.95</v>
      </c>
      <c r="C22" s="12">
        <f t="shared" si="0"/>
        <v>32.162950000000002</v>
      </c>
      <c r="D22" s="12">
        <f t="shared" si="1"/>
        <v>2.2417576150000005</v>
      </c>
      <c r="E22" s="12">
        <f t="shared" si="2"/>
        <v>0.10007846495535717</v>
      </c>
      <c r="F22" s="12">
        <f>E22/Calculation!K$9*1000</f>
        <v>7.4788380289256565E-2</v>
      </c>
      <c r="G22" s="12">
        <f t="shared" si="3"/>
        <v>18.222595447854733</v>
      </c>
      <c r="I22" s="75">
        <v>48</v>
      </c>
      <c r="J22" t="s">
        <v>182</v>
      </c>
    </row>
    <row r="23" spans="1:10">
      <c r="A23" s="12">
        <v>9</v>
      </c>
      <c r="B23" s="74">
        <v>33769.480000000003</v>
      </c>
      <c r="C23" s="12">
        <f t="shared" si="0"/>
        <v>33.769480000000001</v>
      </c>
      <c r="D23" s="12">
        <f t="shared" si="1"/>
        <v>2.3537327560000003</v>
      </c>
      <c r="E23" s="12">
        <f t="shared" si="2"/>
        <v>0.10507735517857145</v>
      </c>
      <c r="F23" s="12">
        <f>E23/Calculation!K$10*1000</f>
        <v>8.1018750392872721E-2</v>
      </c>
      <c r="G23" s="12">
        <f t="shared" si="3"/>
        <v>20.559702408086672</v>
      </c>
    </row>
    <row r="24" spans="1:10">
      <c r="A24" s="12">
        <v>9.5</v>
      </c>
      <c r="B24" s="74">
        <v>33053.08</v>
      </c>
      <c r="C24" s="12">
        <f t="shared" si="0"/>
        <v>33.053080000000001</v>
      </c>
      <c r="D24" s="12">
        <f t="shared" si="1"/>
        <v>2.3037996760000001</v>
      </c>
      <c r="E24" s="12">
        <f t="shared" si="2"/>
        <v>0.10284819982142858</v>
      </c>
      <c r="F24" s="12">
        <f>E24/Calculation!K$10*1000</f>
        <v>7.9299984430783454E-2</v>
      </c>
      <c r="G24" s="12">
        <f t="shared" si="3"/>
        <v>22.964483430441515</v>
      </c>
    </row>
    <row r="25" spans="1:10">
      <c r="A25" s="12">
        <v>10</v>
      </c>
      <c r="B25" s="74">
        <v>23077.45</v>
      </c>
      <c r="C25" s="12">
        <f t="shared" si="0"/>
        <v>23.077450000000002</v>
      </c>
      <c r="D25" s="12">
        <f t="shared" si="1"/>
        <v>1.6084982650000004</v>
      </c>
      <c r="E25" s="12">
        <f t="shared" si="2"/>
        <v>7.1807958258928592E-2</v>
      </c>
      <c r="F25" s="12">
        <f>E25/Calculation!K$11*1000</f>
        <v>5.7293661061527959E-2</v>
      </c>
      <c r="G25" s="12">
        <f t="shared" si="3"/>
        <v>25.013388112826185</v>
      </c>
    </row>
    <row r="26" spans="1:10">
      <c r="A26" s="12">
        <v>10.5</v>
      </c>
      <c r="B26" s="74">
        <v>15205.67</v>
      </c>
      <c r="C26" s="12">
        <f t="shared" si="0"/>
        <v>15.20567</v>
      </c>
      <c r="D26" s="12">
        <f t="shared" si="1"/>
        <v>1.0598351989999999</v>
      </c>
      <c r="E26" s="12">
        <f t="shared" si="2"/>
        <v>4.7314071383928569E-2</v>
      </c>
      <c r="F26" s="12">
        <f>E26/Calculation!K$11*1000</f>
        <v>3.7750639832106386E-2</v>
      </c>
      <c r="G26" s="12">
        <f t="shared" si="3"/>
        <v>26.439052626230701</v>
      </c>
    </row>
    <row r="27" spans="1:10">
      <c r="A27" s="12">
        <v>11</v>
      </c>
      <c r="B27" s="74">
        <v>16044.25</v>
      </c>
      <c r="C27" s="12">
        <f t="shared" si="0"/>
        <v>16.044250000000002</v>
      </c>
      <c r="D27" s="12">
        <f t="shared" si="1"/>
        <v>1.1182842250000002</v>
      </c>
      <c r="E27" s="12">
        <f t="shared" si="2"/>
        <v>4.9923402901785728E-2</v>
      </c>
      <c r="F27" s="12">
        <f>E27/Calculation!K$11*1000</f>
        <v>3.9832556087714195E-2</v>
      </c>
      <c r="G27" s="12">
        <f t="shared" si="3"/>
        <v>27.602800565028009</v>
      </c>
    </row>
    <row r="28" spans="1:10">
      <c r="A28" s="12">
        <v>11.5</v>
      </c>
      <c r="B28" s="74">
        <v>13192.02</v>
      </c>
      <c r="C28" s="12">
        <f t="shared" si="0"/>
        <v>13.192020000000001</v>
      </c>
      <c r="D28" s="12">
        <f t="shared" si="1"/>
        <v>0.91948379400000002</v>
      </c>
      <c r="E28" s="12">
        <f t="shared" si="2"/>
        <v>4.104838366071429E-2</v>
      </c>
      <c r="F28" s="12">
        <f>E28/Calculation!K$12*1000</f>
        <v>3.3778104254152785E-2</v>
      </c>
      <c r="G28" s="12">
        <f t="shared" si="3"/>
        <v>28.706960470156012</v>
      </c>
    </row>
    <row r="29" spans="1:10">
      <c r="A29" s="12">
        <v>12</v>
      </c>
      <c r="B29" s="74">
        <v>7226.02</v>
      </c>
      <c r="C29" s="12">
        <f t="shared" si="0"/>
        <v>7.2260200000000001</v>
      </c>
      <c r="D29" s="12">
        <f t="shared" si="1"/>
        <v>0.50365359400000009</v>
      </c>
      <c r="E29" s="12">
        <f t="shared" si="2"/>
        <v>2.2484535446428578E-2</v>
      </c>
      <c r="F29" s="12">
        <f>E29/Calculation!K$12*1000</f>
        <v>1.8502189725500204E-2</v>
      </c>
      <c r="G29" s="12">
        <f t="shared" si="3"/>
        <v>29.491164879850807</v>
      </c>
    </row>
    <row r="30" spans="1:10">
      <c r="A30" s="12">
        <v>12.5</v>
      </c>
      <c r="B30" s="74">
        <v>1499.14</v>
      </c>
      <c r="C30" s="12">
        <f t="shared" si="0"/>
        <v>1.4991400000000001</v>
      </c>
      <c r="D30" s="12">
        <f t="shared" si="1"/>
        <v>0.10449005800000001</v>
      </c>
      <c r="E30" s="12">
        <f t="shared" si="2"/>
        <v>4.6647347321428579E-3</v>
      </c>
      <c r="F30" s="12">
        <f>E30/Calculation!K$12*1000</f>
        <v>3.8385408157030248E-3</v>
      </c>
      <c r="G30" s="12">
        <f t="shared" si="3"/>
        <v>29.826275837968854</v>
      </c>
    </row>
    <row r="31" spans="1:10">
      <c r="A31" s="12">
        <v>13</v>
      </c>
      <c r="B31" s="74">
        <v>432.42</v>
      </c>
      <c r="C31" s="12">
        <f t="shared" si="0"/>
        <v>0.43242000000000003</v>
      </c>
      <c r="D31" s="12">
        <f t="shared" si="1"/>
        <v>3.0139674000000005E-2</v>
      </c>
      <c r="E31" s="12">
        <f t="shared" si="2"/>
        <v>1.345521160714286E-3</v>
      </c>
      <c r="F31" s="12">
        <f>E31/Calculation!K$13*1000</f>
        <v>1.1465291294596987E-3</v>
      </c>
      <c r="G31" s="12">
        <f t="shared" si="3"/>
        <v>29.901051887146295</v>
      </c>
    </row>
    <row r="32" spans="1:10">
      <c r="A32" s="12">
        <v>13.5</v>
      </c>
      <c r="B32" s="74">
        <v>190.91</v>
      </c>
      <c r="C32" s="12">
        <f t="shared" si="0"/>
        <v>0.19091</v>
      </c>
      <c r="D32" s="12">
        <f t="shared" si="1"/>
        <v>1.3306427000000001E-2</v>
      </c>
      <c r="E32" s="12">
        <f t="shared" si="2"/>
        <v>5.9403691964285724E-4</v>
      </c>
      <c r="F32" s="12">
        <f>E32/Calculation!K$13*1000</f>
        <v>5.0618351626925456E-4</v>
      </c>
      <c r="G32" s="12">
        <f t="shared" si="3"/>
        <v>29.925842576832228</v>
      </c>
    </row>
    <row r="33" spans="1:7">
      <c r="A33" s="12">
        <v>14</v>
      </c>
      <c r="B33" s="74">
        <v>106.91</v>
      </c>
      <c r="C33" s="12">
        <f t="shared" si="0"/>
        <v>0.10690999999999999</v>
      </c>
      <c r="D33" s="12">
        <f t="shared" si="1"/>
        <v>7.4516269999999997E-3</v>
      </c>
      <c r="E33" s="12">
        <f t="shared" si="2"/>
        <v>3.3266191964285714E-4</v>
      </c>
      <c r="F33" s="12">
        <f>E33/Calculation!K$14*1000</f>
        <v>2.9562249689158213E-4</v>
      </c>
      <c r="G33" s="12">
        <f t="shared" si="3"/>
        <v>29.937869667029641</v>
      </c>
    </row>
    <row r="34" spans="1:7">
      <c r="A34" s="12">
        <v>14.5</v>
      </c>
      <c r="B34" s="74">
        <v>116.93</v>
      </c>
      <c r="C34" s="12">
        <f t="shared" si="0"/>
        <v>0.11693000000000001</v>
      </c>
      <c r="D34" s="12">
        <f t="shared" si="1"/>
        <v>8.1500210000000003E-3</v>
      </c>
      <c r="E34" s="12">
        <f t="shared" si="2"/>
        <v>3.6384022321428575E-4</v>
      </c>
      <c r="F34" s="12">
        <f>E34/Calculation!K$14*1000</f>
        <v>3.2332932898262746E-4</v>
      </c>
      <c r="G34" s="12">
        <f t="shared" si="3"/>
        <v>29.947153944417753</v>
      </c>
    </row>
    <row r="35" spans="1:7">
      <c r="A35" s="12">
        <v>15</v>
      </c>
      <c r="B35" s="74">
        <v>95.93</v>
      </c>
      <c r="C35" s="12">
        <f t="shared" si="0"/>
        <v>9.5930000000000001E-2</v>
      </c>
      <c r="D35" s="12">
        <f t="shared" si="1"/>
        <v>6.6863210000000003E-3</v>
      </c>
      <c r="E35" s="12">
        <f t="shared" si="2"/>
        <v>2.9849647321428572E-4</v>
      </c>
      <c r="F35" s="12">
        <f>E35/Calculation!K$14*1000</f>
        <v>2.6526111801337081E-4</v>
      </c>
      <c r="G35" s="12">
        <f t="shared" si="3"/>
        <v>29.955982801122694</v>
      </c>
    </row>
    <row r="36" spans="1:7">
      <c r="A36" s="12">
        <v>15.5</v>
      </c>
      <c r="B36" s="74">
        <v>94.98</v>
      </c>
      <c r="C36" s="12">
        <f t="shared" si="0"/>
        <v>9.4980000000000009E-2</v>
      </c>
      <c r="D36" s="12">
        <f t="shared" si="1"/>
        <v>6.6201060000000015E-3</v>
      </c>
      <c r="E36" s="12">
        <f t="shared" si="2"/>
        <v>2.9554044642857153E-4</v>
      </c>
      <c r="F36" s="12">
        <f>E36/Calculation!K$15*1000</f>
        <v>2.729470849053126E-4</v>
      </c>
      <c r="G36" s="12">
        <f t="shared" si="3"/>
        <v>29.964055924166473</v>
      </c>
    </row>
    <row r="37" spans="1:7">
      <c r="A37" s="12">
        <v>16</v>
      </c>
      <c r="B37" s="74">
        <v>136.5</v>
      </c>
      <c r="C37" s="12">
        <f t="shared" si="0"/>
        <v>0.13650000000000001</v>
      </c>
      <c r="D37" s="12">
        <f t="shared" si="1"/>
        <v>9.5140500000000013E-3</v>
      </c>
      <c r="E37" s="12">
        <f t="shared" si="2"/>
        <v>4.2473437500000009E-4</v>
      </c>
      <c r="F37" s="12">
        <f>E37/Calculation!K$15*1000</f>
        <v>3.9226444608944161E-4</v>
      </c>
      <c r="G37" s="12">
        <f t="shared" si="3"/>
        <v>29.974034097131394</v>
      </c>
    </row>
    <row r="38" spans="1:7">
      <c r="A38" s="12">
        <v>16.5</v>
      </c>
      <c r="B38" s="74">
        <v>123.14</v>
      </c>
      <c r="C38" s="12">
        <f t="shared" si="0"/>
        <v>0.12314</v>
      </c>
      <c r="D38" s="12">
        <f t="shared" si="1"/>
        <v>8.5828580000000005E-3</v>
      </c>
      <c r="E38" s="12">
        <f t="shared" si="2"/>
        <v>3.8316330357142863E-4</v>
      </c>
      <c r="F38" s="12">
        <f>E38/Calculation!K$15*1000</f>
        <v>3.5387138382017466E-4</v>
      </c>
      <c r="G38" s="12">
        <f t="shared" si="3"/>
        <v>29.985226134580039</v>
      </c>
    </row>
    <row r="39" spans="1:7">
      <c r="A39" s="12">
        <v>17</v>
      </c>
      <c r="B39" s="74">
        <v>114.07</v>
      </c>
      <c r="C39" s="12">
        <f t="shared" si="0"/>
        <v>0.11406999999999999</v>
      </c>
      <c r="D39" s="12">
        <f t="shared" si="1"/>
        <v>7.9506790000000004E-3</v>
      </c>
      <c r="E39" s="12">
        <f t="shared" si="2"/>
        <v>3.5494102678571433E-4</v>
      </c>
      <c r="F39" s="12">
        <f>E39/Calculation!K$16*1000</f>
        <v>3.4088323456267944E-4</v>
      </c>
      <c r="G39" s="12">
        <f t="shared" si="3"/>
        <v>29.995647453855781</v>
      </c>
    </row>
    <row r="40" spans="1:7">
      <c r="A40" s="12">
        <v>17.5</v>
      </c>
      <c r="B40" s="74">
        <v>113.12</v>
      </c>
      <c r="C40" s="12">
        <f t="shared" si="0"/>
        <v>0.11312</v>
      </c>
      <c r="D40" s="12">
        <f t="shared" si="1"/>
        <v>7.8844640000000007E-3</v>
      </c>
      <c r="E40" s="12">
        <f t="shared" si="2"/>
        <v>3.5198500000000008E-4</v>
      </c>
      <c r="F40" s="12">
        <f>E40/Calculation!K$16*1000</f>
        <v>3.3804428415648547E-4</v>
      </c>
      <c r="G40" s="12">
        <f t="shared" si="3"/>
        <v>30.005831366636571</v>
      </c>
    </row>
    <row r="41" spans="1:7">
      <c r="A41" s="12">
        <v>18</v>
      </c>
      <c r="B41" s="74">
        <v>111.21</v>
      </c>
      <c r="C41" s="12">
        <f t="shared" si="0"/>
        <v>0.11120999999999999</v>
      </c>
      <c r="D41" s="12">
        <f t="shared" si="1"/>
        <v>7.7513369999999996E-3</v>
      </c>
      <c r="E41" s="12">
        <f t="shared" si="2"/>
        <v>3.4604183035714286E-4</v>
      </c>
      <c r="F41" s="12">
        <f>E41/Calculation!K$17*1000</f>
        <v>3.4614462617576879E-4</v>
      </c>
      <c r="G41" s="12">
        <f t="shared" si="3"/>
        <v>30.016094200291555</v>
      </c>
    </row>
    <row r="42" spans="1:7">
      <c r="A42" s="12">
        <v>18.5</v>
      </c>
      <c r="B42" s="74">
        <v>107.87</v>
      </c>
      <c r="C42" s="12">
        <f t="shared" si="0"/>
        <v>0.10787000000000001</v>
      </c>
      <c r="D42" s="12">
        <f t="shared" si="1"/>
        <v>7.5185390000000012E-3</v>
      </c>
      <c r="E42" s="12">
        <f t="shared" si="2"/>
        <v>3.3564906250000006E-4</v>
      </c>
      <c r="F42" s="12">
        <f>E42/Calculation!K$17*1000</f>
        <v>3.3574877102401034E-4</v>
      </c>
      <c r="G42" s="12">
        <f t="shared" si="3"/>
        <v>30.02632260124955</v>
      </c>
    </row>
    <row r="43" spans="1:7">
      <c r="A43" s="12">
        <v>19</v>
      </c>
      <c r="B43" s="74">
        <v>114.55</v>
      </c>
      <c r="C43" s="12">
        <f t="shared" si="0"/>
        <v>0.11455</v>
      </c>
      <c r="D43" s="12">
        <f t="shared" si="1"/>
        <v>7.9841349999999998E-3</v>
      </c>
      <c r="E43" s="12">
        <f t="shared" si="2"/>
        <v>3.5643459821428571E-4</v>
      </c>
      <c r="F43" s="12">
        <f>E43/Calculation!K$17*1000</f>
        <v>3.5654048132752734E-4</v>
      </c>
      <c r="G43" s="12">
        <f t="shared" si="3"/>
        <v>30.036706940034822</v>
      </c>
    </row>
    <row r="44" spans="1:7">
      <c r="A44" s="12">
        <v>19.5</v>
      </c>
      <c r="B44" s="74">
        <v>106.43</v>
      </c>
      <c r="C44" s="12">
        <f t="shared" si="0"/>
        <v>0.10643000000000001</v>
      </c>
      <c r="D44" s="12">
        <f t="shared" si="1"/>
        <v>7.4181710000000012E-3</v>
      </c>
      <c r="E44" s="12">
        <f t="shared" si="2"/>
        <v>3.3116834821428581E-4</v>
      </c>
      <c r="F44" s="12">
        <f>E44/Calculation!K$17*1000</f>
        <v>3.3126672568912049E-4</v>
      </c>
      <c r="G44" s="12">
        <f t="shared" si="3"/>
        <v>30.04702404814007</v>
      </c>
    </row>
    <row r="45" spans="1:7">
      <c r="A45" s="12">
        <v>20</v>
      </c>
      <c r="B45" s="74">
        <v>117.89</v>
      </c>
      <c r="C45" s="12">
        <f t="shared" si="0"/>
        <v>0.11788999999999999</v>
      </c>
      <c r="D45" s="12">
        <f t="shared" si="1"/>
        <v>8.2169330000000009E-3</v>
      </c>
      <c r="E45" s="12">
        <f t="shared" si="2"/>
        <v>3.6682736607142861E-4</v>
      </c>
      <c r="F45" s="12">
        <f>E45/Calculation!K$17*1000</f>
        <v>3.66936336479286E-4</v>
      </c>
      <c r="G45" s="12">
        <f t="shared" si="3"/>
        <v>30.057497094072595</v>
      </c>
    </row>
    <row r="46" spans="1:7">
      <c r="A46" s="12">
        <v>20.5</v>
      </c>
      <c r="B46" s="74">
        <v>96.89</v>
      </c>
      <c r="C46" s="12">
        <f t="shared" si="0"/>
        <v>9.6890000000000004E-2</v>
      </c>
      <c r="D46" s="12">
        <f t="shared" si="1"/>
        <v>6.7532330000000008E-3</v>
      </c>
      <c r="E46" s="12">
        <f t="shared" si="2"/>
        <v>3.0148361607142864E-4</v>
      </c>
      <c r="F46" s="12">
        <f>E46/Calculation!K$17*1000</f>
        <v>3.0157317534547476E-4</v>
      </c>
      <c r="G46" s="12">
        <f t="shared" si="3"/>
        <v>30.067524736749967</v>
      </c>
    </row>
    <row r="47" spans="1:7">
      <c r="A47" s="12">
        <v>21</v>
      </c>
      <c r="B47" s="74">
        <v>105.48</v>
      </c>
      <c r="C47" s="12">
        <f t="shared" si="0"/>
        <v>0.10548</v>
      </c>
      <c r="D47" s="12">
        <f t="shared" si="1"/>
        <v>7.3519560000000006E-3</v>
      </c>
      <c r="E47" s="12">
        <f t="shared" si="2"/>
        <v>3.2821232142857146E-4</v>
      </c>
      <c r="F47" s="12">
        <f>E47/Calculation!K$17*1000</f>
        <v>3.2830982078068614E-4</v>
      </c>
      <c r="G47" s="12">
        <f t="shared" si="3"/>
        <v>30.07697298169186</v>
      </c>
    </row>
    <row r="48" spans="1:7">
      <c r="A48" s="12">
        <v>21.5</v>
      </c>
      <c r="B48" s="74">
        <v>99.27</v>
      </c>
      <c r="C48" s="12">
        <f t="shared" si="0"/>
        <v>9.9269999999999997E-2</v>
      </c>
      <c r="D48" s="12">
        <f t="shared" si="1"/>
        <v>6.9191190000000005E-3</v>
      </c>
      <c r="E48" s="12">
        <f t="shared" si="2"/>
        <v>3.0888924107142862E-4</v>
      </c>
      <c r="F48" s="12">
        <f>E48/Calculation!K$17*1000</f>
        <v>3.0898100027397339E-4</v>
      </c>
      <c r="G48" s="12">
        <f t="shared" si="3"/>
        <v>30.086532344007679</v>
      </c>
    </row>
    <row r="49" spans="1:7">
      <c r="A49" s="12">
        <v>22</v>
      </c>
      <c r="B49" s="74">
        <v>106.43</v>
      </c>
      <c r="C49" s="12">
        <f t="shared" si="0"/>
        <v>0.10643000000000001</v>
      </c>
      <c r="D49" s="12">
        <f t="shared" si="1"/>
        <v>7.4181710000000012E-3</v>
      </c>
      <c r="E49" s="12">
        <f t="shared" si="2"/>
        <v>3.3116834821428581E-4</v>
      </c>
      <c r="F49" s="12">
        <f>E49/Calculation!K$17*1000</f>
        <v>3.3126672568912049E-4</v>
      </c>
      <c r="G49" s="12">
        <f t="shared" si="3"/>
        <v>30.096136059897127</v>
      </c>
    </row>
    <row r="50" spans="1:7">
      <c r="A50" s="12">
        <v>22.5</v>
      </c>
      <c r="B50" s="74">
        <v>120.27</v>
      </c>
      <c r="C50" s="12">
        <f t="shared" si="0"/>
        <v>0.12027</v>
      </c>
      <c r="D50" s="12">
        <f t="shared" si="1"/>
        <v>8.3828189999999997E-3</v>
      </c>
      <c r="E50" s="12">
        <f t="shared" si="2"/>
        <v>3.742329910714286E-4</v>
      </c>
      <c r="F50" s="12">
        <f>E50/Calculation!K$17*1000</f>
        <v>3.7434416140778452E-4</v>
      </c>
      <c r="G50" s="12">
        <f t="shared" si="3"/>
        <v>30.106720223203581</v>
      </c>
    </row>
    <row r="51" spans="1:7">
      <c r="A51" s="12">
        <v>23</v>
      </c>
      <c r="B51" s="74">
        <v>129.34</v>
      </c>
      <c r="C51" s="12">
        <f t="shared" si="0"/>
        <v>0.12934000000000001</v>
      </c>
      <c r="D51" s="12">
        <f t="shared" si="1"/>
        <v>9.0149980000000015E-3</v>
      </c>
      <c r="E51" s="12">
        <f t="shared" si="2"/>
        <v>4.0245526785714295E-4</v>
      </c>
      <c r="F51" s="12">
        <f>E51/Calculation!K$17*1000</f>
        <v>4.0257482195462594E-4</v>
      </c>
      <c r="G51" s="12">
        <f t="shared" si="3"/>
        <v>30.118374007954017</v>
      </c>
    </row>
    <row r="52" spans="1:7">
      <c r="A52" s="12">
        <v>23.5</v>
      </c>
      <c r="B52" s="74">
        <v>122.66</v>
      </c>
      <c r="C52" s="12">
        <f t="shared" si="0"/>
        <v>0.12265999999999999</v>
      </c>
      <c r="D52" s="12">
        <f t="shared" si="1"/>
        <v>8.5494019999999993E-3</v>
      </c>
      <c r="E52" s="12">
        <f t="shared" si="2"/>
        <v>3.8166973214285714E-4</v>
      </c>
      <c r="F52" s="12">
        <f>E52/Calculation!K$17*1000</f>
        <v>3.8178311165110873E-4</v>
      </c>
      <c r="G52" s="12">
        <f t="shared" si="3"/>
        <v>30.130139376958102</v>
      </c>
    </row>
    <row r="53" spans="1:7">
      <c r="A53" s="12">
        <v>24</v>
      </c>
      <c r="B53" s="74">
        <v>114.07</v>
      </c>
      <c r="C53" s="12">
        <f t="shared" si="0"/>
        <v>0.11406999999999999</v>
      </c>
      <c r="D53" s="12">
        <f t="shared" si="1"/>
        <v>7.9506790000000004E-3</v>
      </c>
      <c r="E53" s="12">
        <f t="shared" si="2"/>
        <v>3.5494102678571433E-4</v>
      </c>
      <c r="F53" s="12">
        <f>E53/Calculation!K$18*1000</f>
        <v>3.7262302394935773E-4</v>
      </c>
      <c r="G53" s="12">
        <f t="shared" si="3"/>
        <v>30.14145546899211</v>
      </c>
    </row>
    <row r="54" spans="1:7">
      <c r="A54" s="12">
        <v>24.5</v>
      </c>
      <c r="B54" s="74">
        <v>112.64</v>
      </c>
      <c r="C54" s="12">
        <f t="shared" si="0"/>
        <v>0.11264</v>
      </c>
      <c r="D54" s="12">
        <f t="shared" si="1"/>
        <v>7.8510080000000013E-3</v>
      </c>
      <c r="E54" s="12">
        <f t="shared" si="2"/>
        <v>3.5049142857142865E-4</v>
      </c>
      <c r="F54" s="12">
        <f>E54/Calculation!K$18*1000</f>
        <v>3.6795176135404279E-4</v>
      </c>
      <c r="G54" s="12">
        <f t="shared" si="3"/>
        <v>30.152564090771662</v>
      </c>
    </row>
    <row r="55" spans="1:7">
      <c r="A55" s="12">
        <v>25</v>
      </c>
      <c r="B55" s="74">
        <v>123.62</v>
      </c>
      <c r="C55" s="12">
        <f t="shared" si="0"/>
        <v>0.12362000000000001</v>
      </c>
      <c r="D55" s="12">
        <f t="shared" si="1"/>
        <v>8.6163140000000017E-3</v>
      </c>
      <c r="E55" s="12">
        <f t="shared" si="2"/>
        <v>3.8465687500000012E-4</v>
      </c>
      <c r="F55" s="12">
        <f>E55/Calculation!K$18*1000</f>
        <v>4.038192182047831E-4</v>
      </c>
      <c r="G55" s="12">
        <f t="shared" si="3"/>
        <v>30.164140655465044</v>
      </c>
    </row>
    <row r="56" spans="1:7">
      <c r="A56" s="12">
        <v>25.5</v>
      </c>
      <c r="B56" s="74">
        <v>141.27000000000001</v>
      </c>
      <c r="C56" s="12">
        <f t="shared" si="0"/>
        <v>0.14127000000000001</v>
      </c>
      <c r="D56" s="12">
        <f t="shared" si="1"/>
        <v>9.8465190000000015E-3</v>
      </c>
      <c r="E56" s="12">
        <f t="shared" si="2"/>
        <v>4.3957674107142868E-4</v>
      </c>
      <c r="F56" s="12">
        <f>E56/Calculation!K$18*1000</f>
        <v>4.6147501177632832E-4</v>
      </c>
      <c r="G56" s="12">
        <f t="shared" si="3"/>
        <v>30.177120068914761</v>
      </c>
    </row>
    <row r="57" spans="1:7">
      <c r="A57" s="12">
        <v>26</v>
      </c>
      <c r="B57" s="74">
        <v>125.52</v>
      </c>
      <c r="C57" s="12">
        <f t="shared" si="0"/>
        <v>0.12551999999999999</v>
      </c>
      <c r="D57" s="12">
        <f t="shared" si="1"/>
        <v>8.748744000000001E-3</v>
      </c>
      <c r="E57" s="12">
        <f t="shared" si="2"/>
        <v>3.9056892857142862E-4</v>
      </c>
      <c r="F57" s="12">
        <f>E57/Calculation!K$18*1000</f>
        <v>4.1002579088387288E-4</v>
      </c>
      <c r="G57" s="12">
        <f t="shared" si="3"/>
        <v>30.190192580954662</v>
      </c>
    </row>
    <row r="58" spans="1:7">
      <c r="A58" s="12">
        <v>26.5</v>
      </c>
      <c r="B58" s="74">
        <v>135.07</v>
      </c>
      <c r="C58" s="12">
        <f t="shared" si="0"/>
        <v>0.13507</v>
      </c>
      <c r="D58" s="12">
        <f t="shared" si="1"/>
        <v>9.4143790000000005E-3</v>
      </c>
      <c r="E58" s="12">
        <f t="shared" si="2"/>
        <v>4.2028477678571435E-4</v>
      </c>
      <c r="F58" s="12">
        <f>E58/Calculation!K$18*1000</f>
        <v>4.4122198513929826E-4</v>
      </c>
      <c r="G58" s="12">
        <f t="shared" si="3"/>
        <v>30.20296129759501</v>
      </c>
    </row>
    <row r="59" spans="1:7">
      <c r="A59" s="12">
        <v>27</v>
      </c>
      <c r="B59" s="74">
        <v>106.43</v>
      </c>
      <c r="C59" s="12">
        <f t="shared" si="0"/>
        <v>0.10643000000000001</v>
      </c>
      <c r="D59" s="12">
        <f t="shared" si="1"/>
        <v>7.4181710000000012E-3</v>
      </c>
      <c r="E59" s="12">
        <f t="shared" si="2"/>
        <v>3.3116834821428581E-4</v>
      </c>
      <c r="F59" s="12">
        <f>E59/Calculation!K$18*1000</f>
        <v>3.4766606854501754E-4</v>
      </c>
      <c r="G59" s="12">
        <f t="shared" si="3"/>
        <v>30.214794618400276</v>
      </c>
    </row>
    <row r="60" spans="1:7">
      <c r="A60" s="12">
        <v>27.5</v>
      </c>
      <c r="B60" s="74">
        <v>131.72999999999999</v>
      </c>
      <c r="C60" s="12">
        <f t="shared" si="0"/>
        <v>0.13172999999999999</v>
      </c>
      <c r="D60" s="12">
        <f t="shared" si="1"/>
        <v>9.1815809999999994E-3</v>
      </c>
      <c r="E60" s="12">
        <f t="shared" si="2"/>
        <v>4.0989200892857145E-4</v>
      </c>
      <c r="F60" s="12">
        <f>E60/Calculation!K$18*1000</f>
        <v>4.3031148369289813E-4</v>
      </c>
      <c r="G60" s="12">
        <f t="shared" si="3"/>
        <v>30.226464281683846</v>
      </c>
    </row>
    <row r="61" spans="1:7">
      <c r="A61" s="12">
        <v>28</v>
      </c>
      <c r="B61" s="74">
        <v>124.09</v>
      </c>
      <c r="C61" s="12">
        <f t="shared" si="0"/>
        <v>0.12409000000000001</v>
      </c>
      <c r="D61" s="12">
        <f t="shared" si="1"/>
        <v>8.6490730000000019E-3</v>
      </c>
      <c r="E61" s="12">
        <f t="shared" si="2"/>
        <v>3.8611933035714299E-4</v>
      </c>
      <c r="F61" s="12">
        <f>E61/Calculation!K$18*1000</f>
        <v>4.05354528288558E-4</v>
      </c>
      <c r="G61" s="12">
        <f t="shared" si="3"/>
        <v>30.23899927186357</v>
      </c>
    </row>
    <row r="62" spans="1:7">
      <c r="A62" s="12">
        <v>28.5</v>
      </c>
      <c r="B62" s="74">
        <v>128.87</v>
      </c>
      <c r="C62" s="12">
        <f t="shared" si="0"/>
        <v>0.12887000000000001</v>
      </c>
      <c r="D62" s="12">
        <f t="shared" si="1"/>
        <v>8.9822390000000012E-3</v>
      </c>
      <c r="E62" s="12">
        <f t="shared" si="2"/>
        <v>4.0099281250000009E-4</v>
      </c>
      <c r="F62" s="12">
        <f>E62/Calculation!K$18*1000</f>
        <v>4.209689585022682E-4</v>
      </c>
      <c r="G62" s="12">
        <f t="shared" si="3"/>
        <v>30.251394124165433</v>
      </c>
    </row>
    <row r="63" spans="1:7">
      <c r="A63" s="12">
        <v>29</v>
      </c>
      <c r="B63" s="74">
        <v>135.55000000000001</v>
      </c>
      <c r="C63" s="12">
        <f t="shared" si="0"/>
        <v>0.13555</v>
      </c>
      <c r="D63" s="12">
        <f t="shared" si="1"/>
        <v>9.4478350000000016E-3</v>
      </c>
      <c r="E63" s="12">
        <f t="shared" si="2"/>
        <v>4.2177834821428579E-4</v>
      </c>
      <c r="F63" s="12">
        <f>E63/Calculation!K$18*1000</f>
        <v>4.4278996139506834E-4</v>
      </c>
      <c r="G63" s="12">
        <f t="shared" si="3"/>
        <v>30.264350507963893</v>
      </c>
    </row>
    <row r="64" spans="1:7">
      <c r="A64" s="12">
        <v>29.5</v>
      </c>
      <c r="B64" s="74">
        <v>140.32</v>
      </c>
      <c r="C64" s="12">
        <f t="shared" si="0"/>
        <v>0.14032</v>
      </c>
      <c r="D64" s="12">
        <f t="shared" si="1"/>
        <v>9.7803040000000018E-3</v>
      </c>
      <c r="E64" s="12">
        <f t="shared" si="2"/>
        <v>4.3662071428571437E-4</v>
      </c>
      <c r="F64" s="12">
        <f>E64/Calculation!K$18*1000</f>
        <v>4.583717254367834E-4</v>
      </c>
      <c r="G64" s="12">
        <f t="shared" si="3"/>
        <v>30.277867933266371</v>
      </c>
    </row>
    <row r="65" spans="1:7">
      <c r="A65" s="12">
        <v>30</v>
      </c>
      <c r="B65" s="74">
        <v>143.18</v>
      </c>
      <c r="C65" s="12">
        <f t="shared" si="0"/>
        <v>0.14318</v>
      </c>
      <c r="D65" s="12">
        <f t="shared" si="1"/>
        <v>9.979646E-3</v>
      </c>
      <c r="E65" s="12">
        <f t="shared" si="2"/>
        <v>4.4551991071428574E-4</v>
      </c>
      <c r="F65" s="12">
        <f>E65/Calculation!K$19*1000</f>
        <v>4.9361692072485627E-4</v>
      </c>
      <c r="G65" s="12">
        <f t="shared" si="3"/>
        <v>30.292147762958795</v>
      </c>
    </row>
    <row r="66" spans="1:7">
      <c r="A66" s="12">
        <v>30.5</v>
      </c>
      <c r="B66" s="74">
        <v>151.30000000000001</v>
      </c>
      <c r="C66" s="12">
        <f t="shared" si="0"/>
        <v>0.15130000000000002</v>
      </c>
      <c r="D66" s="12">
        <f t="shared" si="1"/>
        <v>1.0545610000000002E-2</v>
      </c>
      <c r="E66" s="12">
        <f t="shared" si="2"/>
        <v>4.7078616071428585E-4</v>
      </c>
      <c r="F66" s="12">
        <f>E66/Calculation!K$19*1000</f>
        <v>5.2161084024075126E-4</v>
      </c>
      <c r="G66" s="12">
        <f t="shared" si="3"/>
        <v>30.307376179373279</v>
      </c>
    </row>
    <row r="67" spans="1:7">
      <c r="A67" s="12">
        <v>31</v>
      </c>
      <c r="B67" s="74">
        <v>165.62</v>
      </c>
      <c r="C67" s="12">
        <f t="shared" si="0"/>
        <v>0.16562000000000002</v>
      </c>
      <c r="D67" s="12">
        <f t="shared" si="1"/>
        <v>1.1543714000000002E-2</v>
      </c>
      <c r="E67" s="12">
        <f t="shared" si="2"/>
        <v>5.1534437500000006E-4</v>
      </c>
      <c r="F67" s="12">
        <f>E67/Calculation!K$19*1000</f>
        <v>5.7097942736730474E-4</v>
      </c>
      <c r="G67" s="12">
        <f t="shared" si="3"/>
        <v>30.323765033387399</v>
      </c>
    </row>
    <row r="68" spans="1:7">
      <c r="A68" s="12">
        <v>31.5</v>
      </c>
      <c r="B68" s="74">
        <v>157.03</v>
      </c>
      <c r="C68" s="12">
        <f t="shared" si="0"/>
        <v>0.15703</v>
      </c>
      <c r="D68" s="12">
        <f t="shared" si="1"/>
        <v>1.0944991000000001E-2</v>
      </c>
      <c r="E68" s="12">
        <f t="shared" si="2"/>
        <v>4.8861566964285719E-4</v>
      </c>
      <c r="F68" s="12">
        <f>E68/Calculation!K$19*1000</f>
        <v>5.4136517014544063E-4</v>
      </c>
      <c r="G68" s="12">
        <f t="shared" si="3"/>
        <v>30.340450202350091</v>
      </c>
    </row>
    <row r="69" spans="1:7">
      <c r="A69" s="12">
        <v>32</v>
      </c>
      <c r="B69" s="74">
        <v>147.96</v>
      </c>
      <c r="C69" s="12">
        <f t="shared" si="0"/>
        <v>0.14796000000000001</v>
      </c>
      <c r="D69" s="12">
        <f t="shared" si="1"/>
        <v>1.0312812000000001E-2</v>
      </c>
      <c r="E69" s="12">
        <f t="shared" si="2"/>
        <v>4.6039339285714294E-4</v>
      </c>
      <c r="F69" s="12">
        <f>E69/Calculation!K$19*1000</f>
        <v>5.100960999472674E-4</v>
      </c>
      <c r="G69" s="12">
        <f t="shared" si="3"/>
        <v>30.356222121401483</v>
      </c>
    </row>
    <row r="70" spans="1:7">
      <c r="A70" s="12">
        <v>32.5</v>
      </c>
      <c r="B70" s="74">
        <v>149.38999999999999</v>
      </c>
      <c r="C70" s="12">
        <f t="shared" ref="C70:C101" si="4">B70/1000</f>
        <v>0.14939</v>
      </c>
      <c r="D70" s="12">
        <f t="shared" ref="D70:D101" si="5">C70/1000*$B$1</f>
        <v>1.0412483E-2</v>
      </c>
      <c r="E70" s="12">
        <f t="shared" ref="E70:E101" si="6">D70/22.4</f>
        <v>4.6484299107142862E-4</v>
      </c>
      <c r="F70" s="12">
        <f>E70/Calculation!K$19*1000</f>
        <v>5.1502606360585477E-4</v>
      </c>
      <c r="G70" s="12">
        <f t="shared" si="3"/>
        <v>30.371598953854779</v>
      </c>
    </row>
    <row r="71" spans="1:7">
      <c r="A71" s="12">
        <v>33</v>
      </c>
      <c r="B71" s="74">
        <v>161.80000000000001</v>
      </c>
      <c r="C71" s="12">
        <f t="shared" si="4"/>
        <v>0.1618</v>
      </c>
      <c r="D71" s="12">
        <f t="shared" si="5"/>
        <v>1.1277460000000001E-2</v>
      </c>
      <c r="E71" s="12">
        <f t="shared" si="6"/>
        <v>5.0345803571428583E-4</v>
      </c>
      <c r="F71" s="12">
        <f>E71/Calculation!K$19*1000</f>
        <v>5.5780987409751197E-4</v>
      </c>
      <c r="G71" s="12">
        <f t="shared" ref="G71:G101" si="7">G70+(F71+F70)/2*30</f>
        <v>30.387691492920329</v>
      </c>
    </row>
    <row r="72" spans="1:7">
      <c r="A72" s="12">
        <v>33.5</v>
      </c>
      <c r="B72" s="74">
        <v>140.32</v>
      </c>
      <c r="C72" s="12">
        <f t="shared" si="4"/>
        <v>0.14032</v>
      </c>
      <c r="D72" s="12">
        <f t="shared" si="5"/>
        <v>9.7803040000000018E-3</v>
      </c>
      <c r="E72" s="12">
        <f t="shared" si="6"/>
        <v>4.3662071428571437E-4</v>
      </c>
      <c r="F72" s="12">
        <f>E72/Calculation!K$19*1000</f>
        <v>4.8375699340768148E-4</v>
      </c>
      <c r="G72" s="12">
        <f t="shared" si="7"/>
        <v>30.403314995932906</v>
      </c>
    </row>
    <row r="73" spans="1:7">
      <c r="A73" s="12">
        <v>34</v>
      </c>
      <c r="B73" s="74">
        <v>158.46</v>
      </c>
      <c r="C73" s="12">
        <f t="shared" si="4"/>
        <v>0.15846000000000002</v>
      </c>
      <c r="D73" s="12">
        <f t="shared" si="5"/>
        <v>1.1044662000000002E-2</v>
      </c>
      <c r="E73" s="12">
        <f t="shared" si="6"/>
        <v>4.9306526785714293E-4</v>
      </c>
      <c r="F73" s="12">
        <f>E73/Calculation!K$19*1000</f>
        <v>5.46295133804028E-4</v>
      </c>
      <c r="G73" s="12">
        <f t="shared" si="7"/>
        <v>30.418765777841081</v>
      </c>
    </row>
    <row r="74" spans="1:7">
      <c r="A74" s="12">
        <v>34.5</v>
      </c>
      <c r="B74" s="74">
        <v>138.88999999999999</v>
      </c>
      <c r="C74" s="12">
        <f t="shared" si="4"/>
        <v>0.13888999999999999</v>
      </c>
      <c r="D74" s="12">
        <f t="shared" si="5"/>
        <v>9.6806329999999993E-3</v>
      </c>
      <c r="E74" s="12">
        <f t="shared" si="6"/>
        <v>4.3217111607142858E-4</v>
      </c>
      <c r="F74" s="12">
        <f>E74/Calculation!K$19*1000</f>
        <v>4.7882702974909411E-4</v>
      </c>
      <c r="G74" s="12">
        <f t="shared" si="7"/>
        <v>30.434142610294376</v>
      </c>
    </row>
    <row r="75" spans="1:7">
      <c r="A75" s="12">
        <v>35</v>
      </c>
      <c r="B75" s="74">
        <v>131.72999999999999</v>
      </c>
      <c r="C75" s="12">
        <f t="shared" si="4"/>
        <v>0.13172999999999999</v>
      </c>
      <c r="D75" s="12">
        <f t="shared" si="5"/>
        <v>9.1815809999999994E-3</v>
      </c>
      <c r="E75" s="12">
        <f t="shared" si="6"/>
        <v>4.0989200892857145E-4</v>
      </c>
      <c r="F75" s="12">
        <f>E75/Calculation!K$19*1000</f>
        <v>4.5414273618581727E-4</v>
      </c>
      <c r="G75" s="12">
        <f t="shared" si="7"/>
        <v>30.4481371567834</v>
      </c>
    </row>
    <row r="76" spans="1:7">
      <c r="A76" s="12">
        <v>35.5</v>
      </c>
      <c r="B76" s="74">
        <v>128.87</v>
      </c>
      <c r="C76" s="12">
        <f t="shared" si="4"/>
        <v>0.12887000000000001</v>
      </c>
      <c r="D76" s="12">
        <f t="shared" si="5"/>
        <v>8.9822390000000012E-3</v>
      </c>
      <c r="E76" s="12">
        <f t="shared" si="6"/>
        <v>4.0099281250000009E-4</v>
      </c>
      <c r="F76" s="12">
        <f>E76/Calculation!K$19*1000</f>
        <v>4.4428280886864253E-4</v>
      </c>
      <c r="G76" s="12">
        <f t="shared" si="7"/>
        <v>30.461613539959217</v>
      </c>
    </row>
    <row r="77" spans="1:7">
      <c r="A77" s="12">
        <v>36</v>
      </c>
      <c r="B77" s="74">
        <v>138.88999999999999</v>
      </c>
      <c r="C77" s="12">
        <f t="shared" si="4"/>
        <v>0.13888999999999999</v>
      </c>
      <c r="D77" s="12">
        <f t="shared" si="5"/>
        <v>9.6806329999999993E-3</v>
      </c>
      <c r="E77" s="12">
        <f t="shared" si="6"/>
        <v>4.3217111607142858E-4</v>
      </c>
      <c r="F77" s="12">
        <f>E77/Calculation!K$19*1000</f>
        <v>4.7882702974909411E-4</v>
      </c>
      <c r="G77" s="12">
        <f t="shared" si="7"/>
        <v>30.475460187538484</v>
      </c>
    </row>
    <row r="78" spans="1:7">
      <c r="A78" s="12">
        <v>36.5</v>
      </c>
      <c r="B78" s="74">
        <v>138.41</v>
      </c>
      <c r="C78" s="12">
        <f t="shared" si="4"/>
        <v>0.13841000000000001</v>
      </c>
      <c r="D78" s="12">
        <f t="shared" si="5"/>
        <v>9.6471769999999998E-3</v>
      </c>
      <c r="E78" s="12">
        <f t="shared" si="6"/>
        <v>4.3067754464285715E-4</v>
      </c>
      <c r="F78" s="12">
        <f>E78/Calculation!K$19*1000</f>
        <v>4.7717221677278499E-4</v>
      </c>
      <c r="G78" s="12">
        <f t="shared" si="7"/>
        <v>30.489800176236312</v>
      </c>
    </row>
    <row r="79" spans="1:7">
      <c r="A79" s="12">
        <v>37</v>
      </c>
      <c r="B79" s="74">
        <v>121.23</v>
      </c>
      <c r="C79" s="12">
        <f t="shared" si="4"/>
        <v>0.12123</v>
      </c>
      <c r="D79" s="12">
        <f t="shared" si="5"/>
        <v>8.4497310000000003E-3</v>
      </c>
      <c r="E79" s="12">
        <f t="shared" si="6"/>
        <v>3.7722013392857146E-4</v>
      </c>
      <c r="F79" s="12">
        <f>E79/Calculation!K$19*1000</f>
        <v>4.1794370232905661E-4</v>
      </c>
      <c r="G79" s="12">
        <f t="shared" si="7"/>
        <v>30.503226915022839</v>
      </c>
    </row>
    <row r="80" spans="1:7">
      <c r="A80" s="12">
        <v>37.5</v>
      </c>
      <c r="B80" s="74">
        <v>126.96</v>
      </c>
      <c r="C80" s="12">
        <f t="shared" si="4"/>
        <v>0.12695999999999999</v>
      </c>
      <c r="D80" s="12">
        <f t="shared" si="5"/>
        <v>8.8491119999999993E-3</v>
      </c>
      <c r="E80" s="12">
        <f t="shared" si="6"/>
        <v>3.9504964285714286E-4</v>
      </c>
      <c r="F80" s="12">
        <f>E80/Calculation!K$19*1000</f>
        <v>4.3769803223374604E-4</v>
      </c>
      <c r="G80" s="12">
        <f t="shared" si="7"/>
        <v>30.516061541041282</v>
      </c>
    </row>
    <row r="81" spans="1:7">
      <c r="A81" s="12">
        <v>38</v>
      </c>
      <c r="B81" s="74">
        <v>129.82</v>
      </c>
      <c r="C81" s="12">
        <f t="shared" si="4"/>
        <v>0.12981999999999999</v>
      </c>
      <c r="D81" s="12">
        <f t="shared" si="5"/>
        <v>9.0484540000000009E-3</v>
      </c>
      <c r="E81" s="12">
        <f t="shared" si="6"/>
        <v>4.0394883928571433E-4</v>
      </c>
      <c r="F81" s="12">
        <f>E81/Calculation!K$19*1000</f>
        <v>4.4755795955092083E-4</v>
      </c>
      <c r="G81" s="12">
        <f t="shared" si="7"/>
        <v>30.52934038091805</v>
      </c>
    </row>
    <row r="82" spans="1:7">
      <c r="A82" s="12">
        <v>38.5</v>
      </c>
      <c r="B82" s="74">
        <v>116.93</v>
      </c>
      <c r="C82" s="12">
        <f t="shared" si="4"/>
        <v>0.11693000000000001</v>
      </c>
      <c r="D82" s="12">
        <f t="shared" si="5"/>
        <v>8.1500210000000003E-3</v>
      </c>
      <c r="E82" s="12">
        <f t="shared" si="6"/>
        <v>3.6384022321428575E-4</v>
      </c>
      <c r="F82" s="12">
        <f>E82/Calculation!K$19*1000</f>
        <v>4.0311933608295467E-4</v>
      </c>
      <c r="G82" s="12">
        <f t="shared" si="7"/>
        <v>30.542100540352557</v>
      </c>
    </row>
    <row r="83" spans="1:7">
      <c r="A83" s="12">
        <v>39</v>
      </c>
      <c r="B83" s="74">
        <v>130.30000000000001</v>
      </c>
      <c r="C83" s="12">
        <f t="shared" si="4"/>
        <v>0.1303</v>
      </c>
      <c r="D83" s="12">
        <f t="shared" si="5"/>
        <v>9.0819100000000003E-3</v>
      </c>
      <c r="E83" s="12">
        <f t="shared" si="6"/>
        <v>4.0544241071428577E-4</v>
      </c>
      <c r="F83" s="12">
        <f>E83/Calculation!K$19*1000</f>
        <v>4.492127725272299E-4</v>
      </c>
      <c r="G83" s="12">
        <f t="shared" si="7"/>
        <v>30.55488552198171</v>
      </c>
    </row>
    <row r="84" spans="1:7">
      <c r="A84" s="12">
        <v>39.5</v>
      </c>
      <c r="B84" s="74">
        <v>129.82</v>
      </c>
      <c r="C84" s="12">
        <f t="shared" si="4"/>
        <v>0.12981999999999999</v>
      </c>
      <c r="D84" s="12">
        <f t="shared" si="5"/>
        <v>9.0484540000000009E-3</v>
      </c>
      <c r="E84" s="12">
        <f t="shared" si="6"/>
        <v>4.0394883928571433E-4</v>
      </c>
      <c r="F84" s="12">
        <f>E84/Calculation!K$19*1000</f>
        <v>4.4755795955092083E-4</v>
      </c>
      <c r="G84" s="12">
        <f t="shared" si="7"/>
        <v>30.568337082962881</v>
      </c>
    </row>
    <row r="85" spans="1:7">
      <c r="A85" s="12">
        <v>40</v>
      </c>
      <c r="B85" s="74">
        <v>108.34</v>
      </c>
      <c r="C85" s="12">
        <f t="shared" si="4"/>
        <v>0.10834000000000001</v>
      </c>
      <c r="D85" s="12">
        <f t="shared" si="5"/>
        <v>7.5512980000000006E-3</v>
      </c>
      <c r="E85" s="12">
        <f t="shared" si="6"/>
        <v>3.3711151785714293E-4</v>
      </c>
      <c r="F85" s="12">
        <f>E85/Calculation!K$19*1000</f>
        <v>3.7350507886109051E-4</v>
      </c>
      <c r="G85" s="12">
        <f t="shared" si="7"/>
        <v>30.580653028539061</v>
      </c>
    </row>
    <row r="86" spans="1:7">
      <c r="A86" s="12">
        <v>40.5</v>
      </c>
      <c r="B86" s="74">
        <v>145.57</v>
      </c>
      <c r="C86" s="12">
        <f t="shared" si="4"/>
        <v>0.14557</v>
      </c>
      <c r="D86" s="12">
        <f t="shared" si="5"/>
        <v>1.0146229000000001E-2</v>
      </c>
      <c r="E86" s="12">
        <f t="shared" si="6"/>
        <v>4.5295665178571439E-4</v>
      </c>
      <c r="F86" s="12">
        <f>E86/Calculation!K$19*1000</f>
        <v>5.0185651033606189E-4</v>
      </c>
      <c r="G86" s="12">
        <f t="shared" si="7"/>
        <v>30.593783452377018</v>
      </c>
    </row>
    <row r="87" spans="1:7">
      <c r="A87" s="12">
        <v>41</v>
      </c>
      <c r="B87" s="74">
        <v>121.71</v>
      </c>
      <c r="C87" s="12">
        <f t="shared" si="4"/>
        <v>0.12171</v>
      </c>
      <c r="D87" s="12">
        <f t="shared" si="5"/>
        <v>8.4831869999999997E-3</v>
      </c>
      <c r="E87" s="12">
        <f t="shared" si="6"/>
        <v>3.7871370535714284E-4</v>
      </c>
      <c r="F87" s="12">
        <f>E87/Calculation!K$19*1000</f>
        <v>4.1959851530536563E-4</v>
      </c>
      <c r="G87" s="12">
        <f t="shared" si="7"/>
        <v>30.607605277761639</v>
      </c>
    </row>
    <row r="88" spans="1:7">
      <c r="A88" s="12">
        <v>41.5</v>
      </c>
      <c r="B88" s="74">
        <v>110.73</v>
      </c>
      <c r="C88" s="12">
        <f t="shared" si="4"/>
        <v>0.11073000000000001</v>
      </c>
      <c r="D88" s="12">
        <f t="shared" si="5"/>
        <v>7.7178810000000011E-3</v>
      </c>
      <c r="E88" s="12">
        <f t="shared" si="6"/>
        <v>3.4454825892857148E-4</v>
      </c>
      <c r="F88" s="12">
        <f>E88/Calculation!K$19*1000</f>
        <v>3.8174466847229601E-4</v>
      </c>
      <c r="G88" s="12">
        <f t="shared" si="7"/>
        <v>30.619625425518304</v>
      </c>
    </row>
    <row r="89" spans="1:7">
      <c r="A89" s="12">
        <v>42</v>
      </c>
      <c r="B89" s="74">
        <v>109.3</v>
      </c>
      <c r="C89" s="12">
        <f t="shared" si="4"/>
        <v>0.10929999999999999</v>
      </c>
      <c r="D89" s="12">
        <f t="shared" si="5"/>
        <v>7.6182100000000003E-3</v>
      </c>
      <c r="E89" s="12">
        <f t="shared" si="6"/>
        <v>3.4009866071428574E-4</v>
      </c>
      <c r="F89" s="12">
        <f>E89/Calculation!K$19*1000</f>
        <v>3.7681470481370859E-4</v>
      </c>
      <c r="G89" s="12">
        <f t="shared" si="7"/>
        <v>30.631003816117595</v>
      </c>
    </row>
    <row r="90" spans="1:7">
      <c r="A90" s="12">
        <v>42.5</v>
      </c>
      <c r="B90" s="74">
        <v>130.30000000000001</v>
      </c>
      <c r="C90" s="12">
        <f t="shared" si="4"/>
        <v>0.1303</v>
      </c>
      <c r="D90" s="12">
        <f t="shared" si="5"/>
        <v>9.0819100000000003E-3</v>
      </c>
      <c r="E90" s="12">
        <f t="shared" si="6"/>
        <v>4.0544241071428577E-4</v>
      </c>
      <c r="F90" s="12">
        <f>E90/Calculation!K$19*1000</f>
        <v>4.492127725272299E-4</v>
      </c>
      <c r="G90" s="12">
        <f t="shared" si="7"/>
        <v>30.64339422827771</v>
      </c>
    </row>
    <row r="91" spans="1:7">
      <c r="A91" s="12">
        <v>43</v>
      </c>
      <c r="B91" s="74">
        <v>130.30000000000001</v>
      </c>
      <c r="C91" s="12">
        <f t="shared" si="4"/>
        <v>0.1303</v>
      </c>
      <c r="D91" s="12">
        <f t="shared" si="5"/>
        <v>9.0819100000000003E-3</v>
      </c>
      <c r="E91" s="12">
        <f t="shared" si="6"/>
        <v>4.0544241071428577E-4</v>
      </c>
      <c r="F91" s="12">
        <f>E91/Calculation!K$19*1000</f>
        <v>4.492127725272299E-4</v>
      </c>
      <c r="G91" s="12">
        <f t="shared" si="7"/>
        <v>30.656870611453527</v>
      </c>
    </row>
    <row r="92" spans="1:7">
      <c r="A92" s="12">
        <v>43.5</v>
      </c>
      <c r="B92" s="74">
        <v>119.8</v>
      </c>
      <c r="C92" s="12">
        <f t="shared" si="4"/>
        <v>0.1198</v>
      </c>
      <c r="D92" s="12">
        <f t="shared" si="5"/>
        <v>8.3500599999999994E-3</v>
      </c>
      <c r="E92" s="12">
        <f t="shared" si="6"/>
        <v>3.7277053571428573E-4</v>
      </c>
      <c r="F92" s="12">
        <f>E92/Calculation!K$19*1000</f>
        <v>4.1301373867046924E-4</v>
      </c>
      <c r="G92" s="12">
        <f t="shared" si="7"/>
        <v>30.669804009121492</v>
      </c>
    </row>
    <row r="93" spans="1:7">
      <c r="A93" s="12">
        <v>44</v>
      </c>
      <c r="B93" s="74">
        <v>121.23</v>
      </c>
      <c r="C93" s="12">
        <f t="shared" si="4"/>
        <v>0.12123</v>
      </c>
      <c r="D93" s="12">
        <f t="shared" si="5"/>
        <v>8.4497310000000003E-3</v>
      </c>
      <c r="E93" s="12">
        <f t="shared" si="6"/>
        <v>3.7722013392857146E-4</v>
      </c>
      <c r="F93" s="12">
        <f>E93/Calculation!K$19*1000</f>
        <v>4.1794370232905661E-4</v>
      </c>
      <c r="G93" s="12">
        <f t="shared" si="7"/>
        <v>30.682268370736484</v>
      </c>
    </row>
    <row r="94" spans="1:7">
      <c r="A94" s="12">
        <v>44.5</v>
      </c>
      <c r="B94" s="74">
        <v>106.91</v>
      </c>
      <c r="C94" s="12">
        <f t="shared" si="4"/>
        <v>0.10690999999999999</v>
      </c>
      <c r="D94" s="12">
        <f t="shared" si="5"/>
        <v>7.4516269999999997E-3</v>
      </c>
      <c r="E94" s="12">
        <f t="shared" si="6"/>
        <v>3.3266191964285714E-4</v>
      </c>
      <c r="F94" s="12">
        <f>E94/Calculation!K$19*1000</f>
        <v>3.6857511520250303E-4</v>
      </c>
      <c r="G94" s="12">
        <f t="shared" si="7"/>
        <v>30.694066152999458</v>
      </c>
    </row>
    <row r="95" spans="1:7">
      <c r="A95" s="12">
        <v>45</v>
      </c>
      <c r="B95" s="74">
        <v>122.66</v>
      </c>
      <c r="C95" s="12">
        <f t="shared" si="4"/>
        <v>0.12265999999999999</v>
      </c>
      <c r="D95" s="12">
        <f t="shared" si="5"/>
        <v>8.5494019999999993E-3</v>
      </c>
      <c r="E95" s="12">
        <f t="shared" si="6"/>
        <v>3.8166973214285714E-4</v>
      </c>
      <c r="F95" s="12">
        <f>E95/Calculation!K$19*1000</f>
        <v>4.2287366598764398E-4</v>
      </c>
      <c r="G95" s="12">
        <f t="shared" si="7"/>
        <v>30.705937884717311</v>
      </c>
    </row>
    <row r="96" spans="1:7">
      <c r="A96" s="12">
        <v>45.5</v>
      </c>
      <c r="B96" s="74">
        <v>130.30000000000001</v>
      </c>
      <c r="C96" s="12">
        <f t="shared" si="4"/>
        <v>0.1303</v>
      </c>
      <c r="D96" s="12">
        <f t="shared" si="5"/>
        <v>9.0819100000000003E-3</v>
      </c>
      <c r="E96" s="12">
        <f t="shared" si="6"/>
        <v>4.0544241071428577E-4</v>
      </c>
      <c r="F96" s="12">
        <f>E96/Calculation!K$19*1000</f>
        <v>4.492127725272299E-4</v>
      </c>
      <c r="G96" s="12">
        <f t="shared" si="7"/>
        <v>30.719019181295035</v>
      </c>
    </row>
    <row r="97" spans="1:7">
      <c r="A97" s="12">
        <v>46</v>
      </c>
      <c r="B97" s="74">
        <v>143.18</v>
      </c>
      <c r="C97" s="12">
        <f t="shared" si="4"/>
        <v>0.14318</v>
      </c>
      <c r="D97" s="12">
        <f t="shared" si="5"/>
        <v>9.979646E-3</v>
      </c>
      <c r="E97" s="12">
        <f t="shared" si="6"/>
        <v>4.4551991071428574E-4</v>
      </c>
      <c r="F97" s="12">
        <f>E97/Calculation!K$19*1000</f>
        <v>4.9361692072485627E-4</v>
      </c>
      <c r="G97" s="12">
        <f t="shared" si="7"/>
        <v>30.733161626693818</v>
      </c>
    </row>
    <row r="98" spans="1:7">
      <c r="A98" s="12">
        <v>46.5</v>
      </c>
      <c r="B98" s="74">
        <v>104.52</v>
      </c>
      <c r="C98" s="12">
        <f t="shared" si="4"/>
        <v>0.10452</v>
      </c>
      <c r="D98" s="12">
        <f t="shared" si="5"/>
        <v>7.2850440000000001E-3</v>
      </c>
      <c r="E98" s="12">
        <f t="shared" si="6"/>
        <v>3.2522517857142859E-4</v>
      </c>
      <c r="F98" s="12">
        <f>E98/Calculation!K$19*1000</f>
        <v>3.6033552559129752E-4</v>
      </c>
      <c r="G98" s="12">
        <f t="shared" si="7"/>
        <v>30.745970913388561</v>
      </c>
    </row>
    <row r="99" spans="1:7">
      <c r="A99" s="12">
        <v>47</v>
      </c>
      <c r="B99" s="74">
        <v>173.25</v>
      </c>
      <c r="C99" s="12">
        <f t="shared" si="4"/>
        <v>0.17324999999999999</v>
      </c>
      <c r="D99" s="12">
        <f t="shared" si="5"/>
        <v>1.2075525E-2</v>
      </c>
      <c r="E99" s="12">
        <f t="shared" si="6"/>
        <v>5.3908593750000007E-4</v>
      </c>
      <c r="F99" s="12">
        <f>E99/Calculation!K$19*1000</f>
        <v>5.9728405863655092E-4</v>
      </c>
      <c r="G99" s="12">
        <f t="shared" si="7"/>
        <v>30.760335207151979</v>
      </c>
    </row>
    <row r="100" spans="1:7">
      <c r="A100" s="12">
        <v>47.5</v>
      </c>
      <c r="B100" s="74">
        <v>115.98</v>
      </c>
      <c r="C100" s="12">
        <f t="shared" si="4"/>
        <v>0.11598</v>
      </c>
      <c r="D100" s="12">
        <f t="shared" si="5"/>
        <v>8.0838060000000007E-3</v>
      </c>
      <c r="E100" s="12">
        <f t="shared" si="6"/>
        <v>3.608841964285715E-4</v>
      </c>
      <c r="F100" s="12">
        <f>E100/Calculation!K$19*1000</f>
        <v>3.9984418540067631E-4</v>
      </c>
      <c r="G100" s="12">
        <f t="shared" si="7"/>
        <v>30.775292130812538</v>
      </c>
    </row>
    <row r="101" spans="1:7">
      <c r="A101" s="12">
        <v>48</v>
      </c>
      <c r="B101" s="74">
        <v>115.5</v>
      </c>
      <c r="C101" s="12">
        <f t="shared" si="4"/>
        <v>0.11550000000000001</v>
      </c>
      <c r="D101" s="12">
        <f t="shared" si="5"/>
        <v>8.0503500000000013E-3</v>
      </c>
      <c r="E101" s="12">
        <f t="shared" si="6"/>
        <v>3.5939062500000006E-4</v>
      </c>
      <c r="F101" s="12">
        <f>E101/Calculation!K$20*1000</f>
        <v>4.2672702061603526E-4</v>
      </c>
      <c r="G101" s="12">
        <f t="shared" si="7"/>
        <v>30.787690698902789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88" zoomScale="98" zoomScaleNormal="98" zoomScalePageLayoutView="98" workbookViewId="0">
      <selection activeCell="F5" sqref="F5:F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69.7</v>
      </c>
      <c r="C1" s="9" t="s">
        <v>51</v>
      </c>
    </row>
    <row r="3" spans="1:12">
      <c r="A3" s="127" t="s">
        <v>5</v>
      </c>
      <c r="B3" s="127" t="s">
        <v>36</v>
      </c>
      <c r="C3" s="127"/>
      <c r="D3" s="127" t="s">
        <v>52</v>
      </c>
      <c r="E3" s="127"/>
      <c r="F3" s="127"/>
      <c r="G3" s="8" t="s">
        <v>53</v>
      </c>
    </row>
    <row r="4" spans="1:12">
      <c r="A4" s="127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4">
        <v>0</v>
      </c>
      <c r="B5" s="74">
        <v>609</v>
      </c>
      <c r="C5" s="35">
        <f>B5/1000</f>
        <v>0.60899999999999999</v>
      </c>
      <c r="D5" s="12">
        <f>C5/1000*$B$1</f>
        <v>4.24473E-2</v>
      </c>
      <c r="E5" s="12">
        <f>D5/22.4</f>
        <v>1.8949687500000002E-3</v>
      </c>
      <c r="F5" s="12">
        <f>E5/Calculation!K$4*1000</f>
        <v>1.217823306973798E-3</v>
      </c>
      <c r="G5" s="12">
        <f>(0+F5)/2*30</f>
        <v>1.8267349604606971E-2</v>
      </c>
    </row>
    <row r="6" spans="1:12">
      <c r="A6" s="34">
        <v>0.5</v>
      </c>
      <c r="B6" s="74">
        <v>2644.31</v>
      </c>
      <c r="C6" s="35">
        <f t="shared" ref="C6:C69" si="0">B6/1000</f>
        <v>2.6443099999999999</v>
      </c>
      <c r="D6" s="12">
        <f>C6/1000*$B$1</f>
        <v>0.18430840700000001</v>
      </c>
      <c r="E6" s="12">
        <f t="shared" ref="E6:E69" si="1">D6/22.4</f>
        <v>8.2280538839285718E-3</v>
      </c>
      <c r="F6" s="12">
        <f>E6/Calculation!K$4*1000</f>
        <v>5.2878527895958687E-3</v>
      </c>
      <c r="G6" s="12">
        <f>G5+(F6+F5)/2*30</f>
        <v>0.11585249105315196</v>
      </c>
    </row>
    <row r="7" spans="1:12">
      <c r="A7" s="34">
        <v>1</v>
      </c>
      <c r="B7" s="74">
        <v>3173.17</v>
      </c>
      <c r="C7" s="35">
        <f t="shared" si="0"/>
        <v>3.1731700000000003</v>
      </c>
      <c r="D7" s="12">
        <f t="shared" ref="D7:D69" si="2">C7/1000*$B$1</f>
        <v>0.22116994900000003</v>
      </c>
      <c r="E7" s="12">
        <f t="shared" si="1"/>
        <v>9.8736584375000019E-3</v>
      </c>
      <c r="F7" s="12">
        <f>E7/Calculation!K$4*1000</f>
        <v>6.3454193480953153E-3</v>
      </c>
      <c r="G7" s="12">
        <f>G6+(F7+F6)/2*30</f>
        <v>0.29035157311851972</v>
      </c>
    </row>
    <row r="8" spans="1:12">
      <c r="A8" s="34">
        <v>1.5</v>
      </c>
      <c r="B8" s="74">
        <v>3725.8</v>
      </c>
      <c r="C8" s="35">
        <f t="shared" si="0"/>
        <v>3.7258</v>
      </c>
      <c r="D8" s="12">
        <f t="shared" si="2"/>
        <v>0.25968826</v>
      </c>
      <c r="E8" s="12">
        <f t="shared" si="1"/>
        <v>1.1593225892857145E-2</v>
      </c>
      <c r="F8" s="12">
        <f>E8/Calculation!K$4*1000</f>
        <v>7.4505190100541494E-3</v>
      </c>
      <c r="G8" s="12">
        <f t="shared" ref="G8:G70" si="3">G7+(F8+F7)/2*30</f>
        <v>0.49729064849076171</v>
      </c>
      <c r="K8" s="2">
        <f>0.001977/44.01</f>
        <v>4.492160872528971E-5</v>
      </c>
      <c r="L8" s="2">
        <f>1/K8</f>
        <v>22261.001517450681</v>
      </c>
    </row>
    <row r="9" spans="1:12">
      <c r="A9" s="34">
        <v>2</v>
      </c>
      <c r="B9" s="74">
        <v>4072.78</v>
      </c>
      <c r="C9" s="35">
        <f t="shared" si="0"/>
        <v>4.0727799999999998</v>
      </c>
      <c r="D9" s="12">
        <f t="shared" si="2"/>
        <v>0.283872766</v>
      </c>
      <c r="E9" s="12">
        <f t="shared" si="1"/>
        <v>1.2672891339285714E-2</v>
      </c>
      <c r="F9" s="12">
        <f>E9/Calculation!K$5*1000</f>
        <v>8.3919932781222235E-3</v>
      </c>
      <c r="G9" s="12">
        <f t="shared" si="3"/>
        <v>0.7349283328134073</v>
      </c>
    </row>
    <row r="10" spans="1:12">
      <c r="A10" s="34">
        <v>2.5</v>
      </c>
      <c r="B10" s="74">
        <v>4427.8999999999996</v>
      </c>
      <c r="C10" s="35">
        <f t="shared" si="0"/>
        <v>4.4278999999999993</v>
      </c>
      <c r="D10" s="12">
        <f t="shared" si="2"/>
        <v>0.30862462999999996</v>
      </c>
      <c r="E10" s="12">
        <f t="shared" si="1"/>
        <v>1.3777885267857141E-2</v>
      </c>
      <c r="F10" s="12">
        <f>E10/Calculation!K$5*1000</f>
        <v>9.1237206616113301E-3</v>
      </c>
      <c r="G10" s="12">
        <f t="shared" si="3"/>
        <v>0.9976640419094106</v>
      </c>
    </row>
    <row r="11" spans="1:12">
      <c r="A11" s="34">
        <v>3</v>
      </c>
      <c r="B11" s="74">
        <v>4735.8100000000004</v>
      </c>
      <c r="C11" s="35">
        <f t="shared" si="0"/>
        <v>4.7358100000000007</v>
      </c>
      <c r="D11" s="12">
        <f t="shared" si="2"/>
        <v>0.3300859570000001</v>
      </c>
      <c r="E11" s="12">
        <f t="shared" si="1"/>
        <v>1.4735980223214292E-2</v>
      </c>
      <c r="F11" s="12">
        <f>E11/Calculation!K$5*1000</f>
        <v>9.7581714913312339E-3</v>
      </c>
      <c r="G11" s="12">
        <f t="shared" si="3"/>
        <v>1.2808924242035491</v>
      </c>
    </row>
    <row r="12" spans="1:12">
      <c r="A12" s="34">
        <v>3.5</v>
      </c>
      <c r="B12" s="74">
        <v>5201.5</v>
      </c>
      <c r="C12" s="35">
        <f t="shared" si="0"/>
        <v>5.2015000000000002</v>
      </c>
      <c r="D12" s="12">
        <f t="shared" si="2"/>
        <v>0.36254455000000002</v>
      </c>
      <c r="E12" s="12">
        <f t="shared" si="1"/>
        <v>1.6185024553571431E-2</v>
      </c>
      <c r="F12" s="12">
        <f>E12/Calculation!K$6*1000</f>
        <v>1.1031027854164795E-2</v>
      </c>
      <c r="G12" s="12">
        <f t="shared" si="3"/>
        <v>1.5927304143859895</v>
      </c>
    </row>
    <row r="13" spans="1:12">
      <c r="A13" s="34">
        <v>4</v>
      </c>
      <c r="B13" s="74">
        <v>5842.41</v>
      </c>
      <c r="C13" s="35">
        <f t="shared" si="0"/>
        <v>5.8424100000000001</v>
      </c>
      <c r="D13" s="12">
        <f t="shared" si="2"/>
        <v>0.40721597700000001</v>
      </c>
      <c r="E13" s="12">
        <f t="shared" si="1"/>
        <v>1.8179284687500002E-2</v>
      </c>
      <c r="F13" s="12">
        <f>E13/Calculation!K$6*1000</f>
        <v>1.2390231172825329E-2</v>
      </c>
      <c r="G13" s="12">
        <f t="shared" si="3"/>
        <v>1.9440492997908414</v>
      </c>
    </row>
    <row r="14" spans="1:12">
      <c r="A14" s="34">
        <v>4.5</v>
      </c>
      <c r="B14" s="74">
        <v>7037.46</v>
      </c>
      <c r="C14" s="35">
        <f t="shared" si="0"/>
        <v>7.0374600000000003</v>
      </c>
      <c r="D14" s="12">
        <f t="shared" si="2"/>
        <v>0.49051096200000005</v>
      </c>
      <c r="E14" s="12">
        <f t="shared" si="1"/>
        <v>2.1897810803571432E-2</v>
      </c>
      <c r="F14" s="12">
        <f>E14/Calculation!K$6*1000</f>
        <v>1.4924621221295892E-2</v>
      </c>
      <c r="G14" s="12">
        <f t="shared" si="3"/>
        <v>2.3537720857026598</v>
      </c>
    </row>
    <row r="15" spans="1:12">
      <c r="A15" s="34">
        <v>5</v>
      </c>
      <c r="B15" s="74">
        <v>8637.51</v>
      </c>
      <c r="C15" s="35">
        <f t="shared" si="0"/>
        <v>8.6375100000000007</v>
      </c>
      <c r="D15" s="12">
        <f t="shared" si="2"/>
        <v>0.60203444700000008</v>
      </c>
      <c r="E15" s="12">
        <f t="shared" si="1"/>
        <v>2.6876537812500004E-2</v>
      </c>
      <c r="F15" s="12">
        <f>E15/Calculation!K$7*1000</f>
        <v>1.8881933320107104E-2</v>
      </c>
      <c r="G15" s="12">
        <f t="shared" si="3"/>
        <v>2.8608704038237045</v>
      </c>
    </row>
    <row r="16" spans="1:12">
      <c r="A16" s="34">
        <v>5.5</v>
      </c>
      <c r="B16" s="74">
        <v>10618.13</v>
      </c>
      <c r="C16" s="35">
        <f t="shared" si="0"/>
        <v>10.618129999999999</v>
      </c>
      <c r="D16" s="12">
        <f t="shared" si="2"/>
        <v>0.74008366099999989</v>
      </c>
      <c r="E16" s="12">
        <f t="shared" si="1"/>
        <v>3.3039449151785714E-2</v>
      </c>
      <c r="F16" s="12">
        <f>E16/Calculation!K$7*1000</f>
        <v>2.3211645791927166E-2</v>
      </c>
      <c r="G16" s="12">
        <f t="shared" si="3"/>
        <v>3.4922740905042184</v>
      </c>
    </row>
    <row r="17" spans="1:7">
      <c r="A17" s="34">
        <v>6</v>
      </c>
      <c r="B17" s="74">
        <v>11818.33</v>
      </c>
      <c r="C17" s="35">
        <f t="shared" si="0"/>
        <v>11.81833</v>
      </c>
      <c r="D17" s="12">
        <f t="shared" si="2"/>
        <v>0.82373760100000004</v>
      </c>
      <c r="E17" s="12">
        <f t="shared" si="1"/>
        <v>3.677400004464286E-2</v>
      </c>
      <c r="F17" s="12">
        <f>E17/Calculation!K$8*1000</f>
        <v>2.665372751821999E-2</v>
      </c>
      <c r="G17" s="12">
        <f t="shared" si="3"/>
        <v>4.2402546901564255</v>
      </c>
    </row>
    <row r="18" spans="1:7">
      <c r="A18" s="34">
        <v>6.5</v>
      </c>
      <c r="B18" s="74">
        <v>13774.5</v>
      </c>
      <c r="C18" s="35">
        <f t="shared" si="0"/>
        <v>13.7745</v>
      </c>
      <c r="D18" s="12">
        <f t="shared" si="2"/>
        <v>0.96008265000000004</v>
      </c>
      <c r="E18" s="12">
        <f t="shared" si="1"/>
        <v>4.2860832589285719E-2</v>
      </c>
      <c r="F18" s="12">
        <f>E18/Calculation!K$8*1000</f>
        <v>3.1065452538533048E-2</v>
      </c>
      <c r="G18" s="12">
        <f t="shared" si="3"/>
        <v>5.1060423910077208</v>
      </c>
    </row>
    <row r="19" spans="1:7">
      <c r="A19" s="34">
        <v>7</v>
      </c>
      <c r="B19" s="74">
        <v>16159.95</v>
      </c>
      <c r="C19" s="35">
        <f t="shared" si="0"/>
        <v>16.159950000000002</v>
      </c>
      <c r="D19" s="12">
        <f t="shared" si="2"/>
        <v>1.1263485150000003</v>
      </c>
      <c r="E19" s="12">
        <f t="shared" si="1"/>
        <v>5.0283415848214302E-2</v>
      </c>
      <c r="F19" s="12">
        <f>E19/Calculation!K$8*1000</f>
        <v>3.6445327216963759E-2</v>
      </c>
      <c r="G19" s="12">
        <f t="shared" si="3"/>
        <v>6.1187040873401735</v>
      </c>
    </row>
    <row r="20" spans="1:7">
      <c r="A20" s="34">
        <v>7.5</v>
      </c>
      <c r="B20" s="74">
        <v>18456.61</v>
      </c>
      <c r="C20" s="35">
        <f t="shared" si="0"/>
        <v>18.456610000000001</v>
      </c>
      <c r="D20" s="12">
        <f t="shared" si="2"/>
        <v>1.2864257170000002</v>
      </c>
      <c r="E20" s="12">
        <f t="shared" si="1"/>
        <v>5.7429719508928584E-2</v>
      </c>
      <c r="F20" s="12">
        <f>E20/Calculation!K$9*1000</f>
        <v>4.291708215603654E-2</v>
      </c>
      <c r="G20" s="12">
        <f t="shared" si="3"/>
        <v>7.3091402279351776</v>
      </c>
    </row>
    <row r="21" spans="1:7">
      <c r="A21" s="34">
        <v>8</v>
      </c>
      <c r="B21" s="74">
        <v>20924.36</v>
      </c>
      <c r="C21" s="35">
        <f t="shared" si="0"/>
        <v>20.92436</v>
      </c>
      <c r="D21" s="12">
        <f t="shared" si="2"/>
        <v>1.458427892</v>
      </c>
      <c r="E21" s="12">
        <f t="shared" si="1"/>
        <v>6.5108388035714296E-2</v>
      </c>
      <c r="F21" s="12">
        <f>E21/Calculation!K$9*1000</f>
        <v>4.8655331460245664E-2</v>
      </c>
      <c r="G21" s="12">
        <f t="shared" si="3"/>
        <v>8.6827264321794111</v>
      </c>
    </row>
    <row r="22" spans="1:7">
      <c r="A22" s="34">
        <v>8.5</v>
      </c>
      <c r="B22" s="74">
        <v>23935.26</v>
      </c>
      <c r="C22" s="35">
        <f t="shared" si="0"/>
        <v>23.93526</v>
      </c>
      <c r="D22" s="12">
        <f t="shared" si="2"/>
        <v>1.668287622</v>
      </c>
      <c r="E22" s="12">
        <f t="shared" si="1"/>
        <v>7.4477125982142858E-2</v>
      </c>
      <c r="F22" s="12">
        <f>E22/Calculation!K$9*1000</f>
        <v>5.5656565308910735E-2</v>
      </c>
      <c r="G22" s="12">
        <f t="shared" si="3"/>
        <v>10.247404883716758</v>
      </c>
    </row>
    <row r="23" spans="1:7">
      <c r="A23" s="34">
        <v>9</v>
      </c>
      <c r="B23" s="74">
        <v>27275.01</v>
      </c>
      <c r="C23" s="35">
        <f t="shared" si="0"/>
        <v>27.275009999999998</v>
      </c>
      <c r="D23" s="12">
        <f t="shared" si="2"/>
        <v>1.9010681970000001</v>
      </c>
      <c r="E23" s="12">
        <f t="shared" si="1"/>
        <v>8.4869115937500003E-2</v>
      </c>
      <c r="F23" s="12">
        <f>E23/Calculation!K$10*1000</f>
        <v>6.543740759860997E-2</v>
      </c>
      <c r="G23" s="12">
        <f t="shared" si="3"/>
        <v>12.063814477329569</v>
      </c>
    </row>
    <row r="24" spans="1:7">
      <c r="A24" s="34">
        <v>9.5</v>
      </c>
      <c r="B24" s="74">
        <v>30306.2</v>
      </c>
      <c r="C24" s="35">
        <f t="shared" si="0"/>
        <v>30.3062</v>
      </c>
      <c r="D24" s="12">
        <f t="shared" si="2"/>
        <v>2.1123421400000004</v>
      </c>
      <c r="E24" s="12">
        <f t="shared" si="1"/>
        <v>9.4300988392857166E-2</v>
      </c>
      <c r="F24" s="12">
        <f>E24/Calculation!K$10*1000</f>
        <v>7.2709750139963059E-2</v>
      </c>
      <c r="G24" s="12">
        <f t="shared" si="3"/>
        <v>14.136021843408164</v>
      </c>
    </row>
    <row r="25" spans="1:7">
      <c r="A25" s="34">
        <v>10</v>
      </c>
      <c r="B25" s="74">
        <v>31757.78</v>
      </c>
      <c r="C25" s="35">
        <f t="shared" si="0"/>
        <v>31.75778</v>
      </c>
      <c r="D25" s="12">
        <f t="shared" si="2"/>
        <v>2.2135172660000002</v>
      </c>
      <c r="E25" s="12">
        <f t="shared" si="1"/>
        <v>9.8817735089285735E-2</v>
      </c>
      <c r="F25" s="12">
        <f>E25/Calculation!K$11*1000</f>
        <v>7.8844044007746583E-2</v>
      </c>
      <c r="G25" s="12">
        <f t="shared" si="3"/>
        <v>16.409328755623807</v>
      </c>
    </row>
    <row r="26" spans="1:7">
      <c r="A26" s="34">
        <v>10.5</v>
      </c>
      <c r="B26" s="74">
        <v>32815.01</v>
      </c>
      <c r="C26" s="35">
        <f t="shared" si="0"/>
        <v>32.815010000000001</v>
      </c>
      <c r="D26" s="12">
        <f t="shared" si="2"/>
        <v>2.2872061970000002</v>
      </c>
      <c r="E26" s="12">
        <f t="shared" si="1"/>
        <v>0.10210741950892858</v>
      </c>
      <c r="F26" s="12">
        <f>E26/Calculation!K$11*1000</f>
        <v>8.1468795758225035E-2</v>
      </c>
      <c r="G26" s="12">
        <f t="shared" si="3"/>
        <v>18.814021352113382</v>
      </c>
    </row>
    <row r="27" spans="1:7">
      <c r="A27" s="34">
        <v>11</v>
      </c>
      <c r="B27" s="74">
        <v>34551.72</v>
      </c>
      <c r="C27" s="35">
        <f t="shared" si="0"/>
        <v>34.551720000000003</v>
      </c>
      <c r="D27" s="12">
        <f t="shared" si="2"/>
        <v>2.4082548840000002</v>
      </c>
      <c r="E27" s="12">
        <f t="shared" si="1"/>
        <v>0.10751137875000001</v>
      </c>
      <c r="F27" s="12">
        <f>E27/Calculation!K$11*1000</f>
        <v>8.5780471186063301E-2</v>
      </c>
      <c r="G27" s="12">
        <f t="shared" si="3"/>
        <v>21.322760356277708</v>
      </c>
    </row>
    <row r="28" spans="1:7">
      <c r="A28" s="34">
        <v>11.5</v>
      </c>
      <c r="B28" s="74">
        <v>36275.97</v>
      </c>
      <c r="C28" s="35">
        <f t="shared" si="0"/>
        <v>36.275970000000001</v>
      </c>
      <c r="D28" s="12">
        <f t="shared" si="2"/>
        <v>2.5284351090000001</v>
      </c>
      <c r="E28" s="12">
        <f t="shared" si="1"/>
        <v>0.11287656736607145</v>
      </c>
      <c r="F28" s="12">
        <f>E28/Calculation!K$12*1000</f>
        <v>9.2884448066370348E-2</v>
      </c>
      <c r="G28" s="12">
        <f t="shared" si="3"/>
        <v>24.002734145064213</v>
      </c>
    </row>
    <row r="29" spans="1:7">
      <c r="A29" s="34">
        <v>12</v>
      </c>
      <c r="B29" s="74">
        <v>38493.660000000003</v>
      </c>
      <c r="C29" s="35">
        <f t="shared" si="0"/>
        <v>38.493660000000006</v>
      </c>
      <c r="D29" s="12">
        <f t="shared" si="2"/>
        <v>2.6830081020000005</v>
      </c>
      <c r="E29" s="12">
        <f t="shared" si="1"/>
        <v>0.11977714741071431</v>
      </c>
      <c r="F29" s="12">
        <f>E29/Calculation!K$12*1000</f>
        <v>9.8562832727960625E-2</v>
      </c>
      <c r="G29" s="12">
        <f t="shared" si="3"/>
        <v>26.874443356979178</v>
      </c>
    </row>
    <row r="30" spans="1:7">
      <c r="A30" s="34">
        <v>12.5</v>
      </c>
      <c r="B30" s="74">
        <v>34809.089999999997</v>
      </c>
      <c r="C30" s="35">
        <f t="shared" si="0"/>
        <v>34.809089999999998</v>
      </c>
      <c r="D30" s="12">
        <f t="shared" si="2"/>
        <v>2.4261935730000004</v>
      </c>
      <c r="E30" s="12">
        <f t="shared" si="1"/>
        <v>0.10831221308035717</v>
      </c>
      <c r="F30" s="12">
        <f>E30/Calculation!K$12*1000</f>
        <v>8.9128508826713984E-2</v>
      </c>
      <c r="G30" s="12">
        <f t="shared" si="3"/>
        <v>29.689813480299296</v>
      </c>
    </row>
    <row r="31" spans="1:7">
      <c r="A31" s="34">
        <v>13</v>
      </c>
      <c r="B31" s="74">
        <v>29203.919999999998</v>
      </c>
      <c r="C31" s="35">
        <f t="shared" si="0"/>
        <v>29.203919999999997</v>
      </c>
      <c r="D31" s="12">
        <f t="shared" si="2"/>
        <v>2.0355132239999998</v>
      </c>
      <c r="E31" s="12">
        <f t="shared" si="1"/>
        <v>9.0871126071428568E-2</v>
      </c>
      <c r="F31" s="12">
        <f>E31/Calculation!K$13*1000</f>
        <v>7.7431998923293735E-2</v>
      </c>
      <c r="G31" s="12">
        <f t="shared" si="3"/>
        <v>32.188221096549412</v>
      </c>
    </row>
    <row r="32" spans="1:7">
      <c r="A32" s="34">
        <v>13.5</v>
      </c>
      <c r="B32" s="74">
        <v>25441.54</v>
      </c>
      <c r="C32" s="35">
        <f t="shared" si="0"/>
        <v>25.44154</v>
      </c>
      <c r="D32" s="12">
        <f t="shared" si="2"/>
        <v>1.7732753379999999</v>
      </c>
      <c r="E32" s="12">
        <f t="shared" si="1"/>
        <v>7.9164077589285717E-2</v>
      </c>
      <c r="F32" s="12">
        <f>E32/Calculation!K$13*1000</f>
        <v>6.7456331132496411E-2</v>
      </c>
      <c r="G32" s="12">
        <f t="shared" si="3"/>
        <v>34.361546047386263</v>
      </c>
    </row>
    <row r="33" spans="1:7">
      <c r="A33" s="34">
        <v>14</v>
      </c>
      <c r="B33" s="74">
        <v>21169.25</v>
      </c>
      <c r="C33" s="35">
        <f t="shared" si="0"/>
        <v>21.169250000000002</v>
      </c>
      <c r="D33" s="12">
        <f t="shared" si="2"/>
        <v>1.4754967250000002</v>
      </c>
      <c r="E33" s="12">
        <f t="shared" si="1"/>
        <v>6.5870389508928581E-2</v>
      </c>
      <c r="F33" s="12">
        <f>E33/Calculation!K$14*1000</f>
        <v>5.8536213098139792E-2</v>
      </c>
      <c r="G33" s="12">
        <f t="shared" si="3"/>
        <v>36.251434210845808</v>
      </c>
    </row>
    <row r="34" spans="1:7">
      <c r="A34" s="34">
        <v>14.5</v>
      </c>
      <c r="B34" s="74">
        <v>18149.87</v>
      </c>
      <c r="C34" s="35">
        <f t="shared" si="0"/>
        <v>18.14987</v>
      </c>
      <c r="D34" s="12">
        <f t="shared" si="2"/>
        <v>1.265045939</v>
      </c>
      <c r="E34" s="12">
        <f t="shared" si="1"/>
        <v>5.6475265133928573E-2</v>
      </c>
      <c r="F34" s="12">
        <f>E34/Calculation!K$14*1000</f>
        <v>5.0187165724980068E-2</v>
      </c>
      <c r="G34" s="12">
        <f t="shared" si="3"/>
        <v>37.882284893192605</v>
      </c>
    </row>
    <row r="35" spans="1:7">
      <c r="A35" s="34">
        <v>15</v>
      </c>
      <c r="B35" s="74">
        <v>15147.11</v>
      </c>
      <c r="C35" s="35">
        <f t="shared" si="0"/>
        <v>15.147110000000001</v>
      </c>
      <c r="D35" s="12">
        <f t="shared" si="2"/>
        <v>1.0557535670000002</v>
      </c>
      <c r="E35" s="12">
        <f t="shared" si="1"/>
        <v>4.7131855669642869E-2</v>
      </c>
      <c r="F35" s="12">
        <f>E35/Calculation!K$14*1000</f>
        <v>4.1884075193073175E-2</v>
      </c>
      <c r="G35" s="12">
        <f t="shared" si="3"/>
        <v>39.263353506963405</v>
      </c>
    </row>
    <row r="36" spans="1:7">
      <c r="A36" s="34">
        <v>15.5</v>
      </c>
      <c r="B36" s="74">
        <v>12983.46</v>
      </c>
      <c r="C36" s="35">
        <f t="shared" si="0"/>
        <v>12.983459999999999</v>
      </c>
      <c r="D36" s="12">
        <f t="shared" si="2"/>
        <v>0.90494716199999992</v>
      </c>
      <c r="E36" s="12">
        <f t="shared" si="1"/>
        <v>4.0399426874999998E-2</v>
      </c>
      <c r="F36" s="12">
        <f>E36/Calculation!K$15*1000</f>
        <v>3.7310987144501255E-2</v>
      </c>
      <c r="G36" s="12">
        <f t="shared" si="3"/>
        <v>40.451279442027023</v>
      </c>
    </row>
    <row r="37" spans="1:7">
      <c r="A37" s="34">
        <v>16</v>
      </c>
      <c r="B37" s="74">
        <v>10928.19</v>
      </c>
      <c r="C37" s="35">
        <f t="shared" si="0"/>
        <v>10.928190000000001</v>
      </c>
      <c r="D37" s="12">
        <f t="shared" si="2"/>
        <v>0.76169484300000012</v>
      </c>
      <c r="E37" s="12">
        <f t="shared" si="1"/>
        <v>3.4004234062500006E-2</v>
      </c>
      <c r="F37" s="12">
        <f>E37/Calculation!K$15*1000</f>
        <v>3.1404691553920693E-2</v>
      </c>
      <c r="G37" s="12">
        <f t="shared" si="3"/>
        <v>41.48201462250335</v>
      </c>
    </row>
    <row r="38" spans="1:7">
      <c r="A38" s="34">
        <v>16.5</v>
      </c>
      <c r="B38" s="74">
        <v>9305.5300000000007</v>
      </c>
      <c r="C38" s="35">
        <f t="shared" si="0"/>
        <v>9.305530000000001</v>
      </c>
      <c r="D38" s="12">
        <f t="shared" si="2"/>
        <v>0.64859544100000011</v>
      </c>
      <c r="E38" s="12">
        <f t="shared" si="1"/>
        <v>2.8955153616071434E-2</v>
      </c>
      <c r="F38" s="12">
        <f>E38/Calculation!K$15*1000</f>
        <v>2.6741601252884117E-2</v>
      </c>
      <c r="G38" s="12">
        <f t="shared" si="3"/>
        <v>42.354209014605424</v>
      </c>
    </row>
    <row r="39" spans="1:7">
      <c r="A39" s="34">
        <v>17</v>
      </c>
      <c r="B39" s="74">
        <v>7865.75</v>
      </c>
      <c r="C39" s="35">
        <f t="shared" si="0"/>
        <v>7.8657500000000002</v>
      </c>
      <c r="D39" s="12">
        <f t="shared" si="2"/>
        <v>0.54824277499999996</v>
      </c>
      <c r="E39" s="12">
        <f t="shared" si="1"/>
        <v>2.4475123883928571E-2</v>
      </c>
      <c r="F39" s="12">
        <f>E39/Calculation!K$16*1000</f>
        <v>2.3505762271073861E-2</v>
      </c>
      <c r="G39" s="12">
        <f>G38+(F39+F38)/2*30</f>
        <v>43.107919467464797</v>
      </c>
    </row>
    <row r="40" spans="1:7">
      <c r="A40" s="34">
        <v>17.5</v>
      </c>
      <c r="B40" s="74">
        <v>6747.51</v>
      </c>
      <c r="C40" s="35">
        <f t="shared" si="0"/>
        <v>6.7475100000000001</v>
      </c>
      <c r="D40" s="12">
        <f t="shared" si="2"/>
        <v>0.47030144700000004</v>
      </c>
      <c r="E40" s="12">
        <f t="shared" si="1"/>
        <v>2.0995600312500005E-2</v>
      </c>
      <c r="F40" s="12">
        <f>E40/Calculation!K$16*1000</f>
        <v>2.0164048689787196E-2</v>
      </c>
      <c r="G40" s="12">
        <f t="shared" si="3"/>
        <v>43.76296663187771</v>
      </c>
    </row>
    <row r="41" spans="1:7">
      <c r="A41" s="34">
        <v>18</v>
      </c>
      <c r="B41" s="74">
        <v>5652.05</v>
      </c>
      <c r="C41" s="35">
        <f t="shared" si="0"/>
        <v>5.65205</v>
      </c>
      <c r="D41" s="12">
        <f t="shared" si="2"/>
        <v>0.393947885</v>
      </c>
      <c r="E41" s="12">
        <f t="shared" si="1"/>
        <v>1.7586959151785715E-2</v>
      </c>
      <c r="F41" s="12">
        <f>E41/Calculation!K$17*1000</f>
        <v>1.7592183566017036E-2</v>
      </c>
      <c r="G41" s="12">
        <f t="shared" si="3"/>
        <v>44.329310115714776</v>
      </c>
    </row>
    <row r="42" spans="1:7">
      <c r="A42" s="34">
        <v>18.5</v>
      </c>
      <c r="B42" s="74">
        <v>4750.28</v>
      </c>
      <c r="C42" s="35">
        <f t="shared" si="0"/>
        <v>4.7502800000000001</v>
      </c>
      <c r="D42" s="12">
        <f t="shared" si="2"/>
        <v>0.33109451600000001</v>
      </c>
      <c r="E42" s="12">
        <f t="shared" si="1"/>
        <v>1.478100517857143E-2</v>
      </c>
      <c r="F42" s="12">
        <f>E42/Calculation!K$17*1000</f>
        <v>1.4785396050986704E-2</v>
      </c>
      <c r="G42" s="12">
        <f t="shared" si="3"/>
        <v>44.814973809969835</v>
      </c>
    </row>
    <row r="43" spans="1:7">
      <c r="A43" s="34">
        <v>19</v>
      </c>
      <c r="B43" s="74">
        <v>4026.23</v>
      </c>
      <c r="C43" s="35">
        <f t="shared" si="0"/>
        <v>4.02623</v>
      </c>
      <c r="D43" s="12">
        <f t="shared" si="2"/>
        <v>0.28062823100000001</v>
      </c>
      <c r="E43" s="12">
        <f t="shared" si="1"/>
        <v>1.2528046026785715E-2</v>
      </c>
      <c r="F43" s="12">
        <f>E43/Calculation!K$17*1000</f>
        <v>1.2531767631037369E-2</v>
      </c>
      <c r="G43" s="12">
        <f t="shared" si="3"/>
        <v>45.224731265200198</v>
      </c>
    </row>
    <row r="44" spans="1:7">
      <c r="A44" s="34">
        <v>19.5</v>
      </c>
      <c r="B44" s="74">
        <v>3391.13</v>
      </c>
      <c r="C44" s="35">
        <f t="shared" si="0"/>
        <v>3.39113</v>
      </c>
      <c r="D44" s="12">
        <f t="shared" si="2"/>
        <v>0.236361761</v>
      </c>
      <c r="E44" s="12">
        <f t="shared" si="1"/>
        <v>1.0551864330357144E-2</v>
      </c>
      <c r="F44" s="12">
        <f>E44/Calculation!K$17*1000</f>
        <v>1.0554998886461964E-2</v>
      </c>
      <c r="G44" s="12">
        <f t="shared" si="3"/>
        <v>45.571032762962687</v>
      </c>
    </row>
    <row r="45" spans="1:7">
      <c r="A45" s="34">
        <v>20</v>
      </c>
      <c r="B45" s="74">
        <v>2899.18</v>
      </c>
      <c r="C45" s="35">
        <f t="shared" si="0"/>
        <v>2.8991799999999999</v>
      </c>
      <c r="D45" s="12">
        <f t="shared" si="2"/>
        <v>0.202072846</v>
      </c>
      <c r="E45" s="12">
        <f t="shared" si="1"/>
        <v>9.0211091964285724E-3</v>
      </c>
      <c r="F45" s="12">
        <f>E45/Calculation!K$17*1000</f>
        <v>9.0237890236153726E-3</v>
      </c>
      <c r="G45" s="12">
        <f t="shared" si="3"/>
        <v>45.864714581613846</v>
      </c>
    </row>
    <row r="46" spans="1:7">
      <c r="A46" s="34">
        <v>20.5</v>
      </c>
      <c r="B46" s="74">
        <v>2447.13</v>
      </c>
      <c r="C46" s="35">
        <f t="shared" si="0"/>
        <v>2.44713</v>
      </c>
      <c r="D46" s="12">
        <f t="shared" si="2"/>
        <v>0.17056496100000001</v>
      </c>
      <c r="E46" s="12">
        <f t="shared" si="1"/>
        <v>7.6145071875000012E-3</v>
      </c>
      <c r="F46" s="12">
        <f>E46/Calculation!K$17*1000</f>
        <v>7.6167691669230229E-3</v>
      </c>
      <c r="G46" s="12">
        <f t="shared" si="3"/>
        <v>46.114322954471923</v>
      </c>
    </row>
    <row r="47" spans="1:7">
      <c r="A47" s="34">
        <v>21</v>
      </c>
      <c r="B47" s="74">
        <v>2113.7800000000002</v>
      </c>
      <c r="C47" s="35">
        <f t="shared" si="0"/>
        <v>2.1137800000000002</v>
      </c>
      <c r="D47" s="12">
        <f t="shared" si="2"/>
        <v>0.14733046599999999</v>
      </c>
      <c r="E47" s="12">
        <f t="shared" si="1"/>
        <v>6.5772529464285714E-3</v>
      </c>
      <c r="F47" s="12">
        <f>E47/Calculation!K$17*1000</f>
        <v>6.5792067972108318E-3</v>
      </c>
      <c r="G47" s="12">
        <f t="shared" si="3"/>
        <v>46.327262593933931</v>
      </c>
    </row>
    <row r="48" spans="1:7">
      <c r="A48" s="34">
        <v>21.5</v>
      </c>
      <c r="B48" s="74">
        <v>1828.32</v>
      </c>
      <c r="C48" s="35">
        <f t="shared" si="0"/>
        <v>1.8283199999999999</v>
      </c>
      <c r="D48" s="12">
        <f t="shared" si="2"/>
        <v>0.12743390400000001</v>
      </c>
      <c r="E48" s="12">
        <f t="shared" si="1"/>
        <v>5.6890135714285726E-3</v>
      </c>
      <c r="F48" s="12">
        <f>E48/Calculation!K$17*1000</f>
        <v>5.6907035601985595E-3</v>
      </c>
      <c r="G48" s="12">
        <f t="shared" si="3"/>
        <v>46.511311249295069</v>
      </c>
    </row>
    <row r="49" spans="1:7">
      <c r="A49" s="34">
        <v>22</v>
      </c>
      <c r="B49" s="74">
        <v>1584.76</v>
      </c>
      <c r="C49" s="35">
        <f t="shared" si="0"/>
        <v>1.5847599999999999</v>
      </c>
      <c r="D49" s="12">
        <f t="shared" si="2"/>
        <v>0.110457772</v>
      </c>
      <c r="E49" s="12">
        <f t="shared" si="1"/>
        <v>4.9311505357142859E-3</v>
      </c>
      <c r="F49" s="12">
        <f>E49/Calculation!K$17*1000</f>
        <v>4.9326153923056511E-3</v>
      </c>
      <c r="G49" s="12">
        <f t="shared" si="3"/>
        <v>46.670661033582633</v>
      </c>
    </row>
    <row r="50" spans="1:7">
      <c r="A50" s="34">
        <v>22.5</v>
      </c>
      <c r="B50" s="74">
        <v>1401.04</v>
      </c>
      <c r="C50" s="35">
        <f t="shared" si="0"/>
        <v>1.4010400000000001</v>
      </c>
      <c r="D50" s="12">
        <f t="shared" si="2"/>
        <v>9.765248800000001E-2</v>
      </c>
      <c r="E50" s="12">
        <f t="shared" si="1"/>
        <v>4.3594860714285723E-3</v>
      </c>
      <c r="F50" s="12">
        <f>E50/Calculation!K$17*1000</f>
        <v>4.3607811083292798E-3</v>
      </c>
      <c r="G50" s="12">
        <f t="shared" si="3"/>
        <v>46.810061981092154</v>
      </c>
    </row>
    <row r="51" spans="1:7">
      <c r="A51" s="34">
        <v>23</v>
      </c>
      <c r="B51" s="74">
        <v>1226.97</v>
      </c>
      <c r="C51" s="35">
        <f t="shared" si="0"/>
        <v>1.2269700000000001</v>
      </c>
      <c r="D51" s="12">
        <f t="shared" si="2"/>
        <v>8.5519809000000016E-2</v>
      </c>
      <c r="E51" s="12">
        <f t="shared" si="1"/>
        <v>3.8178486160714295E-3</v>
      </c>
      <c r="F51" s="12">
        <f>E51/Calculation!K$17*1000</f>
        <v>3.8189827531596365E-3</v>
      </c>
      <c r="G51" s="12">
        <f t="shared" si="3"/>
        <v>46.932758439014485</v>
      </c>
    </row>
    <row r="52" spans="1:7">
      <c r="A52" s="34">
        <v>23.5</v>
      </c>
      <c r="B52" s="74">
        <v>1058.3900000000001</v>
      </c>
      <c r="C52" s="35">
        <f t="shared" si="0"/>
        <v>1.0583900000000002</v>
      </c>
      <c r="D52" s="12">
        <f t="shared" si="2"/>
        <v>7.3769783000000019E-2</v>
      </c>
      <c r="E52" s="12">
        <f t="shared" si="1"/>
        <v>3.2932938839285724E-3</v>
      </c>
      <c r="F52" s="12">
        <f>E52/Calculation!K$17*1000</f>
        <v>3.2942721958292608E-3</v>
      </c>
      <c r="G52" s="12">
        <f t="shared" si="3"/>
        <v>47.039457263249318</v>
      </c>
    </row>
    <row r="53" spans="1:7">
      <c r="A53" s="34">
        <v>24</v>
      </c>
      <c r="B53" s="74">
        <v>961.96</v>
      </c>
      <c r="C53" s="35">
        <f t="shared" si="0"/>
        <v>0.96196000000000004</v>
      </c>
      <c r="D53" s="12">
        <f t="shared" si="2"/>
        <v>6.7048612000000007E-2</v>
      </c>
      <c r="E53" s="12">
        <f t="shared" si="1"/>
        <v>2.9932416071428575E-3</v>
      </c>
      <c r="F53" s="12">
        <f>E53/Calculation!K$18*1000</f>
        <v>3.1423550812511979E-3</v>
      </c>
      <c r="G53" s="12">
        <f t="shared" si="3"/>
        <v>47.136006672405522</v>
      </c>
    </row>
    <row r="54" spans="1:7">
      <c r="A54" s="34">
        <v>24.5</v>
      </c>
      <c r="B54" s="74">
        <v>852.23</v>
      </c>
      <c r="C54" s="35">
        <f t="shared" si="0"/>
        <v>0.85223000000000004</v>
      </c>
      <c r="D54" s="12">
        <f t="shared" si="2"/>
        <v>5.9400431000000004E-2</v>
      </c>
      <c r="E54" s="12">
        <f t="shared" si="1"/>
        <v>2.651804955357143E-3</v>
      </c>
      <c r="F54" s="12">
        <f>E54/Calculation!K$18*1000</f>
        <v>2.7839091759477609E-3</v>
      </c>
      <c r="G54" s="12">
        <f t="shared" si="3"/>
        <v>47.224900636263506</v>
      </c>
    </row>
    <row r="55" spans="1:7">
      <c r="A55" s="34">
        <v>25</v>
      </c>
      <c r="B55" s="74">
        <v>758.3</v>
      </c>
      <c r="C55" s="35">
        <f t="shared" si="0"/>
        <v>0.75829999999999997</v>
      </c>
      <c r="D55" s="12">
        <f t="shared" si="2"/>
        <v>5.2853509999999999E-2</v>
      </c>
      <c r="E55" s="12">
        <f t="shared" si="1"/>
        <v>2.3595316964285717E-3</v>
      </c>
      <c r="F55" s="12">
        <f>E55/Calculation!K$18*1000</f>
        <v>2.4770758223967558E-3</v>
      </c>
      <c r="G55" s="12">
        <f t="shared" si="3"/>
        <v>47.303815411238674</v>
      </c>
    </row>
    <row r="56" spans="1:7">
      <c r="A56" s="34">
        <v>25.5</v>
      </c>
      <c r="B56" s="74">
        <v>683.48</v>
      </c>
      <c r="C56" s="35">
        <f t="shared" si="0"/>
        <v>0.68347999999999998</v>
      </c>
      <c r="D56" s="12">
        <f t="shared" si="2"/>
        <v>4.7638555999999999E-2</v>
      </c>
      <c r="E56" s="12">
        <f t="shared" si="1"/>
        <v>2.1267212500000001E-3</v>
      </c>
      <c r="F56" s="12">
        <f>E56/Calculation!K$18*1000</f>
        <v>2.2326675235285962E-3</v>
      </c>
      <c r="G56" s="12">
        <f t="shared" si="3"/>
        <v>47.374461561427552</v>
      </c>
    </row>
    <row r="57" spans="1:7">
      <c r="A57" s="34">
        <v>26</v>
      </c>
      <c r="B57" s="74">
        <v>604.84</v>
      </c>
      <c r="C57" s="35">
        <f t="shared" si="0"/>
        <v>0.60484000000000004</v>
      </c>
      <c r="D57" s="12">
        <f t="shared" si="2"/>
        <v>4.2157348000000004E-2</v>
      </c>
      <c r="E57" s="12">
        <f t="shared" si="1"/>
        <v>1.8820244642857146E-3</v>
      </c>
      <c r="F57" s="12">
        <f>E57/Calculation!K$18*1000</f>
        <v>1.9757807469582668E-3</v>
      </c>
      <c r="G57" s="12">
        <f t="shared" si="3"/>
        <v>47.437588285484857</v>
      </c>
    </row>
    <row r="58" spans="1:7">
      <c r="A58" s="34">
        <v>26.5</v>
      </c>
      <c r="B58" s="74">
        <v>555.46</v>
      </c>
      <c r="C58" s="35">
        <f t="shared" si="0"/>
        <v>0.55546000000000006</v>
      </c>
      <c r="D58" s="12">
        <f t="shared" si="2"/>
        <v>3.8715562000000002E-2</v>
      </c>
      <c r="E58" s="12">
        <f t="shared" si="1"/>
        <v>1.7283733035714287E-3</v>
      </c>
      <c r="F58" s="12">
        <f>E58/Calculation!K$18*1000</f>
        <v>1.8144751896459212E-3</v>
      </c>
      <c r="G58" s="12">
        <f t="shared" si="3"/>
        <v>47.494442124533919</v>
      </c>
    </row>
    <row r="59" spans="1:7">
      <c r="A59" s="34">
        <v>27</v>
      </c>
      <c r="B59" s="74">
        <v>537.01</v>
      </c>
      <c r="C59" s="35">
        <f t="shared" si="0"/>
        <v>0.53700999999999999</v>
      </c>
      <c r="D59" s="12">
        <f t="shared" si="2"/>
        <v>3.7429597000000002E-2</v>
      </c>
      <c r="E59" s="12">
        <f t="shared" si="1"/>
        <v>1.6709641517857145E-3</v>
      </c>
      <c r="F59" s="12">
        <f>E59/Calculation!K$18*1000</f>
        <v>1.7542061023147592E-3</v>
      </c>
      <c r="G59" s="12">
        <f t="shared" si="3"/>
        <v>47.547972343913329</v>
      </c>
    </row>
    <row r="60" spans="1:7">
      <c r="A60" s="34">
        <v>27.5</v>
      </c>
      <c r="B60" s="74">
        <v>500.76</v>
      </c>
      <c r="C60" s="35">
        <f t="shared" si="0"/>
        <v>0.50075999999999998</v>
      </c>
      <c r="D60" s="12">
        <f t="shared" si="2"/>
        <v>3.4902971999999997E-2</v>
      </c>
      <c r="E60" s="12">
        <f t="shared" si="1"/>
        <v>1.5581683928571428E-3</v>
      </c>
      <c r="F60" s="12">
        <f>E60/Calculation!K$18*1000</f>
        <v>1.6357912288321238E-3</v>
      </c>
      <c r="G60" s="12">
        <f t="shared" si="3"/>
        <v>47.598822303880532</v>
      </c>
    </row>
    <row r="61" spans="1:7">
      <c r="A61" s="34">
        <v>28</v>
      </c>
      <c r="B61" s="74">
        <v>480.65</v>
      </c>
      <c r="C61" s="35">
        <f t="shared" si="0"/>
        <v>0.48064999999999997</v>
      </c>
      <c r="D61" s="12">
        <f t="shared" si="2"/>
        <v>3.3501304999999995E-2</v>
      </c>
      <c r="E61" s="12">
        <f t="shared" si="1"/>
        <v>1.4955939732142856E-3</v>
      </c>
      <c r="F61" s="12">
        <f>E61/Calculation!K$18*1000</f>
        <v>1.5700995569497566E-3</v>
      </c>
      <c r="G61" s="12">
        <f t="shared" si="3"/>
        <v>47.646910665667257</v>
      </c>
    </row>
    <row r="62" spans="1:7">
      <c r="A62" s="34">
        <v>28.5</v>
      </c>
      <c r="B62" s="74">
        <v>466.52</v>
      </c>
      <c r="C62" s="35">
        <f t="shared" si="0"/>
        <v>0.46651999999999999</v>
      </c>
      <c r="D62" s="12">
        <f t="shared" si="2"/>
        <v>3.2516443999999999E-2</v>
      </c>
      <c r="E62" s="12">
        <f t="shared" si="1"/>
        <v>1.4516269642857143E-3</v>
      </c>
      <c r="F62" s="12">
        <f>E62/Calculation!K$18*1000</f>
        <v>1.5239422559205256E-3</v>
      </c>
      <c r="G62" s="12">
        <f t="shared" si="3"/>
        <v>47.693321292860311</v>
      </c>
    </row>
    <row r="63" spans="1:7">
      <c r="A63" s="34">
        <v>29</v>
      </c>
      <c r="B63" s="74">
        <v>463.36</v>
      </c>
      <c r="C63" s="35">
        <f t="shared" si="0"/>
        <v>0.46335999999999999</v>
      </c>
      <c r="D63" s="12">
        <f t="shared" si="2"/>
        <v>3.2296192000000001E-2</v>
      </c>
      <c r="E63" s="12">
        <f t="shared" si="1"/>
        <v>1.4417942857142859E-3</v>
      </c>
      <c r="F63" s="12">
        <f>E63/Calculation!K$18*1000</f>
        <v>1.5136197455700394E-3</v>
      </c>
      <c r="G63" s="12">
        <f t="shared" si="3"/>
        <v>47.738884722882666</v>
      </c>
    </row>
    <row r="64" spans="1:7">
      <c r="A64" s="34">
        <v>29.5</v>
      </c>
      <c r="B64" s="74">
        <v>485.3</v>
      </c>
      <c r="C64" s="35">
        <f t="shared" si="0"/>
        <v>0.48530000000000001</v>
      </c>
      <c r="D64" s="12">
        <f t="shared" si="2"/>
        <v>3.382541E-2</v>
      </c>
      <c r="E64" s="12">
        <f t="shared" si="1"/>
        <v>1.5100629464285715E-3</v>
      </c>
      <c r="F64" s="12">
        <f>E64/Calculation!K$18*1000</f>
        <v>1.5852893269275297E-3</v>
      </c>
      <c r="G64" s="12">
        <f t="shared" si="3"/>
        <v>47.785368358970132</v>
      </c>
    </row>
    <row r="65" spans="1:7">
      <c r="A65" s="34">
        <v>30</v>
      </c>
      <c r="B65" s="74">
        <v>477.32</v>
      </c>
      <c r="C65" s="35">
        <f t="shared" si="0"/>
        <v>0.47731999999999997</v>
      </c>
      <c r="D65" s="12">
        <f t="shared" si="2"/>
        <v>3.3269204000000004E-2</v>
      </c>
      <c r="E65" s="12">
        <f t="shared" si="1"/>
        <v>1.4852323214285717E-3</v>
      </c>
      <c r="F65" s="12">
        <f>E65/Calculation!K$19*1000</f>
        <v>1.6455736038579998E-3</v>
      </c>
      <c r="G65" s="12">
        <f t="shared" si="3"/>
        <v>47.833831302931912</v>
      </c>
    </row>
    <row r="66" spans="1:7">
      <c r="A66" s="34">
        <v>30.5</v>
      </c>
      <c r="B66" s="74">
        <v>500.6</v>
      </c>
      <c r="C66" s="35">
        <f t="shared" si="0"/>
        <v>0.50060000000000004</v>
      </c>
      <c r="D66" s="12">
        <f t="shared" si="2"/>
        <v>3.4891820000000004E-2</v>
      </c>
      <c r="E66" s="12">
        <f t="shared" si="1"/>
        <v>1.557670535714286E-3</v>
      </c>
      <c r="F66" s="12">
        <f>E66/Calculation!K$19*1000</f>
        <v>1.7258320332089892E-3</v>
      </c>
      <c r="G66" s="12">
        <f t="shared" si="3"/>
        <v>47.884402387487917</v>
      </c>
    </row>
    <row r="67" spans="1:7">
      <c r="A67" s="34">
        <v>31</v>
      </c>
      <c r="B67" s="74">
        <v>503.09</v>
      </c>
      <c r="C67" s="35">
        <f t="shared" si="0"/>
        <v>0.50308999999999993</v>
      </c>
      <c r="D67" s="12">
        <f t="shared" si="2"/>
        <v>3.506537299999999E-2</v>
      </c>
      <c r="E67" s="12">
        <f t="shared" si="1"/>
        <v>1.5654184374999996E-3</v>
      </c>
      <c r="F67" s="12">
        <f>E67/Calculation!K$19*1000</f>
        <v>1.7344163755235917E-3</v>
      </c>
      <c r="G67" s="12">
        <f t="shared" si="3"/>
        <v>47.936306113618905</v>
      </c>
    </row>
    <row r="68" spans="1:7">
      <c r="A68" s="34">
        <v>31.5</v>
      </c>
      <c r="B68" s="74">
        <v>497.94</v>
      </c>
      <c r="C68" s="35">
        <f t="shared" si="0"/>
        <v>0.49793999999999999</v>
      </c>
      <c r="D68" s="12">
        <f t="shared" si="2"/>
        <v>3.4706418000000003E-2</v>
      </c>
      <c r="E68" s="12">
        <f t="shared" si="1"/>
        <v>1.5493936607142858E-3</v>
      </c>
      <c r="F68" s="12">
        <f>E68/Calculation!K$19*1000</f>
        <v>1.7166616112986098E-3</v>
      </c>
      <c r="G68" s="12">
        <f t="shared" si="3"/>
        <v>47.988072283421239</v>
      </c>
    </row>
    <row r="69" spans="1:7">
      <c r="A69" s="34">
        <v>32</v>
      </c>
      <c r="B69" s="74">
        <v>533.02</v>
      </c>
      <c r="C69" s="35">
        <f t="shared" si="0"/>
        <v>0.53301999999999994</v>
      </c>
      <c r="D69" s="12">
        <f t="shared" si="2"/>
        <v>3.7151494E-2</v>
      </c>
      <c r="E69" s="12">
        <f t="shared" si="1"/>
        <v>1.6585488392857144E-3</v>
      </c>
      <c r="F69" s="12">
        <f>E69/Calculation!K$19*1000</f>
        <v>1.83760085965053E-3</v>
      </c>
      <c r="G69" s="12">
        <f t="shared" si="3"/>
        <v>48.041386220485478</v>
      </c>
    </row>
    <row r="70" spans="1:7">
      <c r="A70" s="34">
        <v>32.5</v>
      </c>
      <c r="B70" s="74">
        <v>554.29999999999995</v>
      </c>
      <c r="C70" s="35">
        <f t="shared" ref="C70:C101" si="4">B70/1000</f>
        <v>0.5542999999999999</v>
      </c>
      <c r="D70" s="12">
        <f t="shared" ref="D70:D101" si="5">C70/1000*$B$1</f>
        <v>3.8634709999999996E-2</v>
      </c>
      <c r="E70" s="12">
        <f t="shared" ref="E70:E101" si="6">D70/22.4</f>
        <v>1.7247638392857143E-3</v>
      </c>
      <c r="F70" s="12">
        <f>E70/Calculation!K$19*1000</f>
        <v>1.910964234933565E-3</v>
      </c>
      <c r="G70" s="12">
        <f t="shared" si="3"/>
        <v>48.097614696904238</v>
      </c>
    </row>
    <row r="71" spans="1:7">
      <c r="A71" s="34">
        <v>33</v>
      </c>
      <c r="B71" s="74">
        <v>595.53</v>
      </c>
      <c r="C71" s="35">
        <f t="shared" si="4"/>
        <v>0.59553</v>
      </c>
      <c r="D71" s="12">
        <f t="shared" si="5"/>
        <v>4.1508441000000007E-2</v>
      </c>
      <c r="E71" s="12">
        <f t="shared" si="6"/>
        <v>1.8530554017857147E-3</v>
      </c>
      <c r="F71" s="12">
        <f>E71/Calculation!K$19*1000</f>
        <v>2.0531057745444455E-3</v>
      </c>
      <c r="G71" s="12">
        <f t="shared" ref="G71:G101" si="7">G70+(F71+F70)/2*30</f>
        <v>48.157075747046406</v>
      </c>
    </row>
    <row r="72" spans="1:7">
      <c r="A72" s="34">
        <v>33.5</v>
      </c>
      <c r="B72" s="74">
        <v>635.92999999999995</v>
      </c>
      <c r="C72" s="35">
        <f t="shared" si="4"/>
        <v>0.63593</v>
      </c>
      <c r="D72" s="12">
        <f t="shared" si="5"/>
        <v>4.4324321000000007E-2</v>
      </c>
      <c r="E72" s="12">
        <f t="shared" si="6"/>
        <v>1.9787643303571432E-3</v>
      </c>
      <c r="F72" s="12">
        <f>E72/Calculation!K$19*1000</f>
        <v>2.1923858667171245E-3</v>
      </c>
      <c r="G72" s="12">
        <f t="shared" si="7"/>
        <v>48.220758121665327</v>
      </c>
    </row>
    <row r="73" spans="1:7">
      <c r="A73" s="34">
        <v>34</v>
      </c>
      <c r="B73" s="74">
        <v>659.21</v>
      </c>
      <c r="C73" s="35">
        <f t="shared" si="4"/>
        <v>0.65921000000000007</v>
      </c>
      <c r="D73" s="12">
        <f t="shared" si="5"/>
        <v>4.5946937000000007E-2</v>
      </c>
      <c r="E73" s="12">
        <f t="shared" si="6"/>
        <v>2.0512025446428575E-3</v>
      </c>
      <c r="F73" s="12">
        <f>E73/Calculation!K$19*1000</f>
        <v>2.2726442960681139E-3</v>
      </c>
      <c r="G73" s="12">
        <f t="shared" si="7"/>
        <v>48.287733574107108</v>
      </c>
    </row>
    <row r="74" spans="1:7">
      <c r="A74" s="34">
        <v>34.5</v>
      </c>
      <c r="B74" s="74">
        <v>681.65</v>
      </c>
      <c r="C74" s="35">
        <f t="shared" si="4"/>
        <v>0.68164999999999998</v>
      </c>
      <c r="D74" s="12">
        <f t="shared" si="5"/>
        <v>4.7511005000000002E-2</v>
      </c>
      <c r="E74" s="12">
        <f t="shared" si="6"/>
        <v>2.1210270089285716E-3</v>
      </c>
      <c r="F74" s="12">
        <f>E74/Calculation!K$19*1000</f>
        <v>2.3500068027105621E-3</v>
      </c>
      <c r="G74" s="12">
        <f t="shared" si="7"/>
        <v>48.357073340588791</v>
      </c>
    </row>
    <row r="75" spans="1:7">
      <c r="A75" s="34">
        <v>35</v>
      </c>
      <c r="B75" s="74">
        <v>693.62</v>
      </c>
      <c r="C75" s="35">
        <f t="shared" si="4"/>
        <v>0.69362000000000001</v>
      </c>
      <c r="D75" s="12">
        <f t="shared" si="5"/>
        <v>4.8345314000000007E-2</v>
      </c>
      <c r="E75" s="12">
        <f t="shared" si="6"/>
        <v>2.1582729464285719E-3</v>
      </c>
      <c r="F75" s="12">
        <f>E75/Calculation!K$19*1000</f>
        <v>2.3912737013072698E-3</v>
      </c>
      <c r="G75" s="12">
        <f t="shared" si="7"/>
        <v>48.428192548149056</v>
      </c>
    </row>
    <row r="76" spans="1:7">
      <c r="A76" s="34">
        <v>35.5</v>
      </c>
      <c r="B76" s="74">
        <v>725.38</v>
      </c>
      <c r="C76" s="35">
        <f t="shared" si="4"/>
        <v>0.72538000000000002</v>
      </c>
      <c r="D76" s="12">
        <f t="shared" si="5"/>
        <v>5.0558986000000007E-2</v>
      </c>
      <c r="E76" s="12">
        <f t="shared" si="6"/>
        <v>2.2570975892857149E-3</v>
      </c>
      <c r="F76" s="12">
        <f>E76/Calculation!K$19*1000</f>
        <v>2.5007671599063855E-3</v>
      </c>
      <c r="G76" s="12">
        <f t="shared" si="7"/>
        <v>48.501573161067263</v>
      </c>
    </row>
    <row r="77" spans="1:7">
      <c r="A77" s="34">
        <v>36</v>
      </c>
      <c r="B77" s="74">
        <v>739.34</v>
      </c>
      <c r="C77" s="35">
        <f t="shared" si="4"/>
        <v>0.73934</v>
      </c>
      <c r="D77" s="12">
        <f t="shared" si="5"/>
        <v>5.1531998000000002E-2</v>
      </c>
      <c r="E77" s="12">
        <f t="shared" si="6"/>
        <v>2.3005356250000004E-3</v>
      </c>
      <c r="F77" s="12">
        <f>E77/Calculation!K$19*1000</f>
        <v>2.5488946373007073E-3</v>
      </c>
      <c r="G77" s="12">
        <f t="shared" si="7"/>
        <v>48.577318088025372</v>
      </c>
    </row>
    <row r="78" spans="1:7">
      <c r="A78" s="34">
        <v>36.5</v>
      </c>
      <c r="B78" s="74">
        <v>742.67</v>
      </c>
      <c r="C78" s="35">
        <f t="shared" si="4"/>
        <v>0.74266999999999994</v>
      </c>
      <c r="D78" s="12">
        <f t="shared" si="5"/>
        <v>5.1764099000000001E-2</v>
      </c>
      <c r="E78" s="12">
        <f t="shared" si="6"/>
        <v>2.3108972767857143E-3</v>
      </c>
      <c r="F78" s="12">
        <f>E78/Calculation!K$19*1000</f>
        <v>2.5603749023238509E-3</v>
      </c>
      <c r="G78" s="12">
        <f t="shared" si="7"/>
        <v>48.653957131119739</v>
      </c>
    </row>
    <row r="79" spans="1:7">
      <c r="A79" s="34">
        <v>37</v>
      </c>
      <c r="B79" s="74">
        <v>753.47</v>
      </c>
      <c r="C79" s="35">
        <f t="shared" si="4"/>
        <v>0.75346999999999997</v>
      </c>
      <c r="D79" s="12">
        <f t="shared" si="5"/>
        <v>5.2516859000000006E-2</v>
      </c>
      <c r="E79" s="12">
        <f t="shared" si="6"/>
        <v>2.344502633928572E-3</v>
      </c>
      <c r="F79" s="12">
        <f>E79/Calculation!K$19*1000</f>
        <v>2.5976081942908056E-3</v>
      </c>
      <c r="G79" s="12">
        <f t="shared" si="7"/>
        <v>48.731326877568961</v>
      </c>
    </row>
    <row r="80" spans="1:7">
      <c r="A80" s="34">
        <v>37.5</v>
      </c>
      <c r="B80" s="74">
        <v>780.41</v>
      </c>
      <c r="C80" s="35">
        <f t="shared" si="4"/>
        <v>0.78040999999999994</v>
      </c>
      <c r="D80" s="12">
        <f t="shared" si="5"/>
        <v>5.4394577E-2</v>
      </c>
      <c r="E80" s="12">
        <f t="shared" si="6"/>
        <v>2.428329330357143E-3</v>
      </c>
      <c r="F80" s="12">
        <f>E80/Calculation!K$19*1000</f>
        <v>2.6904845725861507E-3</v>
      </c>
      <c r="G80" s="12">
        <f t="shared" si="7"/>
        <v>48.810648269072118</v>
      </c>
    </row>
    <row r="81" spans="1:7">
      <c r="A81" s="34">
        <v>38</v>
      </c>
      <c r="B81" s="74">
        <v>754.14</v>
      </c>
      <c r="C81" s="35">
        <f t="shared" si="4"/>
        <v>0.75414000000000003</v>
      </c>
      <c r="D81" s="12">
        <f t="shared" si="5"/>
        <v>5.2563558000000003E-2</v>
      </c>
      <c r="E81" s="12">
        <f t="shared" si="6"/>
        <v>2.3465874107142862E-3</v>
      </c>
      <c r="F81" s="12">
        <f>E81/Calculation!K$19*1000</f>
        <v>2.5999180374035699E-3</v>
      </c>
      <c r="G81" s="12">
        <f t="shared" si="7"/>
        <v>48.890004308221961</v>
      </c>
    </row>
    <row r="82" spans="1:7">
      <c r="A82" s="34">
        <v>38.5</v>
      </c>
      <c r="B82" s="74">
        <v>755.47</v>
      </c>
      <c r="C82" s="35">
        <f t="shared" si="4"/>
        <v>0.75546999999999997</v>
      </c>
      <c r="D82" s="12">
        <f t="shared" si="5"/>
        <v>5.2656258999999997E-2</v>
      </c>
      <c r="E82" s="12">
        <f t="shared" si="6"/>
        <v>2.3507258482142858E-3</v>
      </c>
      <c r="F82" s="12">
        <f>E82/Calculation!K$19*1000</f>
        <v>2.6045032483587591E-3</v>
      </c>
      <c r="G82" s="12">
        <f t="shared" si="7"/>
        <v>48.968070627508396</v>
      </c>
    </row>
    <row r="83" spans="1:7">
      <c r="A83" s="34">
        <v>39</v>
      </c>
      <c r="B83" s="74">
        <v>750.65</v>
      </c>
      <c r="C83" s="35">
        <f t="shared" si="4"/>
        <v>0.75064999999999993</v>
      </c>
      <c r="D83" s="12">
        <f t="shared" si="5"/>
        <v>5.2320304999999998E-2</v>
      </c>
      <c r="E83" s="12">
        <f t="shared" si="6"/>
        <v>2.3357279017857144E-3</v>
      </c>
      <c r="F83" s="12">
        <f>E83/Calculation!K$19*1000</f>
        <v>2.5878861680549889E-3</v>
      </c>
      <c r="G83" s="12">
        <f t="shared" si="7"/>
        <v>49.045956468754603</v>
      </c>
    </row>
    <row r="84" spans="1:7">
      <c r="A84" s="34">
        <v>39.5</v>
      </c>
      <c r="B84" s="74">
        <v>768.77</v>
      </c>
      <c r="C84" s="35">
        <f t="shared" si="4"/>
        <v>0.76876999999999995</v>
      </c>
      <c r="D84" s="12">
        <f t="shared" si="5"/>
        <v>5.3583269000000003E-2</v>
      </c>
      <c r="E84" s="12">
        <f t="shared" si="6"/>
        <v>2.3921102232142858E-3</v>
      </c>
      <c r="F84" s="12">
        <f>E84/Calculation!K$19*1000</f>
        <v>2.6503553579106565E-3</v>
      </c>
      <c r="G84" s="12">
        <f t="shared" si="7"/>
        <v>49.12453009164409</v>
      </c>
    </row>
    <row r="85" spans="1:7">
      <c r="A85" s="34">
        <v>40</v>
      </c>
      <c r="B85" s="74">
        <v>748.15</v>
      </c>
      <c r="C85" s="35">
        <f t="shared" si="4"/>
        <v>0.74814999999999998</v>
      </c>
      <c r="D85" s="12">
        <f t="shared" si="5"/>
        <v>5.2146054999999997E-2</v>
      </c>
      <c r="E85" s="12">
        <f t="shared" si="6"/>
        <v>2.3279488839285712E-3</v>
      </c>
      <c r="F85" s="12">
        <f>E85/Calculation!K$19*1000</f>
        <v>2.5792673504700459E-3</v>
      </c>
      <c r="G85" s="12">
        <f t="shared" si="7"/>
        <v>49.202974432269798</v>
      </c>
    </row>
    <row r="86" spans="1:7">
      <c r="A86" s="34">
        <v>40.5</v>
      </c>
      <c r="B86" s="74">
        <v>725.88</v>
      </c>
      <c r="C86" s="35">
        <f t="shared" si="4"/>
        <v>0.72587999999999997</v>
      </c>
      <c r="D86" s="12">
        <f t="shared" si="5"/>
        <v>5.0593835999999996E-2</v>
      </c>
      <c r="E86" s="12">
        <f t="shared" si="6"/>
        <v>2.2586533928571429E-3</v>
      </c>
      <c r="F86" s="12">
        <f>E86/Calculation!K$19*1000</f>
        <v>2.5024909234233738E-3</v>
      </c>
      <c r="G86" s="12">
        <f t="shared" si="7"/>
        <v>49.279200806378199</v>
      </c>
    </row>
    <row r="87" spans="1:7">
      <c r="A87" s="34">
        <v>41</v>
      </c>
      <c r="B87" s="74">
        <v>729.03</v>
      </c>
      <c r="C87" s="35">
        <f t="shared" si="4"/>
        <v>0.72902999999999996</v>
      </c>
      <c r="D87" s="12">
        <f t="shared" si="5"/>
        <v>5.0813390999999999E-2</v>
      </c>
      <c r="E87" s="12">
        <f t="shared" si="6"/>
        <v>2.2684549553571428E-3</v>
      </c>
      <c r="F87" s="12">
        <f>E87/Calculation!K$19*1000</f>
        <v>2.5133506335804023E-3</v>
      </c>
      <c r="G87" s="12">
        <f t="shared" si="7"/>
        <v>49.354438429733257</v>
      </c>
    </row>
    <row r="88" spans="1:7">
      <c r="A88" s="34">
        <v>41.5</v>
      </c>
      <c r="B88" s="74">
        <v>684.31</v>
      </c>
      <c r="C88" s="35">
        <f t="shared" si="4"/>
        <v>0.68430999999999997</v>
      </c>
      <c r="D88" s="12">
        <f t="shared" si="5"/>
        <v>4.7696406999999996E-2</v>
      </c>
      <c r="E88" s="12">
        <f t="shared" si="6"/>
        <v>2.1293038839285713E-3</v>
      </c>
      <c r="F88" s="12">
        <f>E88/Calculation!K$19*1000</f>
        <v>2.3591772246209413E-3</v>
      </c>
      <c r="G88" s="12">
        <f t="shared" si="7"/>
        <v>49.427526347606275</v>
      </c>
    </row>
    <row r="89" spans="1:7">
      <c r="A89" s="34">
        <v>42</v>
      </c>
      <c r="B89" s="74">
        <v>664.19</v>
      </c>
      <c r="C89" s="35">
        <f t="shared" si="4"/>
        <v>0.66419000000000006</v>
      </c>
      <c r="D89" s="12">
        <f t="shared" si="5"/>
        <v>4.6294043000000007E-2</v>
      </c>
      <c r="E89" s="12">
        <f t="shared" si="6"/>
        <v>2.066698348214286E-3</v>
      </c>
      <c r="F89" s="12">
        <f>E89/Calculation!K$19*1000</f>
        <v>2.2898129806973207E-3</v>
      </c>
      <c r="G89" s="12">
        <f t="shared" si="7"/>
        <v>49.497261200686047</v>
      </c>
    </row>
    <row r="90" spans="1:7">
      <c r="A90" s="34">
        <v>42.5</v>
      </c>
      <c r="B90" s="74">
        <v>656.05</v>
      </c>
      <c r="C90" s="35">
        <f t="shared" si="4"/>
        <v>0.65604999999999991</v>
      </c>
      <c r="D90" s="12">
        <f t="shared" si="5"/>
        <v>4.5726684999999996E-2</v>
      </c>
      <c r="E90" s="12">
        <f t="shared" si="6"/>
        <v>2.0413698660714285E-3</v>
      </c>
      <c r="F90" s="12">
        <f>E90/Calculation!K$19*1000</f>
        <v>2.2617501106407456E-3</v>
      </c>
      <c r="G90" s="12">
        <f t="shared" si="7"/>
        <v>49.565534647056118</v>
      </c>
    </row>
    <row r="91" spans="1:7">
      <c r="A91" s="34">
        <v>43</v>
      </c>
      <c r="B91" s="74">
        <v>643.25</v>
      </c>
      <c r="C91" s="35">
        <f t="shared" si="4"/>
        <v>0.64324999999999999</v>
      </c>
      <c r="D91" s="12">
        <f t="shared" si="5"/>
        <v>4.4834525E-2</v>
      </c>
      <c r="E91" s="12">
        <f t="shared" si="6"/>
        <v>2.0015412946428573E-3</v>
      </c>
      <c r="F91" s="12">
        <f>E91/Calculation!K$19*1000</f>
        <v>2.2176217646058378E-3</v>
      </c>
      <c r="G91" s="12">
        <f t="shared" si="7"/>
        <v>49.632725225184814</v>
      </c>
    </row>
    <row r="92" spans="1:7">
      <c r="A92" s="34">
        <v>43.5</v>
      </c>
      <c r="B92" s="74">
        <v>628.45000000000005</v>
      </c>
      <c r="C92" s="35">
        <f t="shared" si="4"/>
        <v>0.62845000000000006</v>
      </c>
      <c r="D92" s="12">
        <f t="shared" si="5"/>
        <v>4.3802965000000006E-2</v>
      </c>
      <c r="E92" s="12">
        <f t="shared" si="6"/>
        <v>1.955489508928572E-3</v>
      </c>
      <c r="F92" s="12">
        <f>E92/Calculation!K$19*1000</f>
        <v>2.1665983645029752E-3</v>
      </c>
      <c r="G92" s="12">
        <f t="shared" si="7"/>
        <v>49.698488527121448</v>
      </c>
    </row>
    <row r="93" spans="1:7">
      <c r="A93" s="34">
        <v>44</v>
      </c>
      <c r="B93" s="74">
        <v>591.87</v>
      </c>
      <c r="C93" s="35">
        <f t="shared" si="4"/>
        <v>0.59187000000000001</v>
      </c>
      <c r="D93" s="12">
        <f t="shared" si="5"/>
        <v>4.1253339E-2</v>
      </c>
      <c r="E93" s="12">
        <f t="shared" si="6"/>
        <v>1.8416669196428574E-3</v>
      </c>
      <c r="F93" s="12">
        <f>E93/Calculation!K$19*1000</f>
        <v>2.0404878256000884E-3</v>
      </c>
      <c r="G93" s="12">
        <f t="shared" si="7"/>
        <v>49.761594819972991</v>
      </c>
    </row>
    <row r="94" spans="1:7">
      <c r="A94" s="34">
        <v>44.5</v>
      </c>
      <c r="B94" s="74">
        <v>579.74</v>
      </c>
      <c r="C94" s="35">
        <f t="shared" si="4"/>
        <v>0.57974000000000003</v>
      </c>
      <c r="D94" s="12">
        <f t="shared" si="5"/>
        <v>4.0407878000000001E-2</v>
      </c>
      <c r="E94" s="12">
        <f t="shared" si="6"/>
        <v>1.8039231250000002E-3</v>
      </c>
      <c r="F94" s="12">
        <f>E94/Calculation!K$19*1000</f>
        <v>1.9986693226779454E-3</v>
      </c>
      <c r="G94" s="12">
        <f t="shared" si="7"/>
        <v>49.822182177197163</v>
      </c>
    </row>
    <row r="95" spans="1:7">
      <c r="A95" s="34">
        <v>45</v>
      </c>
      <c r="B95" s="74">
        <v>544.82000000000005</v>
      </c>
      <c r="C95" s="35">
        <f t="shared" si="4"/>
        <v>0.54482000000000008</v>
      </c>
      <c r="D95" s="12">
        <f t="shared" si="5"/>
        <v>3.7973954000000011E-2</v>
      </c>
      <c r="E95" s="12">
        <f t="shared" si="6"/>
        <v>1.6952658035714291E-3</v>
      </c>
      <c r="F95" s="12">
        <f>E95/Calculation!K$19*1000</f>
        <v>1.8782816786514617E-3</v>
      </c>
      <c r="G95" s="12">
        <f t="shared" si="7"/>
        <v>49.880336442217107</v>
      </c>
    </row>
    <row r="96" spans="1:7">
      <c r="A96" s="34">
        <v>45.5</v>
      </c>
      <c r="B96" s="74">
        <v>525.37</v>
      </c>
      <c r="C96" s="35">
        <f t="shared" si="4"/>
        <v>0.52537</v>
      </c>
      <c r="D96" s="12">
        <f t="shared" si="5"/>
        <v>3.6618289000000005E-2</v>
      </c>
      <c r="E96" s="12">
        <f t="shared" si="6"/>
        <v>1.6347450446428575E-3</v>
      </c>
      <c r="F96" s="12">
        <f>E96/Calculation!K$19*1000</f>
        <v>1.8112272778406046E-3</v>
      </c>
      <c r="G96" s="12">
        <f t="shared" si="7"/>
        <v>49.93567907656449</v>
      </c>
    </row>
    <row r="97" spans="1:7">
      <c r="A97" s="34">
        <v>46</v>
      </c>
      <c r="B97" s="74">
        <v>523.54</v>
      </c>
      <c r="C97" s="35">
        <f t="shared" si="4"/>
        <v>0.52354000000000001</v>
      </c>
      <c r="D97" s="12">
        <f t="shared" si="5"/>
        <v>3.6490738000000002E-2</v>
      </c>
      <c r="E97" s="12">
        <f t="shared" si="6"/>
        <v>1.6290508035714287E-3</v>
      </c>
      <c r="F97" s="12">
        <f>E97/Calculation!K$19*1000</f>
        <v>1.8049183033684263E-3</v>
      </c>
      <c r="G97" s="12">
        <f t="shared" si="7"/>
        <v>49.989921260282628</v>
      </c>
    </row>
    <row r="98" spans="1:7">
      <c r="A98" s="34">
        <v>46.5</v>
      </c>
      <c r="B98" s="74">
        <v>515.23</v>
      </c>
      <c r="C98" s="35">
        <f t="shared" si="4"/>
        <v>0.51522999999999997</v>
      </c>
      <c r="D98" s="12">
        <f t="shared" si="5"/>
        <v>3.5911531000000003E-2</v>
      </c>
      <c r="E98" s="12">
        <f t="shared" si="6"/>
        <v>1.6031933482142859E-3</v>
      </c>
      <c r="F98" s="12">
        <f>E98/Calculation!K$19*1000</f>
        <v>1.7762693537160758E-3</v>
      </c>
      <c r="G98" s="12">
        <f t="shared" si="7"/>
        <v>50.043639075138898</v>
      </c>
    </row>
    <row r="99" spans="1:7">
      <c r="A99" s="34">
        <v>47</v>
      </c>
      <c r="B99" s="74">
        <v>510.07</v>
      </c>
      <c r="C99" s="35">
        <f t="shared" si="4"/>
        <v>0.51007000000000002</v>
      </c>
      <c r="D99" s="12">
        <f t="shared" si="5"/>
        <v>3.5551879000000008E-2</v>
      </c>
      <c r="E99" s="12">
        <f t="shared" si="6"/>
        <v>1.5871374553571432E-3</v>
      </c>
      <c r="F99" s="12">
        <f>E99/Calculation!K$19*1000</f>
        <v>1.7584801142207535E-3</v>
      </c>
      <c r="G99" s="12">
        <f t="shared" si="7"/>
        <v>50.096660317157948</v>
      </c>
    </row>
    <row r="100" spans="1:7">
      <c r="A100" s="34">
        <v>47.5</v>
      </c>
      <c r="B100" s="74">
        <v>515.55999999999995</v>
      </c>
      <c r="C100" s="35">
        <f t="shared" si="4"/>
        <v>0.51555999999999991</v>
      </c>
      <c r="D100" s="12">
        <f t="shared" si="5"/>
        <v>3.5934531999999991E-2</v>
      </c>
      <c r="E100" s="12">
        <f t="shared" si="6"/>
        <v>1.6042201785714282E-3</v>
      </c>
      <c r="F100" s="12">
        <f>E100/Calculation!K$19*1000</f>
        <v>1.7774070376372875E-3</v>
      </c>
      <c r="G100" s="12">
        <f t="shared" si="7"/>
        <v>50.149698624435821</v>
      </c>
    </row>
    <row r="101" spans="1:7">
      <c r="A101" s="34">
        <v>48</v>
      </c>
      <c r="B101" s="74">
        <v>472.83</v>
      </c>
      <c r="C101" s="35">
        <f t="shared" si="4"/>
        <v>0.47282999999999997</v>
      </c>
      <c r="D101" s="12">
        <f t="shared" si="5"/>
        <v>3.2956250999999999E-2</v>
      </c>
      <c r="E101" s="12">
        <f t="shared" si="6"/>
        <v>1.4712612053571429E-3</v>
      </c>
      <c r="F101" s="12">
        <f>E101/Calculation!K$20*1000</f>
        <v>1.7469206680335925E-3</v>
      </c>
      <c r="G101" s="12">
        <f t="shared" si="7"/>
        <v>50.202563540020883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27" t="s">
        <v>41</v>
      </c>
      <c r="B1" s="127"/>
      <c r="D1" s="153" t="s">
        <v>4</v>
      </c>
      <c r="E1" s="153" t="s">
        <v>5</v>
      </c>
      <c r="F1" s="127" t="s">
        <v>139</v>
      </c>
      <c r="G1" s="127"/>
      <c r="H1" s="127"/>
      <c r="I1" s="127"/>
      <c r="J1" s="127" t="s">
        <v>42</v>
      </c>
      <c r="K1" s="127"/>
      <c r="L1" s="127"/>
      <c r="M1" s="127"/>
      <c r="N1" s="154" t="s">
        <v>43</v>
      </c>
      <c r="O1" s="125"/>
      <c r="P1" s="125"/>
      <c r="Q1" s="155"/>
      <c r="R1" s="127" t="s">
        <v>65</v>
      </c>
      <c r="S1" s="127"/>
      <c r="T1" s="127"/>
      <c r="U1" s="127"/>
    </row>
    <row r="2" spans="1:21">
      <c r="A2" s="127" t="s">
        <v>34</v>
      </c>
      <c r="B2" s="127"/>
      <c r="D2" s="153"/>
      <c r="E2" s="153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27" t="s">
        <v>35</v>
      </c>
      <c r="B3" s="14" t="s">
        <v>38</v>
      </c>
      <c r="D3" s="16">
        <v>0</v>
      </c>
      <c r="E3" s="62">
        <v>-0.16666666666666666</v>
      </c>
      <c r="F3" s="51">
        <v>49.622557726465367</v>
      </c>
      <c r="G3" s="51">
        <v>0.57330156899091411</v>
      </c>
      <c r="H3" s="13">
        <f>F3*Calculation!I3/Calculation!F22</f>
        <v>49.622557726465367</v>
      </c>
      <c r="I3" s="13">
        <f>G3*Calculation!I3/Calculation!F22</f>
        <v>0.57330156899091411</v>
      </c>
      <c r="J3" s="13">
        <v>0.35523978685612789</v>
      </c>
      <c r="K3" s="13">
        <v>2.2202486678508014E-2</v>
      </c>
      <c r="L3" s="13">
        <f>J3*Calculation!I3/Calculation!F22</f>
        <v>0.35523978685612795</v>
      </c>
      <c r="M3" s="13">
        <f>K3*Calculation!I3/Calculation!F22</f>
        <v>2.2202486678508014E-2</v>
      </c>
      <c r="N3" s="13">
        <v>0.98806550097141266</v>
      </c>
      <c r="O3" s="13">
        <v>3.8457969637943408E-2</v>
      </c>
      <c r="P3" s="13">
        <f>N3*Calculation!I3/Calculation!F22</f>
        <v>0.98806550097141266</v>
      </c>
      <c r="Q3" s="13">
        <f>O3*Calculation!I3/Calculation!F22</f>
        <v>3.8457969637943408E-2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27"/>
      <c r="B4" s="14" t="s">
        <v>39</v>
      </c>
      <c r="D4" s="16">
        <v>0</v>
      </c>
      <c r="E4" s="64">
        <v>0.16666666666666666</v>
      </c>
      <c r="F4" s="51">
        <v>48.127590290112501</v>
      </c>
      <c r="G4" s="51">
        <v>0.27782695892089848</v>
      </c>
      <c r="H4" s="13">
        <f>F4*Calculation!I4/Calculation!K3</f>
        <v>48.157613740075142</v>
      </c>
      <c r="I4" s="13">
        <f>G4*Calculation!I4/Calculation!K3</f>
        <v>0.27800027580107373</v>
      </c>
      <c r="J4" s="13">
        <v>0.57726465364120783</v>
      </c>
      <c r="K4" s="13">
        <v>0</v>
      </c>
      <c r="L4" s="13">
        <f>J4*Calculation!I4/Calculation!K3</f>
        <v>0.57762476883374758</v>
      </c>
      <c r="M4" s="13">
        <f>K4*Calculation!I4/Calculation!K3</f>
        <v>0</v>
      </c>
      <c r="N4" s="13">
        <v>1.7318900915903415</v>
      </c>
      <c r="O4" s="13">
        <v>3.3305578684429675E-2</v>
      </c>
      <c r="P4" s="13">
        <f>N4*Calculation!I4/Calculation!K3</f>
        <v>1.7329704971371853</v>
      </c>
      <c r="Q4" s="13">
        <f>O4*Calculation!I4/Calculation!K3</f>
        <v>3.3326355714176664E-2</v>
      </c>
      <c r="R4" s="13">
        <v>1.0717647910782824</v>
      </c>
      <c r="S4" s="13">
        <v>2.5085825296094995E-2</v>
      </c>
      <c r="T4" s="13">
        <f>R4*Calculation!I4/Calculation!K3</f>
        <v>1.0724333904488863</v>
      </c>
      <c r="U4" s="13">
        <f>S4*Calculation!I4/Calculation!K3</f>
        <v>2.51014745944706E-2</v>
      </c>
    </row>
    <row r="5" spans="1:21">
      <c r="A5" s="15" t="s">
        <v>37</v>
      </c>
      <c r="B5" s="15">
        <v>180.16</v>
      </c>
      <c r="D5" s="16">
        <v>1</v>
      </c>
      <c r="E5" s="64">
        <v>2</v>
      </c>
      <c r="F5" s="51">
        <v>47.646536412078142</v>
      </c>
      <c r="G5" s="51">
        <v>0.1786576036792952</v>
      </c>
      <c r="H5" s="13">
        <f>F5*Calculation!I5/Calculation!K4</f>
        <v>47.737500947506277</v>
      </c>
      <c r="I5" s="13">
        <f>G5*Calculation!I5/Calculation!K4</f>
        <v>0.17899868840744496</v>
      </c>
      <c r="J5" s="13">
        <v>0.61426879810538781</v>
      </c>
      <c r="K5" s="13">
        <v>1.2818611660515681E-2</v>
      </c>
      <c r="L5" s="13">
        <f>J5*Calculation!I5/Calculation!K4</f>
        <v>0.61544153132075519</v>
      </c>
      <c r="M5" s="13">
        <f>K5*Calculation!I5/Calculation!K4</f>
        <v>1.2843084353440257E-2</v>
      </c>
      <c r="N5" s="13">
        <v>1.987232861504302</v>
      </c>
      <c r="O5" s="13">
        <v>9.614492409485853E-2</v>
      </c>
      <c r="P5" s="13">
        <f>N5*Calculation!I5/Calculation!K4</f>
        <v>1.991026793396242</v>
      </c>
      <c r="Q5" s="13">
        <f>O5*Calculation!I5/Calculation!K4</f>
        <v>9.6328479480257856E-2</v>
      </c>
      <c r="R5" s="13">
        <v>0.99934825114056058</v>
      </c>
      <c r="S5" s="13">
        <v>4.34499239626331E-2</v>
      </c>
      <c r="T5" s="13">
        <f>R5*Calculation!I5/Calculation!K4</f>
        <v>1.0012561600095227</v>
      </c>
      <c r="U5" s="13">
        <f>S5*Calculation!I5/Calculation!K4</f>
        <v>4.3532876522153187E-2</v>
      </c>
    </row>
    <row r="6" spans="1:21">
      <c r="A6" s="15" t="s">
        <v>40</v>
      </c>
      <c r="B6" s="15">
        <v>180.16</v>
      </c>
      <c r="D6" s="16">
        <v>2</v>
      </c>
      <c r="E6" s="64">
        <v>3.3333333333333335</v>
      </c>
      <c r="F6" s="51">
        <v>47.224689165186504</v>
      </c>
      <c r="G6" s="51">
        <v>0.65101007599448169</v>
      </c>
      <c r="H6" s="13">
        <f>F6*Calculation!I6/Calculation!K5</f>
        <v>47.346120536041994</v>
      </c>
      <c r="I6" s="13">
        <f>G6*Calculation!I6/Calculation!K5</f>
        <v>0.65268405304687105</v>
      </c>
      <c r="J6" s="13">
        <v>0.62907045589105981</v>
      </c>
      <c r="K6" s="13">
        <v>2.5637223321031362E-2</v>
      </c>
      <c r="L6" s="13">
        <f>J6*Calculation!I6/Calculation!K5</f>
        <v>0.6306880184240039</v>
      </c>
      <c r="M6" s="13">
        <f>K6*Calculation!I6/Calculation!K5</f>
        <v>2.5703145685536749E-2</v>
      </c>
      <c r="N6" s="13">
        <v>2.1759644740494037</v>
      </c>
      <c r="O6" s="13">
        <v>0.12609288583514358</v>
      </c>
      <c r="P6" s="13">
        <f>N6*Calculation!I6/Calculation!K5</f>
        <v>2.1815596479655812</v>
      </c>
      <c r="Q6" s="13">
        <f>O6*Calculation!I6/Calculation!K5</f>
        <v>0.12641711522135568</v>
      </c>
      <c r="R6" s="13">
        <v>0.89796509522775003</v>
      </c>
      <c r="S6" s="13">
        <v>2.5085825296094995E-2</v>
      </c>
      <c r="T6" s="13">
        <f>R6*Calculation!I6/Calculation!K5</f>
        <v>0.90027408093885697</v>
      </c>
      <c r="U6" s="13">
        <f>S6*Calculation!I6/Calculation!K5</f>
        <v>2.515032982134641E-2</v>
      </c>
    </row>
    <row r="7" spans="1:21">
      <c r="A7" s="31" t="s">
        <v>116</v>
      </c>
      <c r="B7" s="31">
        <v>46.03</v>
      </c>
      <c r="D7" s="16">
        <v>3</v>
      </c>
      <c r="E7" s="64">
        <v>4.666666666666667</v>
      </c>
      <c r="F7" s="51">
        <v>47.072972172883361</v>
      </c>
      <c r="G7" s="51">
        <v>0.10314801557701844</v>
      </c>
      <c r="H7" s="13">
        <f>F7*Calculation!I7/Calculation!K6</f>
        <v>47.258179317525467</v>
      </c>
      <c r="I7" s="13">
        <f>G7*Calculation!I7/Calculation!K6</f>
        <v>0.10355384823552059</v>
      </c>
      <c r="J7" s="13">
        <v>0.80669034931912365</v>
      </c>
      <c r="K7" s="13">
        <v>1.2818611660515681E-2</v>
      </c>
      <c r="L7" s="13">
        <f>J7*Calculation!I7/Calculation!K6</f>
        <v>0.80986424740354934</v>
      </c>
      <c r="M7" s="13">
        <f>K7*Calculation!I7/Calculation!K6</f>
        <v>1.2869046089325504E-2</v>
      </c>
      <c r="N7" s="13">
        <v>2.7421593116847069</v>
      </c>
      <c r="O7" s="13">
        <v>5.0875111795235566E-2</v>
      </c>
      <c r="P7" s="13">
        <f>N7*Calculation!I7/Calculation!K6</f>
        <v>2.7529482521919189</v>
      </c>
      <c r="Q7" s="13">
        <f>O7*Calculation!I7/Calculation!K6</f>
        <v>5.1075278339942749E-2</v>
      </c>
      <c r="R7" s="13">
        <v>0.73864870736476207</v>
      </c>
      <c r="S7" s="13">
        <v>4.3449923962633023E-2</v>
      </c>
      <c r="T7" s="13">
        <f>R7*Calculation!I7/Calculation!K6</f>
        <v>0.74155489772559535</v>
      </c>
      <c r="U7" s="13">
        <f>S7*Calculation!I7/Calculation!K6</f>
        <v>4.3620876336799688E-2</v>
      </c>
    </row>
    <row r="8" spans="1:21">
      <c r="A8" s="15" t="s">
        <v>43</v>
      </c>
      <c r="B8" s="15">
        <v>60.05</v>
      </c>
      <c r="D8" s="16">
        <v>4</v>
      </c>
      <c r="E8" s="64">
        <v>6</v>
      </c>
      <c r="F8" s="51">
        <v>44.97113676731793</v>
      </c>
      <c r="G8" s="51">
        <v>0.12361821409480654</v>
      </c>
      <c r="H8" s="13">
        <f>F8*Calculation!I8/Calculation!K7</f>
        <v>45.27445100099002</v>
      </c>
      <c r="I8" s="13">
        <f>G8*Calculation!I8/Calculation!K7</f>
        <v>0.12445197473710651</v>
      </c>
      <c r="J8" s="13">
        <v>0.85849615156897574</v>
      </c>
      <c r="K8" s="13">
        <v>1.2818611660515681E-2</v>
      </c>
      <c r="L8" s="13">
        <f>J8*Calculation!I8/Calculation!K7</f>
        <v>0.8642864010721375</v>
      </c>
      <c r="M8" s="13">
        <f>K8*Calculation!I8/Calculation!K7</f>
        <v>1.2905068611618926E-2</v>
      </c>
      <c r="N8" s="13">
        <v>3.6525117957257844</v>
      </c>
      <c r="O8" s="13">
        <v>5.0875111795235566E-2</v>
      </c>
      <c r="P8" s="13">
        <f>N8*Calculation!I8/Calculation!K7</f>
        <v>3.6771466814755249</v>
      </c>
      <c r="Q8" s="13">
        <f>O8*Calculation!I8/Calculation!K7</f>
        <v>5.1218246228927893E-2</v>
      </c>
      <c r="R8" s="13">
        <v>0.39104931566369766</v>
      </c>
      <c r="S8" s="13">
        <v>4.3449923962633065E-2</v>
      </c>
      <c r="T8" s="13">
        <f>R8*Calculation!I8/Calculation!K7</f>
        <v>0.39368680343996232</v>
      </c>
      <c r="U8" s="13">
        <f>S8*Calculation!I8/Calculation!K7</f>
        <v>4.374297815999581E-2</v>
      </c>
    </row>
    <row r="9" spans="1:21">
      <c r="A9" s="31" t="s">
        <v>67</v>
      </c>
      <c r="B9" s="31">
        <v>74.08</v>
      </c>
      <c r="D9" s="16">
        <v>5</v>
      </c>
      <c r="E9" s="64">
        <v>7.333333333333333</v>
      </c>
      <c r="F9" s="51">
        <v>41.259621077560688</v>
      </c>
      <c r="G9" s="51">
        <v>0.60847912096301859</v>
      </c>
      <c r="H9" s="13">
        <f>F9*Calculation!I9/Calculation!K8</f>
        <v>41.717331849619839</v>
      </c>
      <c r="I9" s="13">
        <f>G9*Calculation!I9/Calculation!K8</f>
        <v>0.61522924229143094</v>
      </c>
      <c r="J9" s="13">
        <v>0.96950858496151571</v>
      </c>
      <c r="K9" s="13">
        <v>3.3914858606837128E-2</v>
      </c>
      <c r="L9" s="13">
        <f>J9*Calculation!I9/Calculation!K8</f>
        <v>0.98026376184756925</v>
      </c>
      <c r="M9" s="13">
        <f>K9*Calculation!I9/Calculation!K8</f>
        <v>3.4291090760982017E-2</v>
      </c>
      <c r="N9" s="13">
        <v>6.3835692478490147</v>
      </c>
      <c r="O9" s="13">
        <v>1.9228984818971735E-2</v>
      </c>
      <c r="P9" s="13">
        <f>N9*Calculation!I9/Calculation!K8</f>
        <v>6.4543849347753079</v>
      </c>
      <c r="Q9" s="13">
        <f>O9*Calculation!I9/Calculation!K8</f>
        <v>1.9442300241109527E-2</v>
      </c>
      <c r="R9" s="13">
        <v>0</v>
      </c>
      <c r="S9" s="13">
        <v>0</v>
      </c>
      <c r="T9" s="13">
        <f>R9*Calculation!I9/Calculation!K8</f>
        <v>0</v>
      </c>
      <c r="U9" s="13">
        <f>S9*Calculation!I9/Calculation!K8</f>
        <v>0</v>
      </c>
    </row>
    <row r="10" spans="1:21">
      <c r="A10" s="31" t="s">
        <v>66</v>
      </c>
      <c r="B10" s="31">
        <v>88.11</v>
      </c>
      <c r="D10" s="16">
        <v>6</v>
      </c>
      <c r="E10" s="64">
        <v>8.6666666666666661</v>
      </c>
      <c r="F10" s="51">
        <v>34.1289224393132</v>
      </c>
      <c r="G10" s="51">
        <v>0.38139408954580833</v>
      </c>
      <c r="H10" s="13">
        <f>F10*Calculation!I10/Calculation!K9</f>
        <v>34.788078314544038</v>
      </c>
      <c r="I10" s="13">
        <f>G10*Calculation!I10/Calculation!K9</f>
        <v>0.38876022175667618</v>
      </c>
      <c r="J10" s="13">
        <v>1.2803433984606276</v>
      </c>
      <c r="K10" s="13">
        <v>4.6218161622249787E-2</v>
      </c>
      <c r="L10" s="13">
        <f>J10*Calculation!I10/Calculation!K9</f>
        <v>1.305071570728856</v>
      </c>
      <c r="M10" s="13">
        <f>K10*Calculation!I10/Calculation!K9</f>
        <v>4.7110805473805487E-2</v>
      </c>
      <c r="N10" s="13">
        <v>10.502359145156813</v>
      </c>
      <c r="O10" s="13">
        <v>0.15018317245038798</v>
      </c>
      <c r="P10" s="13">
        <f>N10*Calculation!I10/Calculation!K9</f>
        <v>10.705198591571335</v>
      </c>
      <c r="Q10" s="13">
        <f>O10*Calculation!I10/Calculation!K9</f>
        <v>0.15308376565421697</v>
      </c>
      <c r="R10" s="13">
        <v>0</v>
      </c>
      <c r="S10" s="13">
        <v>0</v>
      </c>
      <c r="T10" s="13">
        <f>R10*Calculation!I10/Calculation!K9</f>
        <v>0</v>
      </c>
      <c r="U10" s="13">
        <f>S10*Calculation!I10/Calculation!K9</f>
        <v>0</v>
      </c>
    </row>
    <row r="11" spans="1:21">
      <c r="A11" s="15" t="s">
        <v>42</v>
      </c>
      <c r="B11" s="15">
        <v>90.08</v>
      </c>
      <c r="D11" s="16">
        <v>7</v>
      </c>
      <c r="E11" s="64">
        <v>10</v>
      </c>
      <c r="F11" s="51">
        <v>21.558614564831263</v>
      </c>
      <c r="G11" s="51">
        <v>1.9227917490772812E-2</v>
      </c>
      <c r="H11" s="13">
        <f>F11*Calculation!I11/Calculation!K10</f>
        <v>22.240951805564197</v>
      </c>
      <c r="I11" s="13">
        <f>G11*Calculation!I11/Calculation!K10</f>
        <v>1.9836487402639831E-2</v>
      </c>
      <c r="J11" s="13">
        <v>1.9020130254588514</v>
      </c>
      <c r="K11" s="13">
        <v>1.2818611660515504E-2</v>
      </c>
      <c r="L11" s="13">
        <f>J11*Calculation!I11/Calculation!K10</f>
        <v>1.9622123632097488</v>
      </c>
      <c r="M11" s="13">
        <f>K11*Calculation!I11/Calculation!K10</f>
        <v>1.3224324935093526E-2</v>
      </c>
      <c r="N11" s="13">
        <v>18.839855675825699</v>
      </c>
      <c r="O11" s="13">
        <v>9.6144924094858683E-2</v>
      </c>
      <c r="P11" s="13">
        <f>N11*Calculation!I11/Calculation!K10</f>
        <v>19.436143303631813</v>
      </c>
      <c r="Q11" s="13">
        <f>O11*Calculation!I11/Calculation!K10</f>
        <v>9.9187942560636275E-2</v>
      </c>
      <c r="R11" s="13">
        <v>0</v>
      </c>
      <c r="S11" s="13">
        <v>0</v>
      </c>
      <c r="T11" s="13">
        <f>R11*Calculation!I11/Calculation!K10</f>
        <v>0</v>
      </c>
      <c r="U11" s="13">
        <f>S11*Calculation!I11/Calculation!K10</f>
        <v>0</v>
      </c>
    </row>
    <row r="12" spans="1:21">
      <c r="A12" s="15" t="s">
        <v>44</v>
      </c>
      <c r="B12" s="15">
        <v>46.07</v>
      </c>
      <c r="D12" s="16">
        <v>8</v>
      </c>
      <c r="E12" s="64">
        <v>11.333333333333334</v>
      </c>
      <c r="F12" s="51">
        <v>5.2360864416814685</v>
      </c>
      <c r="G12" s="51">
        <v>5.1274446642062724E-2</v>
      </c>
      <c r="H12" s="13">
        <f>F12*Calculation!I12/Calculation!K11</f>
        <v>5.4978981857222839</v>
      </c>
      <c r="I12" s="13">
        <f>G12*Calculation!I12/Calculation!K11</f>
        <v>5.3838241653776715E-2</v>
      </c>
      <c r="J12" s="13">
        <v>3.5375962107756065</v>
      </c>
      <c r="K12" s="13">
        <v>3.3914858606837212E-2</v>
      </c>
      <c r="L12" s="13">
        <f>J12*Calculation!I12/Calculation!K11</f>
        <v>3.7144810357247371</v>
      </c>
      <c r="M12" s="13">
        <f>K12*Calculation!I12/Calculation!K11</f>
        <v>3.5610649610222998E-2</v>
      </c>
      <c r="N12" s="13">
        <v>32.750485706355818</v>
      </c>
      <c r="O12" s="13">
        <v>8.3817201612775533E-2</v>
      </c>
      <c r="P12" s="13">
        <f>N12*Calculation!I12/Calculation!K11</f>
        <v>34.388056414262486</v>
      </c>
      <c r="Q12" s="13">
        <f>O12*Calculation!I12/Calculation!K11</f>
        <v>8.8008180501163491E-2</v>
      </c>
      <c r="R12" s="13">
        <v>0</v>
      </c>
      <c r="S12" s="13">
        <v>0</v>
      </c>
      <c r="T12" s="13">
        <f>R12*Calculation!I12/Calculation!K11</f>
        <v>0</v>
      </c>
      <c r="U12" s="13">
        <f>S12*Calculation!I12/Calculation!K11</f>
        <v>0</v>
      </c>
    </row>
    <row r="13" spans="1:21">
      <c r="D13" s="16">
        <v>9</v>
      </c>
      <c r="E13" s="64">
        <v>12.666666666666666</v>
      </c>
      <c r="F13" s="51">
        <v>0</v>
      </c>
      <c r="G13" s="51">
        <v>0</v>
      </c>
      <c r="H13" s="13">
        <f>F13*Calculation!I13/Calculation!K12</f>
        <v>0</v>
      </c>
      <c r="I13" s="13">
        <f>G13*Calculation!I13/Calculation!K12</f>
        <v>0</v>
      </c>
      <c r="J13" s="13">
        <v>3.7596210775606869</v>
      </c>
      <c r="K13" s="13">
        <v>4.6218161622249884E-2</v>
      </c>
      <c r="L13" s="13">
        <f>J13*Calculation!I13/Calculation!K12</f>
        <v>3.9692636143415254</v>
      </c>
      <c r="M13" s="13">
        <f>K13*Calculation!I13/Calculation!K12</f>
        <v>4.8795360879288277E-2</v>
      </c>
      <c r="N13" s="13">
        <v>38.379128504024422</v>
      </c>
      <c r="O13" s="13">
        <v>0.31654904089665692</v>
      </c>
      <c r="P13" s="13">
        <f>N13*Calculation!I13/Calculation!K12</f>
        <v>40.519210627471232</v>
      </c>
      <c r="Q13" s="13">
        <f>O13*Calculation!I13/Calculation!K12</f>
        <v>0.33420032611398887</v>
      </c>
      <c r="R13" s="13">
        <v>0</v>
      </c>
      <c r="S13" s="13">
        <v>0</v>
      </c>
      <c r="T13" s="13">
        <f>R13*Calculation!I13/Calculation!K12</f>
        <v>0</v>
      </c>
      <c r="U13" s="13">
        <f>S13*Calculation!I13/Calculation!K12</f>
        <v>0</v>
      </c>
    </row>
    <row r="14" spans="1:21">
      <c r="D14" s="16">
        <v>10</v>
      </c>
      <c r="E14" s="64">
        <v>14</v>
      </c>
      <c r="F14" s="51">
        <v>0</v>
      </c>
      <c r="G14" s="51">
        <v>0</v>
      </c>
      <c r="H14" s="13">
        <f>F14*Calculation!I14/Calculation!K13</f>
        <v>0</v>
      </c>
      <c r="I14" s="13">
        <f>G14*Calculation!I14/Calculation!K13</f>
        <v>0</v>
      </c>
      <c r="J14" s="13">
        <v>3.7374185908821791</v>
      </c>
      <c r="K14" s="13">
        <v>0.11175006564935962</v>
      </c>
      <c r="L14" s="13">
        <f>J14*Calculation!I14/Calculation!K13</f>
        <v>3.9490077648673103</v>
      </c>
      <c r="M14" s="13">
        <f>K14*Calculation!I14/Calculation!K13</f>
        <v>0.1180766527063237</v>
      </c>
      <c r="N14" s="13">
        <v>40.122120455176237</v>
      </c>
      <c r="O14" s="13">
        <v>0.88516011169703968</v>
      </c>
      <c r="P14" s="13">
        <f>N14*Calculation!I14/Calculation!K13</f>
        <v>42.3935829952175</v>
      </c>
      <c r="Q14" s="13">
        <f>O14*Calculation!I14/Calculation!K13</f>
        <v>0.93527231944799294</v>
      </c>
      <c r="R14" s="13">
        <v>0</v>
      </c>
      <c r="S14" s="13">
        <v>0</v>
      </c>
      <c r="T14" s="13">
        <f>R14*Calculation!I14/Calculation!K13</f>
        <v>0</v>
      </c>
      <c r="U14" s="13">
        <f>S14*Calculation!I14/Calculation!K13</f>
        <v>0</v>
      </c>
    </row>
    <row r="15" spans="1:21">
      <c r="D15" s="16">
        <v>11</v>
      </c>
      <c r="E15" s="64">
        <v>15.333333333333334</v>
      </c>
      <c r="F15" s="51">
        <v>0</v>
      </c>
      <c r="G15" s="51">
        <v>0</v>
      </c>
      <c r="H15" s="13">
        <f>F15*Calculation!I15/Calculation!K14</f>
        <v>0</v>
      </c>
      <c r="I15" s="13">
        <f>G15*Calculation!I15/Calculation!K14</f>
        <v>0</v>
      </c>
      <c r="J15" s="13">
        <v>3.7152161042036709</v>
      </c>
      <c r="K15" s="13">
        <v>1.2818611660515681E-2</v>
      </c>
      <c r="L15" s="13">
        <f>J15*Calculation!I15/Calculation!K14</f>
        <v>3.9321514218194791</v>
      </c>
      <c r="M15" s="13">
        <f>K15*Calculation!I15/Calculation!K14</f>
        <v>1.3567103676584749E-2</v>
      </c>
      <c r="N15" s="13">
        <v>40.177629752983627</v>
      </c>
      <c r="O15" s="13">
        <v>0.31654904089665692</v>
      </c>
      <c r="P15" s="13">
        <f>N15*Calculation!I15/Calculation!K14</f>
        <v>42.523643181826152</v>
      </c>
      <c r="Q15" s="13">
        <f>O15*Calculation!I15/Calculation!K14</f>
        <v>0.33503266736732079</v>
      </c>
      <c r="R15" s="13">
        <v>0</v>
      </c>
      <c r="S15" s="13">
        <v>0</v>
      </c>
      <c r="T15" s="13">
        <f>R15*Calculation!I15/Calculation!K14</f>
        <v>0</v>
      </c>
      <c r="U15" s="13">
        <f>S15*Calculation!I15/Calculation!K14</f>
        <v>0</v>
      </c>
    </row>
    <row r="16" spans="1:21">
      <c r="D16" s="16">
        <v>12</v>
      </c>
      <c r="E16" s="64">
        <v>16.666666666666668</v>
      </c>
      <c r="F16" s="51">
        <v>0</v>
      </c>
      <c r="G16" s="51">
        <v>0</v>
      </c>
      <c r="H16" s="13">
        <f>F16*Calculation!I16/Calculation!K15</f>
        <v>0</v>
      </c>
      <c r="I16" s="13">
        <f>G16*Calculation!I16/Calculation!K15</f>
        <v>0</v>
      </c>
      <c r="J16" s="13">
        <v>3.9076376554174073</v>
      </c>
      <c r="K16" s="13">
        <v>2.2202486678508014E-2</v>
      </c>
      <c r="L16" s="13">
        <f>J16*Calculation!I16/Calculation!K15</f>
        <v>4.1394175748604631</v>
      </c>
      <c r="M16" s="13">
        <f>K16*Calculation!I16/Calculation!K15</f>
        <v>2.3519418038979927E-2</v>
      </c>
      <c r="N16" s="13">
        <v>42.198168193172357</v>
      </c>
      <c r="O16" s="13">
        <v>0</v>
      </c>
      <c r="P16" s="13">
        <f>N16*Calculation!I16/Calculation!K15</f>
        <v>44.701135173976844</v>
      </c>
      <c r="Q16" s="13">
        <f>O16*Calculation!I16/Calculation!K15</f>
        <v>0</v>
      </c>
      <c r="R16" s="13">
        <v>0</v>
      </c>
      <c r="S16" s="13">
        <v>0</v>
      </c>
      <c r="T16" s="13">
        <f>R16*Calculation!I16/Calculation!K15</f>
        <v>0</v>
      </c>
      <c r="U16" s="13">
        <f>S16*Calculation!I16/Calculation!K15</f>
        <v>0</v>
      </c>
    </row>
    <row r="17" spans="4:21">
      <c r="D17" s="16">
        <v>13</v>
      </c>
      <c r="E17" s="64">
        <v>18</v>
      </c>
      <c r="F17" s="51">
        <v>0</v>
      </c>
      <c r="G17" s="51">
        <v>0</v>
      </c>
      <c r="H17" s="13">
        <f>F17*Calculation!I17/Calculation!K16</f>
        <v>0</v>
      </c>
      <c r="I17" s="13">
        <f>G17*Calculation!I17/Calculation!K16</f>
        <v>0</v>
      </c>
      <c r="J17" s="13">
        <v>3.9298401420959141</v>
      </c>
      <c r="K17" s="13">
        <v>3.8455834981547046E-2</v>
      </c>
      <c r="L17" s="13">
        <f>J17*Calculation!I17/Calculation!K16</f>
        <v>4.1629369928994429</v>
      </c>
      <c r="M17" s="13">
        <f>K17*Calculation!I17/Calculation!K16</f>
        <v>4.0736827007965208E-2</v>
      </c>
      <c r="N17" s="13">
        <v>41.942825423258398</v>
      </c>
      <c r="O17" s="13">
        <v>0.18938353715495015</v>
      </c>
      <c r="P17" s="13">
        <f>N17*Calculation!I17/Calculation!K16</f>
        <v>44.430646852745213</v>
      </c>
      <c r="Q17" s="13">
        <f>O17*Calculation!I17/Calculation!K16</f>
        <v>0.20061674372535995</v>
      </c>
      <c r="R17" s="13">
        <v>0</v>
      </c>
      <c r="S17" s="13">
        <v>0</v>
      </c>
      <c r="T17" s="13">
        <f>R17*Calculation!I17/Calculation!K16</f>
        <v>0</v>
      </c>
      <c r="U17" s="13">
        <f>S17*Calculation!I17/Calculation!K16</f>
        <v>0</v>
      </c>
    </row>
    <row r="18" spans="4:21">
      <c r="D18" s="16">
        <v>14</v>
      </c>
      <c r="E18" s="64">
        <v>24</v>
      </c>
      <c r="F18" s="51">
        <v>0</v>
      </c>
      <c r="G18" s="51">
        <v>0</v>
      </c>
      <c r="H18" s="13">
        <f>F18*Calculation!I18/Calculation!K17</f>
        <v>0</v>
      </c>
      <c r="I18" s="13">
        <f>G18*Calculation!I18/Calculation!K17</f>
        <v>0</v>
      </c>
      <c r="J18" s="13">
        <v>3.9298401420959141</v>
      </c>
      <c r="K18" s="13">
        <v>8.0052204162166796E-2</v>
      </c>
      <c r="L18" s="13">
        <f>J18*Calculation!I18/Calculation!K17</f>
        <v>4.1668680004470335</v>
      </c>
      <c r="M18" s="13">
        <f>K18*Calculation!I18/Calculation!K17</f>
        <v>8.4880543693231086E-2</v>
      </c>
      <c r="N18" s="13">
        <v>40.976963641409945</v>
      </c>
      <c r="O18" s="13">
        <v>0.75239162364062839</v>
      </c>
      <c r="P18" s="13">
        <f>N18*Calculation!I18/Calculation!K17</f>
        <v>43.448484513115183</v>
      </c>
      <c r="Q18" s="13">
        <f>O18*Calculation!I18/Calculation!K17</f>
        <v>0.79777203829987375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4">
        <v>30</v>
      </c>
      <c r="F19" s="51">
        <v>0</v>
      </c>
      <c r="G19" s="51">
        <v>0</v>
      </c>
      <c r="H19" s="13">
        <f>F19*Calculation!I19/Calculation!K18</f>
        <v>0</v>
      </c>
      <c r="I19" s="13">
        <f>G19*Calculation!I19/Calculation!K18</f>
        <v>0</v>
      </c>
      <c r="J19" s="13">
        <v>4.0186500888099461</v>
      </c>
      <c r="K19" s="13">
        <v>5.874225823855668E-2</v>
      </c>
      <c r="L19" s="13">
        <f>J19*Calculation!I19/Calculation!K18</f>
        <v>4.2610345089317132</v>
      </c>
      <c r="M19" s="13">
        <f>K19*Calculation!I19/Calculation!K18</f>
        <v>6.2285290820428475E-2</v>
      </c>
      <c r="N19" s="13">
        <v>41.498751040799334</v>
      </c>
      <c r="O19" s="13">
        <v>0.38409867092991512</v>
      </c>
      <c r="P19" s="13">
        <f>N19*Calculation!I19/Calculation!K18</f>
        <v>44.001743459773643</v>
      </c>
      <c r="Q19" s="13">
        <f>O19*Calculation!I19/Calculation!K18</f>
        <v>0.40726553830215223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4">
        <v>48</v>
      </c>
      <c r="F20" s="51">
        <v>0</v>
      </c>
      <c r="G20" s="51">
        <v>0</v>
      </c>
      <c r="H20" s="13">
        <f>F20*Calculation!I20/Calculation!K19</f>
        <v>0</v>
      </c>
      <c r="I20" s="13">
        <f>G20*Calculation!I20/Calculation!K19</f>
        <v>0</v>
      </c>
      <c r="J20" s="13">
        <v>4.0112492599171103</v>
      </c>
      <c r="K20" s="13">
        <v>7.1371009184376596E-2</v>
      </c>
      <c r="L20" s="13">
        <f>J20*Calculation!I20/Calculation!K19</f>
        <v>4.2531872998913238</v>
      </c>
      <c r="M20" s="13">
        <f>K20*Calculation!I20/Calculation!K19</f>
        <v>7.5675743434026901E-2</v>
      </c>
      <c r="N20" s="13">
        <v>40.333055786844298</v>
      </c>
      <c r="O20" s="13">
        <v>0.47218807256478856</v>
      </c>
      <c r="P20" s="13">
        <f>N20*Calculation!I20/Calculation!K19</f>
        <v>42.765739430004722</v>
      </c>
      <c r="Q20" s="13">
        <f>O20*Calculation!I20/Calculation!K19</f>
        <v>0.50066804211369842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53" t="s">
        <v>4</v>
      </c>
      <c r="E22" s="153" t="s">
        <v>60</v>
      </c>
      <c r="F22" s="127" t="s">
        <v>44</v>
      </c>
      <c r="G22" s="127"/>
      <c r="H22" s="127"/>
      <c r="I22" s="127"/>
      <c r="J22" s="127" t="s">
        <v>66</v>
      </c>
      <c r="K22" s="127"/>
      <c r="L22" s="127"/>
      <c r="M22" s="127"/>
      <c r="N22" s="154" t="s">
        <v>67</v>
      </c>
      <c r="O22" s="125"/>
      <c r="P22" s="125"/>
      <c r="Q22" s="155"/>
    </row>
    <row r="23" spans="4:21">
      <c r="D23" s="153"/>
      <c r="E23" s="153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2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0.28751938864298415</v>
      </c>
      <c r="K24" s="13">
        <v>9.1736508553566715E-2</v>
      </c>
      <c r="L24" s="13">
        <f>J24*Calculation!I3/Calculation!F22</f>
        <v>0.28751938864298415</v>
      </c>
      <c r="M24" s="13">
        <f>K24*Calculation!I3/Calculation!F22</f>
        <v>9.1736508553566715E-2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4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2.0655998184088076</v>
      </c>
      <c r="K25" s="13">
        <v>2.2698899103393507E-2</v>
      </c>
      <c r="L25" s="13">
        <f>J25*Calculation!I4/Calculation!K3</f>
        <v>2.0668884022007035</v>
      </c>
      <c r="M25" s="13">
        <f>K25*Calculation!I4/Calculation!K3</f>
        <v>2.2713059364842914E-2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4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2.9357242840388902</v>
      </c>
      <c r="K26" s="13">
        <v>8.5936645039159806E-2</v>
      </c>
      <c r="L26" s="13">
        <f>J26*Calculation!I5/Calculation!K4</f>
        <v>2.9413290313248859</v>
      </c>
      <c r="M26" s="13">
        <f>K26*Calculation!I5/Calculation!K4</f>
        <v>8.6100711256368798E-2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4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3.6091249574395641</v>
      </c>
      <c r="K27" s="13">
        <v>8.1842044613868861E-2</v>
      </c>
      <c r="L27" s="13">
        <f>J27*Calculation!I6/Calculation!K5</f>
        <v>3.6184052936136712</v>
      </c>
      <c r="M27" s="13">
        <f>K27*Calculation!I6/Calculation!K5</f>
        <v>8.2052489443612792E-2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4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4.4716831233685159</v>
      </c>
      <c r="K28" s="13">
        <v>0.12011128412505245</v>
      </c>
      <c r="L28" s="13">
        <f>J28*Calculation!I7/Calculation!K6</f>
        <v>4.4892768215098124</v>
      </c>
      <c r="M28" s="13">
        <f>K28*Calculation!I7/Calculation!K6</f>
        <v>0.12058385823595408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4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6.1135701585139799</v>
      </c>
      <c r="K29" s="13">
        <v>1.3105215507652396E-2</v>
      </c>
      <c r="L29" s="13">
        <f>J29*Calculation!I8/Calculation!K7</f>
        <v>6.1548040027288726</v>
      </c>
      <c r="M29" s="13">
        <f>K29*Calculation!I8/Calculation!K7</f>
        <v>1.3193605499201375E-2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4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8.3002307721408837</v>
      </c>
      <c r="K30" s="13">
        <v>0.24271198777808731</v>
      </c>
      <c r="L30" s="13">
        <f>J30*Calculation!I9/Calculation!K8</f>
        <v>8.3923088120202145</v>
      </c>
      <c r="M30" s="13">
        <f>K30*Calculation!I9/Calculation!K8</f>
        <v>0.24540449654119703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4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13.225891877577267</v>
      </c>
      <c r="K31" s="13">
        <v>3.4673141111155326E-2</v>
      </c>
      <c r="L31" s="13">
        <f>J31*Calculation!I10/Calculation!K9</f>
        <v>13.481332826578067</v>
      </c>
      <c r="M31" s="13">
        <f>K31*Calculation!I10/Calculation!K9</f>
        <v>3.5342807864237429E-2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4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17.96996179018651</v>
      </c>
      <c r="K32" s="13">
        <v>2.6210431015304791E-2</v>
      </c>
      <c r="L32" s="13">
        <f>J32*Calculation!I11/Calculation!K10</f>
        <v>18.538716990439244</v>
      </c>
      <c r="M32" s="13">
        <f>K32*Calculation!I11/Calculation!K10</f>
        <v>2.703999977648942E-2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4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24.075965648999365</v>
      </c>
      <c r="K33" s="13">
        <v>0.12907140399676054</v>
      </c>
      <c r="L33" s="13">
        <f>J33*Calculation!I12/Calculation!K11</f>
        <v>25.279798058230387</v>
      </c>
      <c r="M33" s="13">
        <f>K33*Calculation!I12/Calculation!K11</f>
        <v>0.13552515715048746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4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25.58165928952446</v>
      </c>
      <c r="K34" s="13">
        <v>0.34274586018707331</v>
      </c>
      <c r="L34" s="13">
        <f>J34*Calculation!I13/Calculation!K12</f>
        <v>27.008133883075423</v>
      </c>
      <c r="M34" s="13">
        <f>K34*Calculation!I13/Calculation!K12</f>
        <v>0.36185792231205988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4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25.997805773086672</v>
      </c>
      <c r="K35" s="13">
        <v>0.69457642190557545</v>
      </c>
      <c r="L35" s="13">
        <f>J35*Calculation!I14/Calculation!K13</f>
        <v>27.469638300054132</v>
      </c>
      <c r="M35" s="13">
        <f>K35*Calculation!I14/Calculation!K13</f>
        <v>0.73389897778387192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4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25.770816782052737</v>
      </c>
      <c r="K36" s="13">
        <v>0.10235500517132766</v>
      </c>
      <c r="L36" s="13">
        <f>J36*Calculation!I15/Calculation!K14</f>
        <v>27.275601474794509</v>
      </c>
      <c r="M36" s="13">
        <f>K36*Calculation!I15/Calculation!K14</f>
        <v>0.10833161997208876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4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27.238678924072182</v>
      </c>
      <c r="K37" s="13">
        <v>0.12011128412505245</v>
      </c>
      <c r="L37" s="13">
        <f>J37*Calculation!I16/Calculation!K15</f>
        <v>28.854329955074018</v>
      </c>
      <c r="M37" s="13">
        <f>K37*Calculation!I16/Calculation!K15</f>
        <v>0.12723563551421241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4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27.253811523474447</v>
      </c>
      <c r="K38" s="13">
        <v>0.3533551069900705</v>
      </c>
      <c r="L38" s="13">
        <f>J38*Calculation!I17/Calculation!K16</f>
        <v>28.870360138382399</v>
      </c>
      <c r="M38" s="13">
        <f>K38*Calculation!I17/Calculation!K16</f>
        <v>0.37431421974695755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4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27.155449627359744</v>
      </c>
      <c r="K39" s="13">
        <v>0.36412694481945984</v>
      </c>
      <c r="L39" s="13">
        <f>J39*Calculation!I18/Calculation!K17</f>
        <v>28.793327463352824</v>
      </c>
      <c r="M39" s="13">
        <f>K39*Calculation!I18/Calculation!K17</f>
        <v>0.38608921981735889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4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27.919645897173993</v>
      </c>
      <c r="K40" s="13">
        <v>0.28350915893307926</v>
      </c>
      <c r="L40" s="13">
        <f>J40*Calculation!I19/Calculation!K18</f>
        <v>29.60361614370909</v>
      </c>
      <c r="M40" s="13">
        <f>K40*Calculation!I19/Calculation!K18</f>
        <v>0.30060898140295594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4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30.280331403926915</v>
      </c>
      <c r="K41" s="13">
        <v>0.25780993511748029</v>
      </c>
      <c r="L41" s="13">
        <f>J41*Calculation!I20/Calculation!K19</f>
        <v>32.106686126591811</v>
      </c>
      <c r="M41" s="13">
        <f>K41*Calculation!I20/Calculation!K19</f>
        <v>0.27335971184451702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139</v>
      </c>
      <c r="B2" s="17">
        <v>180.16</v>
      </c>
    </row>
    <row r="4" spans="1:8">
      <c r="A4" s="156" t="s">
        <v>140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5</v>
      </c>
      <c r="C6" s="28" t="s">
        <v>19</v>
      </c>
      <c r="D6" s="161"/>
      <c r="E6" s="161"/>
      <c r="F6" s="161"/>
      <c r="G6" s="163"/>
      <c r="H6" s="163"/>
    </row>
    <row r="7" spans="1:8">
      <c r="A7" s="16">
        <v>0</v>
      </c>
      <c r="B7" s="62">
        <v>-0.16666666666666666</v>
      </c>
      <c r="C7" s="16">
        <v>2</v>
      </c>
      <c r="D7" s="19">
        <v>4.492</v>
      </c>
      <c r="E7" s="19">
        <v>4.5069999999999997</v>
      </c>
      <c r="F7" s="19">
        <v>4.4109999999999996</v>
      </c>
      <c r="G7" s="19">
        <f>(C7*1000*AVERAGE(D7:F7)/$B$2)</f>
        <v>49.622557726465367</v>
      </c>
      <c r="H7" s="19">
        <f>(C7*1000*STDEV(D7:F7))/$B$2</f>
        <v>0.57330156899091411</v>
      </c>
    </row>
    <row r="8" spans="1:8">
      <c r="A8" s="16">
        <v>0</v>
      </c>
      <c r="B8" s="64">
        <v>0.16666666666666666</v>
      </c>
      <c r="C8" s="16">
        <v>2</v>
      </c>
      <c r="D8" s="19">
        <v>4.3609999999999998</v>
      </c>
      <c r="E8" s="19">
        <v>4.3109999999999999</v>
      </c>
      <c r="F8" s="19">
        <v>4.3339999999999996</v>
      </c>
      <c r="G8" s="19">
        <f t="shared" ref="G8:G17" si="0">(C8*1000*AVERAGE(D8:F8))/$B$2</f>
        <v>48.127590290112501</v>
      </c>
      <c r="H8" s="19">
        <f t="shared" ref="H8:H17" si="1">(C8*1000*STDEV(D8:F8))/$B$2</f>
        <v>0.27782695892089848</v>
      </c>
    </row>
    <row r="9" spans="1:8">
      <c r="A9" s="16">
        <v>1</v>
      </c>
      <c r="B9" s="64">
        <v>2</v>
      </c>
      <c r="C9" s="16">
        <v>2</v>
      </c>
      <c r="D9" s="19">
        <v>4.3099999999999996</v>
      </c>
      <c r="E9" s="19">
        <v>4.2789999999999999</v>
      </c>
      <c r="F9" s="19">
        <v>4.2869999999999999</v>
      </c>
      <c r="G9" s="19">
        <f t="shared" si="0"/>
        <v>47.646536412078142</v>
      </c>
      <c r="H9" s="19">
        <f t="shared" si="1"/>
        <v>0.1786576036792952</v>
      </c>
    </row>
    <row r="10" spans="1:8">
      <c r="A10" s="16">
        <v>2</v>
      </c>
      <c r="B10" s="64">
        <v>3.3333333333333335</v>
      </c>
      <c r="C10" s="16">
        <v>2</v>
      </c>
      <c r="D10" s="19">
        <v>4.2960000000000003</v>
      </c>
      <c r="E10" s="19">
        <v>4.2789999999999999</v>
      </c>
      <c r="F10" s="19">
        <v>4.1870000000000003</v>
      </c>
      <c r="G10" s="19">
        <f t="shared" si="0"/>
        <v>47.224689165186504</v>
      </c>
      <c r="H10" s="19">
        <f t="shared" si="1"/>
        <v>0.65101007599448169</v>
      </c>
    </row>
    <row r="11" spans="1:8">
      <c r="A11" s="16">
        <v>3</v>
      </c>
      <c r="B11" s="64">
        <v>4.666666666666667</v>
      </c>
      <c r="C11" s="16">
        <v>2</v>
      </c>
      <c r="D11" s="19">
        <v>4.234</v>
      </c>
      <c r="E11" s="19">
        <v>4.2510000000000003</v>
      </c>
      <c r="F11" s="19">
        <v>4.2359999999999998</v>
      </c>
      <c r="G11" s="19">
        <f t="shared" si="0"/>
        <v>47.072972172883361</v>
      </c>
      <c r="H11" s="19">
        <f t="shared" si="1"/>
        <v>0.10314801557701844</v>
      </c>
    </row>
    <row r="12" spans="1:8">
      <c r="A12" s="16">
        <v>4</v>
      </c>
      <c r="B12" s="64">
        <v>6</v>
      </c>
      <c r="C12" s="16">
        <v>2</v>
      </c>
      <c r="D12" s="19">
        <v>4.0389999999999997</v>
      </c>
      <c r="E12" s="19">
        <v>4.0529999999999999</v>
      </c>
      <c r="F12" s="19">
        <v>4.0609999999999999</v>
      </c>
      <c r="G12" s="19">
        <f t="shared" si="0"/>
        <v>44.97113676731793</v>
      </c>
      <c r="H12" s="19">
        <f t="shared" si="1"/>
        <v>0.12361821409480654</v>
      </c>
    </row>
    <row r="13" spans="1:8">
      <c r="A13" s="16">
        <v>5</v>
      </c>
      <c r="B13" s="64">
        <v>7.333333333333333</v>
      </c>
      <c r="C13" s="16">
        <v>2</v>
      </c>
      <c r="D13" s="19">
        <v>3.6760000000000002</v>
      </c>
      <c r="E13" s="19">
        <v>3.7789999999999999</v>
      </c>
      <c r="F13" s="19">
        <v>3.6949999999999998</v>
      </c>
      <c r="G13" s="19">
        <f t="shared" si="0"/>
        <v>41.259621077560688</v>
      </c>
      <c r="H13" s="19">
        <f t="shared" si="1"/>
        <v>0.60847912096301859</v>
      </c>
    </row>
    <row r="14" spans="1:8">
      <c r="A14" s="16">
        <v>6</v>
      </c>
      <c r="B14" s="64">
        <v>8.6666666666666661</v>
      </c>
      <c r="C14" s="16">
        <v>2</v>
      </c>
      <c r="D14" s="19">
        <v>3.0539999999999998</v>
      </c>
      <c r="E14" s="19">
        <v>3.0550000000000002</v>
      </c>
      <c r="F14" s="19">
        <v>3.1139999999999999</v>
      </c>
      <c r="G14" s="19">
        <f t="shared" si="0"/>
        <v>34.1289224393132</v>
      </c>
      <c r="H14" s="19">
        <f t="shared" si="1"/>
        <v>0.38139408954580833</v>
      </c>
    </row>
    <row r="15" spans="1:8">
      <c r="A15" s="16">
        <v>7</v>
      </c>
      <c r="B15" s="64">
        <v>10</v>
      </c>
      <c r="C15" s="16">
        <v>2</v>
      </c>
      <c r="D15" s="19">
        <v>1.9410000000000001</v>
      </c>
      <c r="E15" s="19">
        <v>1.944</v>
      </c>
      <c r="F15" s="19">
        <v>1.9410000000000001</v>
      </c>
      <c r="G15" s="19">
        <f t="shared" si="0"/>
        <v>21.558614564831263</v>
      </c>
      <c r="H15" s="19">
        <f t="shared" si="1"/>
        <v>1.9227917490772812E-2</v>
      </c>
    </row>
    <row r="16" spans="1:8">
      <c r="A16" s="16">
        <v>8</v>
      </c>
      <c r="B16" s="64">
        <v>11.333333333333334</v>
      </c>
      <c r="C16" s="16">
        <v>2</v>
      </c>
      <c r="D16" s="73">
        <v>0.46899999999999997</v>
      </c>
      <c r="E16" s="73">
        <v>0.46899999999999997</v>
      </c>
      <c r="F16" s="73">
        <v>0.47699999999999998</v>
      </c>
      <c r="G16" s="19">
        <f t="shared" si="0"/>
        <v>5.2360864416814685</v>
      </c>
      <c r="H16" s="19">
        <f t="shared" si="1"/>
        <v>5.1274446642062724E-2</v>
      </c>
    </row>
    <row r="17" spans="1:8">
      <c r="A17" s="16">
        <v>9</v>
      </c>
      <c r="B17" s="64">
        <v>12.666666666666666</v>
      </c>
      <c r="C17" s="16">
        <v>2</v>
      </c>
      <c r="D17" s="73">
        <v>0</v>
      </c>
      <c r="E17" s="73">
        <v>0</v>
      </c>
      <c r="F17" s="73">
        <v>0</v>
      </c>
      <c r="G17" s="19">
        <f t="shared" si="0"/>
        <v>0</v>
      </c>
      <c r="H17" s="19">
        <f t="shared" si="1"/>
        <v>0</v>
      </c>
    </row>
    <row r="18" spans="1:8">
      <c r="A18" s="16">
        <v>10</v>
      </c>
      <c r="B18" s="64">
        <v>14</v>
      </c>
      <c r="C18" s="16">
        <v>2</v>
      </c>
      <c r="D18" s="73">
        <v>0</v>
      </c>
      <c r="E18" s="73">
        <v>0</v>
      </c>
      <c r="F18" s="73">
        <v>0</v>
      </c>
      <c r="G18" s="19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4">
        <v>15.333333333333334</v>
      </c>
      <c r="C19" s="16">
        <v>2</v>
      </c>
      <c r="D19" s="73">
        <v>0</v>
      </c>
      <c r="E19" s="73">
        <v>0</v>
      </c>
      <c r="F19" s="73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4">
        <v>16.666666666666668</v>
      </c>
      <c r="C20" s="16">
        <v>2</v>
      </c>
      <c r="D20" s="73">
        <v>0</v>
      </c>
      <c r="E20" s="73">
        <v>0</v>
      </c>
      <c r="F20" s="73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4">
        <v>18</v>
      </c>
      <c r="C21" s="16">
        <v>2</v>
      </c>
      <c r="D21" s="73">
        <v>0</v>
      </c>
      <c r="E21" s="73">
        <v>0</v>
      </c>
      <c r="F21" s="73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4">
        <v>24</v>
      </c>
      <c r="C22" s="16">
        <v>2</v>
      </c>
      <c r="D22" s="73">
        <v>0</v>
      </c>
      <c r="E22" s="73">
        <v>0</v>
      </c>
      <c r="F22" s="73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4">
        <v>30</v>
      </c>
      <c r="C23" s="16">
        <v>2</v>
      </c>
      <c r="D23" s="73">
        <v>0</v>
      </c>
      <c r="E23" s="73">
        <v>0</v>
      </c>
      <c r="F23" s="73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4">
        <v>48</v>
      </c>
      <c r="C24" s="16">
        <v>2</v>
      </c>
      <c r="D24" s="73">
        <v>0</v>
      </c>
      <c r="E24" s="73">
        <v>0</v>
      </c>
      <c r="F24" s="73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13" sqref="G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56" t="s">
        <v>65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60</v>
      </c>
      <c r="C6" s="28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54">
        <v>0</v>
      </c>
      <c r="E7" s="54">
        <v>0</v>
      </c>
      <c r="F7" s="54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6">
        <v>0</v>
      </c>
      <c r="B8" s="64">
        <v>0.16666666666666666</v>
      </c>
      <c r="C8" s="16">
        <v>2</v>
      </c>
      <c r="D8" s="54">
        <v>2.5000000000000001E-2</v>
      </c>
      <c r="E8" s="54">
        <v>2.5000000000000001E-2</v>
      </c>
      <c r="F8" s="54">
        <v>2.4E-2</v>
      </c>
      <c r="G8" s="16">
        <f t="shared" ref="G8:G10" si="1">(C8*1000*AVERAGE(D8:F8))/$B$2</f>
        <v>1.0717647910782824</v>
      </c>
      <c r="H8" s="19">
        <f t="shared" si="0"/>
        <v>2.5085825296094995E-2</v>
      </c>
    </row>
    <row r="9" spans="1:8">
      <c r="A9" s="66">
        <v>1</v>
      </c>
      <c r="B9" s="64">
        <v>2</v>
      </c>
      <c r="C9" s="16">
        <v>2</v>
      </c>
      <c r="D9" s="54">
        <v>2.4E-2</v>
      </c>
      <c r="E9" s="54">
        <v>2.3E-2</v>
      </c>
      <c r="F9" s="54">
        <v>2.1999999999999999E-2</v>
      </c>
      <c r="G9" s="16">
        <f t="shared" si="1"/>
        <v>0.99934825114056058</v>
      </c>
      <c r="H9" s="19">
        <f t="shared" si="0"/>
        <v>4.34499239626331E-2</v>
      </c>
    </row>
    <row r="10" spans="1:8">
      <c r="A10" s="66">
        <v>2</v>
      </c>
      <c r="B10" s="64">
        <v>3.3333333333333335</v>
      </c>
      <c r="C10" s="16">
        <v>2</v>
      </c>
      <c r="D10" s="54">
        <v>2.1000000000000001E-2</v>
      </c>
      <c r="E10" s="54">
        <v>2.1000000000000001E-2</v>
      </c>
      <c r="F10" s="54">
        <v>0.02</v>
      </c>
      <c r="G10" s="16">
        <f t="shared" si="1"/>
        <v>0.89796509522775003</v>
      </c>
      <c r="H10" s="19">
        <f t="shared" ref="H10:H23" si="2">(C10*1000*STDEV(D10:F10))/$B$2</f>
        <v>2.5085825296094995E-2</v>
      </c>
    </row>
    <row r="11" spans="1:8">
      <c r="A11" s="66">
        <v>3</v>
      </c>
      <c r="B11" s="64">
        <v>4.666666666666667</v>
      </c>
      <c r="C11" s="16">
        <v>2</v>
      </c>
      <c r="D11" s="54">
        <v>1.6E-2</v>
      </c>
      <c r="E11" s="54">
        <v>1.7999999999999999E-2</v>
      </c>
      <c r="F11" s="54">
        <v>1.7000000000000001E-2</v>
      </c>
      <c r="G11" s="16">
        <f t="shared" ref="G11:G23" si="3">(C11*1000*AVERAGE(D11:F11))/$B$2</f>
        <v>0.73864870736476207</v>
      </c>
      <c r="H11" s="19">
        <f t="shared" si="2"/>
        <v>4.3449923962633023E-2</v>
      </c>
    </row>
    <row r="12" spans="1:8">
      <c r="A12" s="66">
        <v>4</v>
      </c>
      <c r="B12" s="64">
        <v>6</v>
      </c>
      <c r="C12" s="16">
        <v>2</v>
      </c>
      <c r="D12" s="54">
        <v>8.0000000000000002E-3</v>
      </c>
      <c r="E12" s="54">
        <v>8.9999999999999993E-3</v>
      </c>
      <c r="F12" s="54">
        <v>0.01</v>
      </c>
      <c r="G12" s="16">
        <f t="shared" si="3"/>
        <v>0.39104931566369766</v>
      </c>
      <c r="H12" s="19">
        <f t="shared" si="2"/>
        <v>4.3449923962633065E-2</v>
      </c>
    </row>
    <row r="13" spans="1:8">
      <c r="A13" s="66">
        <v>5</v>
      </c>
      <c r="B13" s="64">
        <v>7.333333333333333</v>
      </c>
      <c r="C13" s="16">
        <v>2</v>
      </c>
      <c r="D13" s="54">
        <v>0</v>
      </c>
      <c r="E13" s="54">
        <v>0</v>
      </c>
      <c r="F13" s="54">
        <v>0</v>
      </c>
      <c r="G13" s="16">
        <f t="shared" si="3"/>
        <v>0</v>
      </c>
      <c r="H13" s="19">
        <f t="shared" si="2"/>
        <v>0</v>
      </c>
    </row>
    <row r="14" spans="1:8">
      <c r="A14" s="66">
        <v>6</v>
      </c>
      <c r="B14" s="64">
        <v>8.6666666666666661</v>
      </c>
      <c r="C14" s="16">
        <v>2</v>
      </c>
      <c r="D14" s="54">
        <v>0</v>
      </c>
      <c r="E14" s="54">
        <v>0</v>
      </c>
      <c r="F14" s="54">
        <v>0</v>
      </c>
      <c r="G14" s="16">
        <f t="shared" si="3"/>
        <v>0</v>
      </c>
      <c r="H14" s="19">
        <f t="shared" si="2"/>
        <v>0</v>
      </c>
    </row>
    <row r="15" spans="1:8">
      <c r="A15" s="66">
        <v>7</v>
      </c>
      <c r="B15" s="64">
        <v>10</v>
      </c>
      <c r="C15" s="16">
        <v>2</v>
      </c>
      <c r="D15" s="54">
        <v>0</v>
      </c>
      <c r="E15" s="54">
        <v>0</v>
      </c>
      <c r="F15" s="54">
        <v>0</v>
      </c>
      <c r="G15" s="16">
        <f t="shared" si="3"/>
        <v>0</v>
      </c>
      <c r="H15" s="19">
        <f t="shared" si="2"/>
        <v>0</v>
      </c>
    </row>
    <row r="16" spans="1:8">
      <c r="A16" s="66">
        <v>8</v>
      </c>
      <c r="B16" s="64">
        <v>11.333333333333334</v>
      </c>
      <c r="C16" s="16">
        <v>2</v>
      </c>
      <c r="D16" s="54">
        <v>0</v>
      </c>
      <c r="E16" s="54">
        <v>0</v>
      </c>
      <c r="F16" s="54">
        <v>0</v>
      </c>
      <c r="G16" s="16">
        <f t="shared" si="3"/>
        <v>0</v>
      </c>
      <c r="H16" s="19">
        <f t="shared" si="2"/>
        <v>0</v>
      </c>
    </row>
    <row r="17" spans="1:8">
      <c r="A17" s="66">
        <v>9</v>
      </c>
      <c r="B17" s="64">
        <v>12.666666666666666</v>
      </c>
      <c r="C17" s="16">
        <v>2</v>
      </c>
      <c r="D17" s="54">
        <v>0</v>
      </c>
      <c r="E17" s="54">
        <v>0</v>
      </c>
      <c r="F17" s="54">
        <v>0</v>
      </c>
      <c r="G17" s="16">
        <f t="shared" si="3"/>
        <v>0</v>
      </c>
      <c r="H17" s="19">
        <f t="shared" si="2"/>
        <v>0</v>
      </c>
    </row>
    <row r="18" spans="1:8">
      <c r="A18" s="66">
        <v>10</v>
      </c>
      <c r="B18" s="64">
        <v>14</v>
      </c>
      <c r="C18" s="16">
        <v>2</v>
      </c>
      <c r="D18" s="54">
        <v>0</v>
      </c>
      <c r="E18" s="54">
        <v>0</v>
      </c>
      <c r="F18" s="54">
        <v>0</v>
      </c>
      <c r="G18" s="16">
        <f t="shared" si="3"/>
        <v>0</v>
      </c>
      <c r="H18" s="19">
        <f t="shared" si="2"/>
        <v>0</v>
      </c>
    </row>
    <row r="19" spans="1:8">
      <c r="A19" s="66">
        <v>11</v>
      </c>
      <c r="B19" s="64">
        <v>15.333333333333334</v>
      </c>
      <c r="C19" s="16">
        <v>2</v>
      </c>
      <c r="D19" s="54">
        <v>0</v>
      </c>
      <c r="E19" s="54">
        <v>0</v>
      </c>
      <c r="F19" s="54">
        <v>0</v>
      </c>
      <c r="G19" s="16">
        <f t="shared" si="3"/>
        <v>0</v>
      </c>
      <c r="H19" s="19">
        <f t="shared" si="2"/>
        <v>0</v>
      </c>
    </row>
    <row r="20" spans="1:8">
      <c r="A20" s="66">
        <v>12</v>
      </c>
      <c r="B20" s="64">
        <v>16.666666666666668</v>
      </c>
      <c r="C20" s="16">
        <v>2</v>
      </c>
      <c r="D20" s="54">
        <v>0</v>
      </c>
      <c r="E20" s="54">
        <v>0</v>
      </c>
      <c r="F20" s="54">
        <v>0</v>
      </c>
      <c r="G20" s="16">
        <f t="shared" si="3"/>
        <v>0</v>
      </c>
      <c r="H20" s="19">
        <f t="shared" si="2"/>
        <v>0</v>
      </c>
    </row>
    <row r="21" spans="1:8">
      <c r="A21" s="66">
        <v>13</v>
      </c>
      <c r="B21" s="64">
        <v>18</v>
      </c>
      <c r="C21" s="16">
        <v>2</v>
      </c>
      <c r="D21" s="54">
        <v>0</v>
      </c>
      <c r="E21" s="54">
        <v>0</v>
      </c>
      <c r="F21" s="54">
        <v>0</v>
      </c>
      <c r="G21" s="16">
        <f t="shared" si="3"/>
        <v>0</v>
      </c>
      <c r="H21" s="19">
        <f t="shared" si="2"/>
        <v>0</v>
      </c>
    </row>
    <row r="22" spans="1:8">
      <c r="A22" s="66">
        <v>14</v>
      </c>
      <c r="B22" s="64">
        <v>24</v>
      </c>
      <c r="C22" s="16">
        <v>2</v>
      </c>
      <c r="D22" s="54">
        <v>0</v>
      </c>
      <c r="E22" s="54">
        <v>0</v>
      </c>
      <c r="F22" s="54">
        <v>0</v>
      </c>
      <c r="G22" s="16">
        <f t="shared" si="3"/>
        <v>0</v>
      </c>
      <c r="H22" s="19">
        <f t="shared" si="2"/>
        <v>0</v>
      </c>
    </row>
    <row r="23" spans="1:8">
      <c r="A23" s="66">
        <v>15</v>
      </c>
      <c r="B23" s="64">
        <v>30</v>
      </c>
      <c r="C23" s="16">
        <v>2</v>
      </c>
      <c r="D23" s="54">
        <v>0</v>
      </c>
      <c r="E23" s="54">
        <v>0</v>
      </c>
      <c r="F23" s="54">
        <v>0</v>
      </c>
      <c r="G23" s="16">
        <f t="shared" si="3"/>
        <v>0</v>
      </c>
      <c r="H23" s="19">
        <f t="shared" si="2"/>
        <v>0</v>
      </c>
    </row>
    <row r="24" spans="1:8">
      <c r="A24" s="66">
        <v>16</v>
      </c>
      <c r="B24" s="64">
        <v>48</v>
      </c>
      <c r="C24" s="16">
        <v>2</v>
      </c>
      <c r="D24" s="54">
        <v>0</v>
      </c>
      <c r="E24" s="54">
        <v>0</v>
      </c>
      <c r="F24" s="54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56" t="s">
        <v>43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2" t="s">
        <v>4</v>
      </c>
      <c r="B6" s="22" t="s">
        <v>60</v>
      </c>
      <c r="C6" s="22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73">
        <v>2.9000000000000001E-2</v>
      </c>
      <c r="E7" s="73">
        <v>3.1E-2</v>
      </c>
      <c r="F7" s="73">
        <v>2.9000000000000001E-2</v>
      </c>
      <c r="G7" s="16">
        <f>(C7*1000*AVERAGE(D7:F7))/$B$2</f>
        <v>0.98806550097141266</v>
      </c>
      <c r="H7" s="19">
        <f>(C7*1000*STDEV(D7:F7))/$B$2</f>
        <v>3.8457969637943408E-2</v>
      </c>
    </row>
    <row r="8" spans="1:8">
      <c r="A8" s="66">
        <v>0</v>
      </c>
      <c r="B8" s="64">
        <v>0.16666666666666666</v>
      </c>
      <c r="C8" s="16">
        <v>2</v>
      </c>
      <c r="D8" s="73">
        <v>5.2999999999999999E-2</v>
      </c>
      <c r="E8" s="73">
        <v>5.1999999999999998E-2</v>
      </c>
      <c r="F8" s="73">
        <v>5.0999999999999997E-2</v>
      </c>
      <c r="G8" s="16">
        <f t="shared" ref="G8:G17" si="0">(C8*1000*AVERAGE(D8:F8))/$B$2</f>
        <v>1.7318900915903415</v>
      </c>
      <c r="H8" s="19">
        <f t="shared" ref="H8:H17" si="1">(C8*1000*STDEV(D8:F8))/$B$2</f>
        <v>3.3305578684429675E-2</v>
      </c>
    </row>
    <row r="9" spans="1:8">
      <c r="A9" s="66">
        <v>1</v>
      </c>
      <c r="B9" s="64">
        <v>2</v>
      </c>
      <c r="C9" s="16">
        <v>2</v>
      </c>
      <c r="D9" s="73">
        <v>5.8000000000000003E-2</v>
      </c>
      <c r="E9" s="73">
        <v>6.3E-2</v>
      </c>
      <c r="F9" s="73">
        <v>5.8000000000000003E-2</v>
      </c>
      <c r="G9" s="16">
        <f t="shared" si="0"/>
        <v>1.987232861504302</v>
      </c>
      <c r="H9" s="19">
        <f t="shared" si="1"/>
        <v>9.614492409485853E-2</v>
      </c>
    </row>
    <row r="10" spans="1:8">
      <c r="A10" s="66">
        <v>2</v>
      </c>
      <c r="B10" s="64">
        <v>3.3333333333333335</v>
      </c>
      <c r="C10" s="16">
        <v>2</v>
      </c>
      <c r="D10" s="73">
        <v>6.7000000000000004E-2</v>
      </c>
      <c r="E10" s="73">
        <v>6.8000000000000005E-2</v>
      </c>
      <c r="F10" s="73">
        <v>6.0999999999999999E-2</v>
      </c>
      <c r="G10" s="16">
        <f t="shared" si="0"/>
        <v>2.1759644740494037</v>
      </c>
      <c r="H10" s="19">
        <f t="shared" si="1"/>
        <v>0.12609288583514358</v>
      </c>
    </row>
    <row r="11" spans="1:8">
      <c r="A11" s="66">
        <v>3</v>
      </c>
      <c r="B11" s="64">
        <v>4.666666666666667</v>
      </c>
      <c r="C11" s="16">
        <v>2</v>
      </c>
      <c r="D11" s="73">
        <v>8.2000000000000003E-2</v>
      </c>
      <c r="E11" s="73">
        <v>8.1000000000000003E-2</v>
      </c>
      <c r="F11" s="73">
        <v>8.4000000000000005E-2</v>
      </c>
      <c r="G11" s="16">
        <f t="shared" si="0"/>
        <v>2.7421593116847069</v>
      </c>
      <c r="H11" s="19">
        <f t="shared" si="1"/>
        <v>5.0875111795235566E-2</v>
      </c>
    </row>
    <row r="12" spans="1:8">
      <c r="A12" s="66">
        <v>4</v>
      </c>
      <c r="B12" s="64">
        <v>6</v>
      </c>
      <c r="C12" s="16">
        <v>2</v>
      </c>
      <c r="D12" s="73">
        <v>0.108</v>
      </c>
      <c r="E12" s="73">
        <v>0.111</v>
      </c>
      <c r="F12" s="73">
        <v>0.11</v>
      </c>
      <c r="G12" s="16">
        <f t="shared" si="0"/>
        <v>3.6525117957257844</v>
      </c>
      <c r="H12" s="19">
        <f t="shared" si="1"/>
        <v>5.0875111795235566E-2</v>
      </c>
    </row>
    <row r="13" spans="1:8">
      <c r="A13" s="66">
        <v>5</v>
      </c>
      <c r="B13" s="64">
        <v>7.333333333333333</v>
      </c>
      <c r="C13" s="16">
        <v>2</v>
      </c>
      <c r="D13" s="73">
        <v>0.191</v>
      </c>
      <c r="E13" s="73">
        <v>0.192</v>
      </c>
      <c r="F13" s="73">
        <v>0.192</v>
      </c>
      <c r="G13" s="16">
        <f t="shared" si="0"/>
        <v>6.3835692478490147</v>
      </c>
      <c r="H13" s="19">
        <f t="shared" si="1"/>
        <v>1.9228984818971735E-2</v>
      </c>
    </row>
    <row r="14" spans="1:8">
      <c r="A14" s="66">
        <v>6</v>
      </c>
      <c r="B14" s="64">
        <v>8.6666666666666661</v>
      </c>
      <c r="C14" s="16">
        <v>2</v>
      </c>
      <c r="D14" s="73">
        <v>0.315</v>
      </c>
      <c r="E14" s="73">
        <v>0.311</v>
      </c>
      <c r="F14" s="73">
        <v>0.32</v>
      </c>
      <c r="G14" s="16">
        <f t="shared" si="0"/>
        <v>10.502359145156813</v>
      </c>
      <c r="H14" s="19">
        <f t="shared" si="1"/>
        <v>0.15018317245038798</v>
      </c>
    </row>
    <row r="15" spans="1:8">
      <c r="A15" s="66">
        <v>7</v>
      </c>
      <c r="B15" s="64">
        <v>10</v>
      </c>
      <c r="C15" s="16">
        <v>2</v>
      </c>
      <c r="D15" s="19">
        <v>0.56399999999999995</v>
      </c>
      <c r="E15" s="19">
        <v>0.56899999999999995</v>
      </c>
      <c r="F15" s="19">
        <v>0.56399999999999995</v>
      </c>
      <c r="G15" s="16">
        <f t="shared" si="0"/>
        <v>18.839855675825699</v>
      </c>
      <c r="H15" s="19">
        <f t="shared" si="1"/>
        <v>9.6144924094858683E-2</v>
      </c>
    </row>
    <row r="16" spans="1:8">
      <c r="A16" s="66">
        <v>8</v>
      </c>
      <c r="B16" s="64">
        <v>11.333333333333334</v>
      </c>
      <c r="C16" s="16">
        <v>2</v>
      </c>
      <c r="D16" s="19">
        <v>0.98299999999999998</v>
      </c>
      <c r="E16" s="19">
        <v>0.98099999999999998</v>
      </c>
      <c r="F16" s="19">
        <v>0.98599999999999999</v>
      </c>
      <c r="G16" s="16">
        <f t="shared" si="0"/>
        <v>32.750485706355818</v>
      </c>
      <c r="H16" s="19">
        <f t="shared" si="1"/>
        <v>8.3817201612775533E-2</v>
      </c>
    </row>
    <row r="17" spans="1:8">
      <c r="A17" s="66">
        <v>9</v>
      </c>
      <c r="B17" s="64">
        <v>12.666666666666666</v>
      </c>
      <c r="C17" s="16">
        <v>2</v>
      </c>
      <c r="D17" s="19">
        <v>1.1619999999999999</v>
      </c>
      <c r="E17" s="19">
        <v>1.1519999999999999</v>
      </c>
      <c r="F17" s="19">
        <v>1.143</v>
      </c>
      <c r="G17" s="16">
        <f t="shared" si="0"/>
        <v>38.379128504024422</v>
      </c>
      <c r="H17" s="19">
        <f t="shared" si="1"/>
        <v>0.31654904089665692</v>
      </c>
    </row>
    <row r="18" spans="1:8">
      <c r="A18" s="66">
        <v>10</v>
      </c>
      <c r="B18" s="64">
        <v>14</v>
      </c>
      <c r="C18" s="16">
        <v>2</v>
      </c>
      <c r="D18" s="19">
        <v>1.2210000000000001</v>
      </c>
      <c r="E18" s="19">
        <v>1.1739999999999999</v>
      </c>
      <c r="F18" s="19">
        <v>1.2190000000000001</v>
      </c>
      <c r="G18" s="16">
        <f t="shared" ref="G18:G23" si="2">(C18*1000*AVERAGE(D18:F18))/$B$2</f>
        <v>40.122120455176237</v>
      </c>
      <c r="H18" s="19">
        <f t="shared" ref="H18:H23" si="3">(C18*1000*STDEV(D18:F18))/$B$2</f>
        <v>0.88516011169703968</v>
      </c>
    </row>
    <row r="19" spans="1:8">
      <c r="A19" s="66">
        <v>11</v>
      </c>
      <c r="B19" s="64">
        <v>15.333333333333334</v>
      </c>
      <c r="C19" s="16">
        <v>2</v>
      </c>
      <c r="D19" s="19">
        <v>1.1970000000000001</v>
      </c>
      <c r="E19" s="19">
        <v>1.206</v>
      </c>
      <c r="F19" s="19">
        <v>1.216</v>
      </c>
      <c r="G19" s="16">
        <f t="shared" si="2"/>
        <v>40.177629752983627</v>
      </c>
      <c r="H19" s="19">
        <f t="shared" si="3"/>
        <v>0.31654904089665692</v>
      </c>
    </row>
    <row r="20" spans="1:8">
      <c r="A20" s="66">
        <v>12</v>
      </c>
      <c r="B20" s="64">
        <v>16.666666666666668</v>
      </c>
      <c r="C20" s="16">
        <v>2</v>
      </c>
      <c r="D20" s="19">
        <v>1.2669999999999999</v>
      </c>
      <c r="E20" s="19">
        <v>1.2669999999999999</v>
      </c>
      <c r="F20" s="19">
        <v>1.2669999999999999</v>
      </c>
      <c r="G20" s="16">
        <f t="shared" si="2"/>
        <v>42.198168193172357</v>
      </c>
      <c r="H20" s="19">
        <f t="shared" si="3"/>
        <v>0</v>
      </c>
    </row>
    <row r="21" spans="1:8">
      <c r="A21" s="66">
        <v>13</v>
      </c>
      <c r="B21" s="64">
        <v>18</v>
      </c>
      <c r="C21" s="16">
        <v>2</v>
      </c>
      <c r="D21" s="19">
        <v>1.2529999999999999</v>
      </c>
      <c r="E21" s="19">
        <v>1.264</v>
      </c>
      <c r="F21" s="19">
        <v>1.2609999999999999</v>
      </c>
      <c r="G21" s="16">
        <f t="shared" si="2"/>
        <v>41.942825423258398</v>
      </c>
      <c r="H21" s="19">
        <f t="shared" si="3"/>
        <v>0.18938353715495015</v>
      </c>
    </row>
    <row r="22" spans="1:8">
      <c r="A22" s="66">
        <v>14</v>
      </c>
      <c r="B22" s="64">
        <v>24</v>
      </c>
      <c r="C22" s="16">
        <v>2</v>
      </c>
      <c r="D22" s="19">
        <v>1.254</v>
      </c>
      <c r="E22" s="19">
        <v>1.228</v>
      </c>
      <c r="F22" s="19">
        <v>1.2090000000000001</v>
      </c>
      <c r="G22" s="16">
        <f t="shared" si="2"/>
        <v>40.976963641409945</v>
      </c>
      <c r="H22" s="19">
        <f t="shared" si="3"/>
        <v>0.75239162364062839</v>
      </c>
    </row>
    <row r="23" spans="1:8">
      <c r="A23" s="66">
        <v>15</v>
      </c>
      <c r="B23" s="64">
        <v>30</v>
      </c>
      <c r="C23" s="16">
        <v>2</v>
      </c>
      <c r="D23" s="19">
        <v>1.25</v>
      </c>
      <c r="E23" s="19">
        <v>1.2549999999999999</v>
      </c>
      <c r="F23" s="19">
        <v>1.2330000000000001</v>
      </c>
      <c r="G23" s="16">
        <f t="shared" si="2"/>
        <v>41.498751040799334</v>
      </c>
      <c r="H23" s="19">
        <f t="shared" si="3"/>
        <v>0.38409867092991512</v>
      </c>
    </row>
    <row r="24" spans="1:8">
      <c r="A24" s="66">
        <v>16</v>
      </c>
      <c r="B24" s="64">
        <v>48</v>
      </c>
      <c r="C24" s="16">
        <v>2</v>
      </c>
      <c r="D24" s="19">
        <v>1.1950000000000001</v>
      </c>
      <c r="E24" s="19">
        <v>1.222</v>
      </c>
      <c r="F24" s="19">
        <v>1.216</v>
      </c>
      <c r="G24" s="16">
        <f t="shared" ref="G24" si="4">(C24*1000*AVERAGE(D24:F24))/$B$2</f>
        <v>40.333055786844298</v>
      </c>
      <c r="H24" s="19">
        <f t="shared" ref="H24" si="5">(C24*1000*STDEV(D24:F24))/$B$2</f>
        <v>0.47218807256478856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56" t="s">
        <v>67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60</v>
      </c>
      <c r="C6" s="28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6">
        <v>0</v>
      </c>
      <c r="B8" s="64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6">
        <v>1</v>
      </c>
      <c r="B9" s="64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6">
        <v>2</v>
      </c>
      <c r="B10" s="64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6">
        <v>3</v>
      </c>
      <c r="B11" s="64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6">
        <v>4</v>
      </c>
      <c r="B12" s="64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6">
        <v>5</v>
      </c>
      <c r="B13" s="64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6">
        <v>6</v>
      </c>
      <c r="B14" s="64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6">
        <v>7</v>
      </c>
      <c r="B15" s="64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6">
        <v>8</v>
      </c>
      <c r="B16" s="64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6">
        <v>9</v>
      </c>
      <c r="B17" s="64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6">
        <v>10</v>
      </c>
      <c r="B18" s="64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6">
        <v>11</v>
      </c>
      <c r="B19" s="64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6">
        <v>12</v>
      </c>
      <c r="B20" s="64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6">
        <v>13</v>
      </c>
      <c r="B21" s="64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6">
        <v>14</v>
      </c>
      <c r="B22" s="64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6">
        <v>15</v>
      </c>
      <c r="B23" s="64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6">
        <v>16</v>
      </c>
      <c r="B24" s="64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56" t="s">
        <v>66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60</v>
      </c>
      <c r="C6" s="28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79">
        <v>1.4999999999999999E-2</v>
      </c>
      <c r="E7" s="80">
        <v>1.4999999999999999E-2</v>
      </c>
      <c r="F7" s="80">
        <v>8.0000000000000002E-3</v>
      </c>
      <c r="G7" s="16">
        <f>(C7*1000*AVERAGE(D7:F7))/$B$2</f>
        <v>0.28751938864298415</v>
      </c>
      <c r="H7" s="19">
        <f>(C7*1000*STDEV(D7:F7))/$B$2</f>
        <v>9.1736508553566715E-2</v>
      </c>
    </row>
    <row r="8" spans="1:8">
      <c r="A8" s="66">
        <v>0</v>
      </c>
      <c r="B8" s="64">
        <v>0.16666666666666666</v>
      </c>
      <c r="C8" s="16">
        <v>2</v>
      </c>
      <c r="D8" s="55">
        <v>9.1999999999999998E-2</v>
      </c>
      <c r="E8" s="56">
        <v>0.09</v>
      </c>
      <c r="F8" s="56">
        <v>9.0999999999999998E-2</v>
      </c>
      <c r="G8" s="16">
        <f>(C8*1000*AVERAGE(D8:F8))/$B$2</f>
        <v>2.0655998184088076</v>
      </c>
      <c r="H8" s="19">
        <f t="shared" ref="H8:H17" si="0">(C8*1000*STDEV(D8:F8))/$B$2</f>
        <v>2.2698899103393507E-2</v>
      </c>
    </row>
    <row r="9" spans="1:8">
      <c r="A9" s="66">
        <v>1</v>
      </c>
      <c r="B9" s="64">
        <v>2</v>
      </c>
      <c r="C9" s="16">
        <v>2</v>
      </c>
      <c r="D9" s="55">
        <v>0.13100000000000001</v>
      </c>
      <c r="E9" s="56">
        <v>0.125</v>
      </c>
      <c r="F9" s="56">
        <v>0.13200000000000001</v>
      </c>
      <c r="G9" s="16">
        <f t="shared" ref="G9:G17" si="1">(C9*1000*AVERAGE(D9:F9))/$B$2</f>
        <v>2.9357242840388902</v>
      </c>
      <c r="H9" s="19">
        <f t="shared" si="0"/>
        <v>8.5936645039159806E-2</v>
      </c>
    </row>
    <row r="10" spans="1:8">
      <c r="A10" s="66">
        <v>2</v>
      </c>
      <c r="B10" s="64">
        <v>3.3333333333333335</v>
      </c>
      <c r="C10" s="16">
        <v>2</v>
      </c>
      <c r="D10" s="54">
        <v>0.16200000000000001</v>
      </c>
      <c r="E10" s="54">
        <v>0.16</v>
      </c>
      <c r="F10" s="54">
        <v>0.155</v>
      </c>
      <c r="G10" s="16">
        <f t="shared" si="1"/>
        <v>3.6091249574395641</v>
      </c>
      <c r="H10" s="19">
        <f t="shared" si="0"/>
        <v>8.1842044613868861E-2</v>
      </c>
    </row>
    <row r="11" spans="1:8">
      <c r="A11" s="66">
        <v>3</v>
      </c>
      <c r="B11" s="64">
        <v>4.666666666666667</v>
      </c>
      <c r="C11" s="16">
        <v>2</v>
      </c>
      <c r="D11" s="54">
        <v>0.20300000000000001</v>
      </c>
      <c r="E11" s="54">
        <v>0.193</v>
      </c>
      <c r="F11" s="54">
        <v>0.19500000000000001</v>
      </c>
      <c r="G11" s="16">
        <f t="shared" si="1"/>
        <v>4.4716831233685159</v>
      </c>
      <c r="H11" s="19">
        <f t="shared" si="0"/>
        <v>0.12011128412505245</v>
      </c>
    </row>
    <row r="12" spans="1:8">
      <c r="A12" s="66">
        <v>4</v>
      </c>
      <c r="B12" s="64">
        <v>6</v>
      </c>
      <c r="C12" s="16">
        <v>2</v>
      </c>
      <c r="D12" s="54">
        <v>0.27</v>
      </c>
      <c r="E12" s="54">
        <v>0.26900000000000002</v>
      </c>
      <c r="F12" s="54">
        <v>0.26900000000000002</v>
      </c>
      <c r="G12" s="16">
        <f t="shared" si="1"/>
        <v>6.1135701585139799</v>
      </c>
      <c r="H12" s="19">
        <f t="shared" si="0"/>
        <v>1.3105215507652396E-2</v>
      </c>
    </row>
    <row r="13" spans="1:8">
      <c r="A13" s="66">
        <v>5</v>
      </c>
      <c r="B13" s="64">
        <v>7.333333333333333</v>
      </c>
      <c r="C13" s="16">
        <v>2</v>
      </c>
      <c r="D13" s="54">
        <v>0.36</v>
      </c>
      <c r="E13" s="54">
        <v>0.378</v>
      </c>
      <c r="F13" s="54">
        <v>0.35899999999999999</v>
      </c>
      <c r="G13" s="16">
        <f t="shared" si="1"/>
        <v>8.3002307721408837</v>
      </c>
      <c r="H13" s="19">
        <f t="shared" si="0"/>
        <v>0.24271198777808731</v>
      </c>
    </row>
    <row r="14" spans="1:8">
      <c r="A14" s="66">
        <v>6</v>
      </c>
      <c r="B14" s="64">
        <v>8.6666666666666661</v>
      </c>
      <c r="C14" s="16">
        <v>2</v>
      </c>
      <c r="D14" s="57">
        <v>0.58099999999999996</v>
      </c>
      <c r="E14" s="57">
        <v>0.58299999999999996</v>
      </c>
      <c r="F14" s="57">
        <v>0.58399999999999996</v>
      </c>
      <c r="G14" s="16">
        <f t="shared" si="1"/>
        <v>13.225891877577267</v>
      </c>
      <c r="H14" s="19">
        <f t="shared" si="0"/>
        <v>3.4673141111155326E-2</v>
      </c>
    </row>
    <row r="15" spans="1:8">
      <c r="A15" s="66">
        <v>7</v>
      </c>
      <c r="B15" s="64">
        <v>10</v>
      </c>
      <c r="C15" s="16">
        <v>2</v>
      </c>
      <c r="D15" s="57">
        <v>0.79100000000000004</v>
      </c>
      <c r="E15" s="57">
        <v>0.79100000000000004</v>
      </c>
      <c r="F15" s="57">
        <v>0.79300000000000004</v>
      </c>
      <c r="G15" s="16">
        <f t="shared" si="1"/>
        <v>17.96996179018651</v>
      </c>
      <c r="H15" s="19">
        <f t="shared" si="0"/>
        <v>2.6210431015304791E-2</v>
      </c>
    </row>
    <row r="16" spans="1:8">
      <c r="A16" s="66">
        <v>8</v>
      </c>
      <c r="B16" s="64">
        <v>11.333333333333334</v>
      </c>
      <c r="C16" s="16">
        <v>2</v>
      </c>
      <c r="D16" s="57">
        <v>1.056</v>
      </c>
      <c r="E16" s="57">
        <v>1.0589999999999999</v>
      </c>
      <c r="F16" s="57">
        <v>1.0669999999999999</v>
      </c>
      <c r="G16" s="16">
        <f t="shared" si="1"/>
        <v>24.075965648999365</v>
      </c>
      <c r="H16" s="19">
        <f t="shared" si="0"/>
        <v>0.12907140399676054</v>
      </c>
    </row>
    <row r="17" spans="1:8">
      <c r="A17" s="66">
        <v>9</v>
      </c>
      <c r="B17" s="64">
        <v>12.666666666666666</v>
      </c>
      <c r="C17" s="16">
        <v>2</v>
      </c>
      <c r="D17" s="57">
        <v>1.125</v>
      </c>
      <c r="E17" s="57">
        <v>1.113</v>
      </c>
      <c r="F17" s="57">
        <v>1.143</v>
      </c>
      <c r="G17" s="16">
        <f t="shared" si="1"/>
        <v>25.58165928952446</v>
      </c>
      <c r="H17" s="19">
        <f t="shared" si="0"/>
        <v>0.34274586018707331</v>
      </c>
    </row>
    <row r="18" spans="1:8">
      <c r="A18" s="66">
        <v>10</v>
      </c>
      <c r="B18" s="64">
        <v>14</v>
      </c>
      <c r="C18" s="16">
        <v>2</v>
      </c>
      <c r="D18" s="57">
        <v>1.163</v>
      </c>
      <c r="E18" s="57">
        <v>1.1100000000000001</v>
      </c>
      <c r="F18" s="57">
        <v>1.163</v>
      </c>
      <c r="G18" s="16">
        <f t="shared" ref="G18:G23" si="2">(C18*1000*AVERAGE(D18:F18))/$B$2</f>
        <v>25.997805773086672</v>
      </c>
      <c r="H18" s="19">
        <f t="shared" ref="H18:H23" si="3">(C18*1000*STDEV(D18:F18))/$B$2</f>
        <v>0.69457642190557545</v>
      </c>
    </row>
    <row r="19" spans="1:8">
      <c r="A19" s="66">
        <v>11</v>
      </c>
      <c r="B19" s="64">
        <v>15.333333333333334</v>
      </c>
      <c r="C19" s="16">
        <v>2</v>
      </c>
      <c r="D19" s="57">
        <v>1.135</v>
      </c>
      <c r="E19" s="57">
        <v>1.131</v>
      </c>
      <c r="F19" s="57">
        <v>1.1399999999999999</v>
      </c>
      <c r="G19" s="16">
        <f t="shared" si="2"/>
        <v>25.770816782052737</v>
      </c>
      <c r="H19" s="19">
        <f t="shared" si="3"/>
        <v>0.10235500517132766</v>
      </c>
    </row>
    <row r="20" spans="1:8">
      <c r="A20" s="66">
        <v>12</v>
      </c>
      <c r="B20" s="64">
        <v>16.666666666666668</v>
      </c>
      <c r="C20" s="16">
        <v>2</v>
      </c>
      <c r="D20" s="57">
        <v>1.198</v>
      </c>
      <c r="E20" s="57">
        <v>1.196</v>
      </c>
      <c r="F20" s="57">
        <v>1.206</v>
      </c>
      <c r="G20" s="16">
        <f t="shared" si="2"/>
        <v>27.238678924072182</v>
      </c>
      <c r="H20" s="19">
        <f t="shared" si="3"/>
        <v>0.12011128412505245</v>
      </c>
    </row>
    <row r="21" spans="1:8">
      <c r="A21" s="66">
        <v>13</v>
      </c>
      <c r="B21" s="64">
        <v>18</v>
      </c>
      <c r="C21" s="16">
        <v>2</v>
      </c>
      <c r="D21" s="57">
        <v>1.1859999999999999</v>
      </c>
      <c r="E21" s="57">
        <v>1.2170000000000001</v>
      </c>
      <c r="F21" s="57">
        <v>1.1990000000000001</v>
      </c>
      <c r="G21" s="16">
        <f t="shared" si="2"/>
        <v>27.253811523474447</v>
      </c>
      <c r="H21" s="19">
        <f t="shared" si="3"/>
        <v>0.3533551069900705</v>
      </c>
    </row>
    <row r="22" spans="1:8">
      <c r="A22" s="66">
        <v>14</v>
      </c>
      <c r="B22" s="64">
        <v>24</v>
      </c>
      <c r="C22" s="16">
        <v>2</v>
      </c>
      <c r="D22" s="57">
        <v>1.2130000000000001</v>
      </c>
      <c r="E22" s="57">
        <v>1.1950000000000001</v>
      </c>
      <c r="F22" s="57">
        <v>1.181</v>
      </c>
      <c r="G22" s="16">
        <f t="shared" si="2"/>
        <v>27.155449627359744</v>
      </c>
      <c r="H22" s="19">
        <f t="shared" si="3"/>
        <v>0.36412694481945984</v>
      </c>
    </row>
    <row r="23" spans="1:8">
      <c r="A23" s="66">
        <v>15</v>
      </c>
      <c r="B23" s="64">
        <v>30</v>
      </c>
      <c r="C23" s="16">
        <v>2</v>
      </c>
      <c r="D23" s="57">
        <v>1.24</v>
      </c>
      <c r="E23" s="57">
        <v>1.234</v>
      </c>
      <c r="F23" s="57">
        <v>1.216</v>
      </c>
      <c r="G23" s="16">
        <f t="shared" si="2"/>
        <v>27.919645897173993</v>
      </c>
      <c r="H23" s="19">
        <f t="shared" si="3"/>
        <v>0.28350915893307926</v>
      </c>
    </row>
    <row r="24" spans="1:8">
      <c r="A24" s="66">
        <v>16</v>
      </c>
      <c r="B24" s="64">
        <v>48</v>
      </c>
      <c r="C24" s="16">
        <v>2</v>
      </c>
      <c r="D24" s="57">
        <v>1.321</v>
      </c>
      <c r="E24" s="57">
        <v>1.339</v>
      </c>
      <c r="F24" s="57">
        <v>1.3420000000000001</v>
      </c>
      <c r="G24" s="16">
        <f t="shared" ref="G24" si="4">(C24*1000*AVERAGE(D24:F24))/$B$2</f>
        <v>30.280331403926915</v>
      </c>
      <c r="H24" s="19">
        <f t="shared" ref="H24" si="5">(C24*1000*STDEV(D24:F24))/$B$2</f>
        <v>0.25780993511748029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28" t="s">
        <v>4</v>
      </c>
      <c r="B1" s="128" t="s">
        <v>117</v>
      </c>
      <c r="C1" s="128" t="s">
        <v>117</v>
      </c>
      <c r="D1" s="128" t="s">
        <v>5</v>
      </c>
      <c r="E1" s="4" t="s">
        <v>7</v>
      </c>
      <c r="F1" s="4" t="s">
        <v>9</v>
      </c>
      <c r="G1" s="127" t="s">
        <v>11</v>
      </c>
      <c r="H1" s="127" t="s">
        <v>12</v>
      </c>
      <c r="I1" s="4" t="s">
        <v>13</v>
      </c>
      <c r="J1" s="4" t="s">
        <v>16</v>
      </c>
      <c r="K1" s="4" t="s">
        <v>16</v>
      </c>
    </row>
    <row r="2" spans="1:11">
      <c r="A2" s="129"/>
      <c r="B2" s="129"/>
      <c r="C2" s="129"/>
      <c r="D2" s="129"/>
      <c r="E2" s="5" t="s">
        <v>8</v>
      </c>
      <c r="F2" s="5" t="s">
        <v>10</v>
      </c>
      <c r="G2" s="127"/>
      <c r="H2" s="127"/>
      <c r="I2" s="5" t="s">
        <v>14</v>
      </c>
      <c r="J2" s="5" t="s">
        <v>17</v>
      </c>
      <c r="K2" s="5" t="s">
        <v>138</v>
      </c>
    </row>
    <row r="3" spans="1:11">
      <c r="A3" s="32" t="s">
        <v>6</v>
      </c>
      <c r="B3" s="31">
        <v>-10</v>
      </c>
      <c r="C3" s="31">
        <f>B3</f>
        <v>-10</v>
      </c>
      <c r="D3" s="13">
        <f>C3/60</f>
        <v>-0.16666666666666666</v>
      </c>
      <c r="E3" s="3">
        <v>47</v>
      </c>
      <c r="F3" s="1">
        <f>E3</f>
        <v>47</v>
      </c>
      <c r="G3" s="1">
        <v>0</v>
      </c>
      <c r="H3" s="1">
        <v>0</v>
      </c>
      <c r="I3" s="1">
        <f>$F$22+G3+H3</f>
        <v>1500</v>
      </c>
      <c r="J3" s="13">
        <f>F3*1500/I3</f>
        <v>47</v>
      </c>
      <c r="K3" s="13">
        <f>$F$23-J3</f>
        <v>1603</v>
      </c>
    </row>
    <row r="4" spans="1:11">
      <c r="A4" s="1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1">
        <v>47</v>
      </c>
      <c r="F4" s="1">
        <f>E4+F3</f>
        <v>94</v>
      </c>
      <c r="G4" s="39">
        <v>1</v>
      </c>
      <c r="H4" s="39">
        <v>0</v>
      </c>
      <c r="I4" s="1">
        <f t="shared" ref="I4:I20" si="1">$F$23-F3+G4+H4</f>
        <v>1604</v>
      </c>
      <c r="J4" s="13">
        <f>E4*K3/I4</f>
        <v>46.970698254364088</v>
      </c>
      <c r="K4" s="13">
        <f>K3-J4</f>
        <v>1556.0293017456358</v>
      </c>
    </row>
    <row r="5" spans="1:11">
      <c r="A5" s="1">
        <v>1</v>
      </c>
      <c r="B5" s="31">
        <v>110</v>
      </c>
      <c r="C5" s="31">
        <f>C4+B5</f>
        <v>120</v>
      </c>
      <c r="D5" s="13">
        <f t="shared" si="0"/>
        <v>2</v>
      </c>
      <c r="E5" s="1">
        <v>46</v>
      </c>
      <c r="F5" s="1">
        <f t="shared" ref="F5:F18" si="2">E5+F4</f>
        <v>140</v>
      </c>
      <c r="G5" s="39">
        <v>3</v>
      </c>
      <c r="H5" s="39">
        <v>0</v>
      </c>
      <c r="I5" s="39">
        <f t="shared" si="1"/>
        <v>1559</v>
      </c>
      <c r="J5" s="13">
        <f t="shared" ref="J5:J13" si="3">E5*K4/I5</f>
        <v>45.912346299101507</v>
      </c>
      <c r="K5" s="13">
        <f>K4-J5</f>
        <v>1510.1169554465343</v>
      </c>
    </row>
    <row r="6" spans="1:11">
      <c r="A6" s="1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>
        <v>43</v>
      </c>
      <c r="F6" s="1">
        <f t="shared" si="2"/>
        <v>183</v>
      </c>
      <c r="G6" s="39">
        <v>4</v>
      </c>
      <c r="H6" s="39">
        <v>0</v>
      </c>
      <c r="I6" s="39">
        <f t="shared" si="1"/>
        <v>1514</v>
      </c>
      <c r="J6" s="13">
        <f>E6*K5/I6</f>
        <v>42.889715379260885</v>
      </c>
      <c r="K6" s="13">
        <f t="shared" ref="K6:K13" si="4">K5-J6</f>
        <v>1467.2272400672734</v>
      </c>
    </row>
    <row r="7" spans="1:11">
      <c r="A7" s="1">
        <v>3</v>
      </c>
      <c r="B7" s="31">
        <v>80</v>
      </c>
      <c r="C7" s="31">
        <f>C6+B7</f>
        <v>280</v>
      </c>
      <c r="D7" s="13">
        <f t="shared" si="0"/>
        <v>4.666666666666667</v>
      </c>
      <c r="E7" s="1">
        <v>44</v>
      </c>
      <c r="F7" s="1">
        <f t="shared" si="2"/>
        <v>227</v>
      </c>
      <c r="G7" s="39">
        <v>6</v>
      </c>
      <c r="H7" s="39">
        <v>0</v>
      </c>
      <c r="I7" s="39">
        <f t="shared" si="1"/>
        <v>1473</v>
      </c>
      <c r="J7" s="13">
        <f>E7*K6/I7</f>
        <v>43.827561821425682</v>
      </c>
      <c r="K7" s="13">
        <f>K6-J7</f>
        <v>1423.3996782458478</v>
      </c>
    </row>
    <row r="8" spans="1:11">
      <c r="A8" s="1">
        <v>4</v>
      </c>
      <c r="B8" s="31">
        <v>80</v>
      </c>
      <c r="C8" s="31">
        <f t="shared" ref="C8:C18" si="5">C7+B8</f>
        <v>360</v>
      </c>
      <c r="D8" s="13">
        <f t="shared" si="0"/>
        <v>6</v>
      </c>
      <c r="E8" s="1">
        <v>44</v>
      </c>
      <c r="F8" s="1">
        <f t="shared" si="2"/>
        <v>271</v>
      </c>
      <c r="G8" s="39">
        <v>10</v>
      </c>
      <c r="H8" s="39">
        <v>0</v>
      </c>
      <c r="I8" s="39">
        <f t="shared" si="1"/>
        <v>1433</v>
      </c>
      <c r="J8" s="13">
        <f t="shared" si="3"/>
        <v>43.705223895894839</v>
      </c>
      <c r="K8" s="13">
        <f t="shared" si="4"/>
        <v>1379.694454349953</v>
      </c>
    </row>
    <row r="9" spans="1:11">
      <c r="A9" s="1">
        <v>5</v>
      </c>
      <c r="B9" s="31">
        <v>80</v>
      </c>
      <c r="C9" s="31">
        <f t="shared" si="5"/>
        <v>440</v>
      </c>
      <c r="D9" s="13">
        <f t="shared" si="0"/>
        <v>7.333333333333333</v>
      </c>
      <c r="E9" s="1">
        <v>42</v>
      </c>
      <c r="F9" s="1">
        <f t="shared" si="2"/>
        <v>313</v>
      </c>
      <c r="G9" s="39">
        <v>16</v>
      </c>
      <c r="H9" s="39">
        <v>0</v>
      </c>
      <c r="I9" s="39">
        <f t="shared" si="1"/>
        <v>1395</v>
      </c>
      <c r="J9" s="13">
        <f t="shared" si="3"/>
        <v>41.539187872901813</v>
      </c>
      <c r="K9" s="13">
        <f t="shared" si="4"/>
        <v>1338.1552664770513</v>
      </c>
    </row>
    <row r="10" spans="1:11">
      <c r="A10" s="1">
        <v>6</v>
      </c>
      <c r="B10" s="31">
        <v>80</v>
      </c>
      <c r="C10" s="31">
        <f t="shared" si="5"/>
        <v>520</v>
      </c>
      <c r="D10" s="13">
        <f t="shared" si="0"/>
        <v>8.6666666666666661</v>
      </c>
      <c r="E10" s="1">
        <v>42</v>
      </c>
      <c r="F10" s="1">
        <f t="shared" si="2"/>
        <v>355</v>
      </c>
      <c r="G10" s="39">
        <v>27</v>
      </c>
      <c r="H10" s="39">
        <v>0</v>
      </c>
      <c r="I10" s="39">
        <f t="shared" si="1"/>
        <v>1364</v>
      </c>
      <c r="J10" s="13">
        <f t="shared" si="3"/>
        <v>41.204194422313897</v>
      </c>
      <c r="K10" s="13">
        <f t="shared" si="4"/>
        <v>1296.9510720547373</v>
      </c>
    </row>
    <row r="11" spans="1:11">
      <c r="A11" s="1">
        <v>7</v>
      </c>
      <c r="B11" s="31">
        <v>80</v>
      </c>
      <c r="C11" s="31">
        <f t="shared" si="5"/>
        <v>600</v>
      </c>
      <c r="D11" s="13">
        <f t="shared" si="0"/>
        <v>10</v>
      </c>
      <c r="E11" s="1">
        <v>45</v>
      </c>
      <c r="F11" s="1">
        <f t="shared" si="2"/>
        <v>400</v>
      </c>
      <c r="G11" s="39">
        <v>43</v>
      </c>
      <c r="H11" s="39">
        <v>0</v>
      </c>
      <c r="I11" s="39">
        <f t="shared" si="1"/>
        <v>1338</v>
      </c>
      <c r="J11" s="13">
        <f t="shared" si="3"/>
        <v>43.619430674486679</v>
      </c>
      <c r="K11" s="13">
        <f t="shared" si="4"/>
        <v>1253.3316413802506</v>
      </c>
    </row>
    <row r="12" spans="1:11">
      <c r="A12" s="1">
        <v>8</v>
      </c>
      <c r="B12" s="31">
        <v>80</v>
      </c>
      <c r="C12" s="31">
        <f t="shared" si="5"/>
        <v>680</v>
      </c>
      <c r="D12" s="13">
        <f t="shared" si="0"/>
        <v>11.333333333333334</v>
      </c>
      <c r="E12" s="1">
        <v>40</v>
      </c>
      <c r="F12" s="1">
        <f t="shared" si="2"/>
        <v>440</v>
      </c>
      <c r="G12" s="39">
        <v>66</v>
      </c>
      <c r="H12" s="39">
        <v>0</v>
      </c>
      <c r="I12" s="39">
        <f t="shared" si="1"/>
        <v>1316</v>
      </c>
      <c r="J12" s="13">
        <f t="shared" si="3"/>
        <v>38.095186668092722</v>
      </c>
      <c r="K12" s="13">
        <f t="shared" si="4"/>
        <v>1215.2364547121579</v>
      </c>
    </row>
    <row r="13" spans="1:11">
      <c r="A13" s="1">
        <v>9</v>
      </c>
      <c r="B13" s="31">
        <v>80</v>
      </c>
      <c r="C13" s="31">
        <f t="shared" si="5"/>
        <v>760</v>
      </c>
      <c r="D13" s="13">
        <f t="shared" si="0"/>
        <v>12.666666666666666</v>
      </c>
      <c r="E13" s="1">
        <v>44</v>
      </c>
      <c r="F13" s="1">
        <f t="shared" si="2"/>
        <v>484</v>
      </c>
      <c r="G13" s="39">
        <v>73</v>
      </c>
      <c r="H13" s="39">
        <v>0</v>
      </c>
      <c r="I13" s="39">
        <f t="shared" si="1"/>
        <v>1283</v>
      </c>
      <c r="J13" s="13">
        <f t="shared" si="3"/>
        <v>41.676074830346799</v>
      </c>
      <c r="K13" s="13">
        <f t="shared" si="4"/>
        <v>1173.5603798818111</v>
      </c>
    </row>
    <row r="14" spans="1:11">
      <c r="A14" s="36">
        <v>10</v>
      </c>
      <c r="B14" s="31">
        <v>80</v>
      </c>
      <c r="C14" s="31">
        <f t="shared" si="5"/>
        <v>840</v>
      </c>
      <c r="D14" s="13">
        <f t="shared" si="0"/>
        <v>14</v>
      </c>
      <c r="E14" s="3">
        <v>51</v>
      </c>
      <c r="F14" s="36">
        <f t="shared" si="2"/>
        <v>535</v>
      </c>
      <c r="G14" s="39">
        <v>73</v>
      </c>
      <c r="H14" s="39">
        <v>1</v>
      </c>
      <c r="I14" s="39">
        <f t="shared" si="1"/>
        <v>1240</v>
      </c>
      <c r="J14" s="13">
        <f t="shared" ref="J14:J19" si="6">E14*K13/I14</f>
        <v>48.267402720945455</v>
      </c>
      <c r="K14" s="13">
        <f t="shared" ref="K14:K19" si="7">K13-J14</f>
        <v>1125.2929771608656</v>
      </c>
    </row>
    <row r="15" spans="1:11">
      <c r="A15" s="36">
        <v>11</v>
      </c>
      <c r="B15" s="31">
        <v>80</v>
      </c>
      <c r="C15" s="31">
        <f t="shared" si="5"/>
        <v>920</v>
      </c>
      <c r="D15" s="13">
        <f t="shared" si="0"/>
        <v>15.333333333333334</v>
      </c>
      <c r="E15" s="36">
        <v>45</v>
      </c>
      <c r="F15" s="36">
        <f t="shared" si="2"/>
        <v>580</v>
      </c>
      <c r="G15" s="39">
        <v>73</v>
      </c>
      <c r="H15" s="39">
        <v>3</v>
      </c>
      <c r="I15" s="39">
        <f t="shared" si="1"/>
        <v>1191</v>
      </c>
      <c r="J15" s="13">
        <f t="shared" si="6"/>
        <v>42.517366895246809</v>
      </c>
      <c r="K15" s="13">
        <f t="shared" si="7"/>
        <v>1082.7756102656188</v>
      </c>
    </row>
    <row r="16" spans="1:11">
      <c r="A16" s="36">
        <v>12</v>
      </c>
      <c r="B16" s="31">
        <v>80</v>
      </c>
      <c r="C16" s="31">
        <f t="shared" si="5"/>
        <v>1000</v>
      </c>
      <c r="D16" s="13">
        <f t="shared" si="0"/>
        <v>16.666666666666668</v>
      </c>
      <c r="E16" s="36">
        <v>44</v>
      </c>
      <c r="F16" s="36">
        <f t="shared" si="2"/>
        <v>624</v>
      </c>
      <c r="G16" s="39">
        <v>73</v>
      </c>
      <c r="H16" s="39">
        <v>4</v>
      </c>
      <c r="I16" s="39">
        <f t="shared" si="1"/>
        <v>1147</v>
      </c>
      <c r="J16" s="13">
        <f t="shared" si="6"/>
        <v>41.536291936954861</v>
      </c>
      <c r="K16" s="13">
        <f t="shared" si="7"/>
        <v>1041.2393183286638</v>
      </c>
    </row>
    <row r="17" spans="1:11">
      <c r="A17" s="36">
        <v>13</v>
      </c>
      <c r="B17" s="31">
        <v>80</v>
      </c>
      <c r="C17" s="31">
        <f t="shared" si="5"/>
        <v>1080</v>
      </c>
      <c r="D17" s="13">
        <f t="shared" si="0"/>
        <v>18</v>
      </c>
      <c r="E17" s="36">
        <v>44</v>
      </c>
      <c r="F17" s="36">
        <f t="shared" si="2"/>
        <v>668</v>
      </c>
      <c r="G17" s="39">
        <v>73</v>
      </c>
      <c r="H17" s="39">
        <v>4</v>
      </c>
      <c r="I17" s="39">
        <f t="shared" si="1"/>
        <v>1103</v>
      </c>
      <c r="J17" s="13">
        <f t="shared" si="6"/>
        <v>41.536291936954861</v>
      </c>
      <c r="K17" s="13">
        <f t="shared" si="7"/>
        <v>999.70302639170893</v>
      </c>
    </row>
    <row r="18" spans="1:11">
      <c r="A18" s="36">
        <v>14</v>
      </c>
      <c r="B18" s="31">
        <v>360</v>
      </c>
      <c r="C18" s="31">
        <f t="shared" si="5"/>
        <v>1440</v>
      </c>
      <c r="D18" s="13">
        <f t="shared" si="0"/>
        <v>24</v>
      </c>
      <c r="E18" s="36">
        <v>50</v>
      </c>
      <c r="F18" s="36">
        <f t="shared" si="2"/>
        <v>718</v>
      </c>
      <c r="G18" s="39">
        <v>73</v>
      </c>
      <c r="H18" s="39">
        <v>5</v>
      </c>
      <c r="I18" s="39">
        <f t="shared" si="1"/>
        <v>1060</v>
      </c>
      <c r="J18" s="13">
        <f t="shared" si="6"/>
        <v>47.155803131684387</v>
      </c>
      <c r="K18" s="13">
        <f t="shared" si="7"/>
        <v>952.54722326002457</v>
      </c>
    </row>
    <row r="19" spans="1:11">
      <c r="A19" s="36">
        <v>15</v>
      </c>
      <c r="B19" s="31">
        <v>360</v>
      </c>
      <c r="C19" s="31">
        <f>C18+B19</f>
        <v>1800</v>
      </c>
      <c r="D19" s="13">
        <f t="shared" si="0"/>
        <v>30</v>
      </c>
      <c r="E19" s="36">
        <v>53</v>
      </c>
      <c r="F19" s="36">
        <f>E19+F18</f>
        <v>771</v>
      </c>
      <c r="G19" s="39">
        <v>73</v>
      </c>
      <c r="H19" s="39">
        <v>5</v>
      </c>
      <c r="I19" s="39">
        <f t="shared" si="1"/>
        <v>1010</v>
      </c>
      <c r="J19" s="13">
        <f t="shared" si="6"/>
        <v>49.985151319585448</v>
      </c>
      <c r="K19" s="13">
        <f t="shared" si="7"/>
        <v>902.56207194043907</v>
      </c>
    </row>
    <row r="20" spans="1:11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39">
        <v>64</v>
      </c>
      <c r="F20" s="39">
        <f t="shared" ref="F20" si="8">E20+F19</f>
        <v>835</v>
      </c>
      <c r="G20" s="39">
        <v>73</v>
      </c>
      <c r="H20" s="39">
        <v>5</v>
      </c>
      <c r="I20" s="39">
        <f t="shared" si="1"/>
        <v>957</v>
      </c>
      <c r="J20" s="13">
        <f t="shared" ref="J20" si="9">E20*K19/I20</f>
        <v>60.359428008556009</v>
      </c>
      <c r="K20" s="13">
        <f t="shared" ref="K20" si="10">K19-J20</f>
        <v>842.20264393188302</v>
      </c>
    </row>
    <row r="22" spans="1:11">
      <c r="A22" s="124" t="s">
        <v>15</v>
      </c>
      <c r="B22" s="125"/>
      <c r="C22" s="125"/>
      <c r="D22" s="125"/>
      <c r="E22" s="126"/>
      <c r="F22" s="1">
        <v>1500</v>
      </c>
    </row>
    <row r="23" spans="1:11">
      <c r="A23" s="124" t="s">
        <v>15</v>
      </c>
      <c r="B23" s="125"/>
      <c r="C23" s="125"/>
      <c r="D23" s="125"/>
      <c r="E23" s="126"/>
      <c r="F23" s="39">
        <v>1650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56" t="s">
        <v>42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2" t="s">
        <v>4</v>
      </c>
      <c r="B6" s="22" t="s">
        <v>60</v>
      </c>
      <c r="C6" s="22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41">
        <v>1.6E-2</v>
      </c>
      <c r="E7" s="41">
        <v>1.7000000000000001E-2</v>
      </c>
      <c r="F7" s="41">
        <v>1.4999999999999999E-2</v>
      </c>
      <c r="G7" s="16">
        <f>(C7*1000*AVERAGE(D7:F7))/$B$2</f>
        <v>0.35523978685612789</v>
      </c>
      <c r="H7" s="19">
        <f>(C7*1000*STDEV(D7:F7))/$B$2</f>
        <v>2.2202486678508014E-2</v>
      </c>
    </row>
    <row r="8" spans="1:8">
      <c r="A8" s="66">
        <v>0</v>
      </c>
      <c r="B8" s="64">
        <v>0.16666666666666666</v>
      </c>
      <c r="C8" s="16">
        <v>2</v>
      </c>
      <c r="D8" s="41">
        <v>2.5999999999999999E-2</v>
      </c>
      <c r="E8" s="41">
        <v>2.5999999999999999E-2</v>
      </c>
      <c r="F8" s="41">
        <v>2.5999999999999999E-2</v>
      </c>
      <c r="G8" s="16">
        <f t="shared" ref="G8:G23" si="0">(C8*1000*AVERAGE(D8:F8))/$B$2</f>
        <v>0.57726465364120783</v>
      </c>
      <c r="H8" s="19">
        <f t="shared" ref="H8:H23" si="1">(C8*1000*STDEV(D8:F8))/$B$2</f>
        <v>0</v>
      </c>
    </row>
    <row r="9" spans="1:8">
      <c r="A9" s="66">
        <v>1</v>
      </c>
      <c r="B9" s="64">
        <v>2</v>
      </c>
      <c r="C9" s="16">
        <v>2</v>
      </c>
      <c r="D9" s="41">
        <v>2.8000000000000001E-2</v>
      </c>
      <c r="E9" s="41">
        <v>2.8000000000000001E-2</v>
      </c>
      <c r="F9" s="41">
        <v>2.7E-2</v>
      </c>
      <c r="G9" s="16">
        <f t="shared" si="0"/>
        <v>0.61426879810538781</v>
      </c>
      <c r="H9" s="19">
        <f t="shared" si="1"/>
        <v>1.2818611660515681E-2</v>
      </c>
    </row>
    <row r="10" spans="1:8">
      <c r="A10" s="66">
        <v>2</v>
      </c>
      <c r="B10" s="64">
        <v>3.3333333333333335</v>
      </c>
      <c r="C10" s="16">
        <v>2</v>
      </c>
      <c r="D10" s="54">
        <v>2.9000000000000001E-2</v>
      </c>
      <c r="E10" s="54">
        <v>2.9000000000000001E-2</v>
      </c>
      <c r="F10" s="54">
        <v>2.7E-2</v>
      </c>
      <c r="G10" s="16">
        <f t="shared" si="0"/>
        <v>0.62907045589105981</v>
      </c>
      <c r="H10" s="19">
        <f t="shared" si="1"/>
        <v>2.5637223321031362E-2</v>
      </c>
    </row>
    <row r="11" spans="1:8">
      <c r="A11" s="66">
        <v>3</v>
      </c>
      <c r="B11" s="64">
        <v>4.666666666666667</v>
      </c>
      <c r="C11" s="16">
        <v>2</v>
      </c>
      <c r="D11" s="54">
        <v>3.5999999999999997E-2</v>
      </c>
      <c r="E11" s="54">
        <v>3.5999999999999997E-2</v>
      </c>
      <c r="F11" s="54">
        <v>3.6999999999999998E-2</v>
      </c>
      <c r="G11" s="16">
        <f t="shared" si="0"/>
        <v>0.80669034931912365</v>
      </c>
      <c r="H11" s="19">
        <f t="shared" si="1"/>
        <v>1.2818611660515681E-2</v>
      </c>
    </row>
    <row r="12" spans="1:8">
      <c r="A12" s="66">
        <v>4</v>
      </c>
      <c r="B12" s="64">
        <v>6</v>
      </c>
      <c r="C12" s="16">
        <v>2</v>
      </c>
      <c r="D12" s="54">
        <v>3.7999999999999999E-2</v>
      </c>
      <c r="E12" s="54">
        <v>3.9E-2</v>
      </c>
      <c r="F12" s="54">
        <v>3.9E-2</v>
      </c>
      <c r="G12" s="16">
        <f t="shared" si="0"/>
        <v>0.85849615156897574</v>
      </c>
      <c r="H12" s="19">
        <f t="shared" si="1"/>
        <v>1.2818611660515681E-2</v>
      </c>
    </row>
    <row r="13" spans="1:8">
      <c r="A13" s="66">
        <v>5</v>
      </c>
      <c r="B13" s="64">
        <v>7.333333333333333</v>
      </c>
      <c r="C13" s="16">
        <v>2</v>
      </c>
      <c r="D13" s="54">
        <v>4.2000000000000003E-2</v>
      </c>
      <c r="E13" s="54">
        <v>4.4999999999999998E-2</v>
      </c>
      <c r="F13" s="54">
        <v>4.3999999999999997E-2</v>
      </c>
      <c r="G13" s="16">
        <f t="shared" si="0"/>
        <v>0.96950858496151571</v>
      </c>
      <c r="H13" s="19">
        <f t="shared" si="1"/>
        <v>3.3914858606837128E-2</v>
      </c>
    </row>
    <row r="14" spans="1:8">
      <c r="A14" s="66">
        <v>6</v>
      </c>
      <c r="B14" s="64">
        <v>8.6666666666666661</v>
      </c>
      <c r="C14" s="16">
        <v>2</v>
      </c>
      <c r="D14" s="54">
        <v>5.7000000000000002E-2</v>
      </c>
      <c r="E14" s="54">
        <v>5.6000000000000001E-2</v>
      </c>
      <c r="F14" s="54">
        <v>0.06</v>
      </c>
      <c r="G14" s="16">
        <f t="shared" si="0"/>
        <v>1.2803433984606276</v>
      </c>
      <c r="H14" s="19">
        <f t="shared" si="1"/>
        <v>4.6218161622249787E-2</v>
      </c>
    </row>
    <row r="15" spans="1:8">
      <c r="A15" s="66">
        <v>7</v>
      </c>
      <c r="B15" s="64">
        <v>10</v>
      </c>
      <c r="C15" s="16">
        <v>2</v>
      </c>
      <c r="D15" s="54">
        <v>8.5000000000000006E-2</v>
      </c>
      <c r="E15" s="54">
        <v>8.5999999999999993E-2</v>
      </c>
      <c r="F15" s="54">
        <v>8.5999999999999993E-2</v>
      </c>
      <c r="G15" s="16">
        <f t="shared" si="0"/>
        <v>1.9020130254588514</v>
      </c>
      <c r="H15" s="19">
        <f t="shared" si="1"/>
        <v>1.2818611660515504E-2</v>
      </c>
    </row>
    <row r="16" spans="1:8">
      <c r="A16" s="66">
        <v>8</v>
      </c>
      <c r="B16" s="64">
        <v>11.333333333333334</v>
      </c>
      <c r="C16" s="16">
        <v>2</v>
      </c>
      <c r="D16" s="54">
        <v>0.159</v>
      </c>
      <c r="E16" s="54">
        <v>0.158</v>
      </c>
      <c r="F16" s="54">
        <v>0.161</v>
      </c>
      <c r="G16" s="16">
        <f t="shared" si="0"/>
        <v>3.5375962107756065</v>
      </c>
      <c r="H16" s="19">
        <f t="shared" si="1"/>
        <v>3.3914858606837212E-2</v>
      </c>
    </row>
    <row r="17" spans="1:8">
      <c r="A17" s="66">
        <v>9</v>
      </c>
      <c r="B17" s="64">
        <v>12.666666666666666</v>
      </c>
      <c r="C17" s="16">
        <v>2</v>
      </c>
      <c r="D17" s="54">
        <v>0.17</v>
      </c>
      <c r="E17" s="54">
        <v>0.16700000000000001</v>
      </c>
      <c r="F17" s="54">
        <v>0.17100000000000001</v>
      </c>
      <c r="G17" s="16">
        <f t="shared" si="0"/>
        <v>3.7596210775606869</v>
      </c>
      <c r="H17" s="19">
        <f t="shared" si="1"/>
        <v>4.6218161622249884E-2</v>
      </c>
    </row>
    <row r="18" spans="1:8">
      <c r="A18" s="66">
        <v>10</v>
      </c>
      <c r="B18" s="64">
        <v>14</v>
      </c>
      <c r="C18" s="16">
        <v>2</v>
      </c>
      <c r="D18" s="41">
        <v>0.17299999999999999</v>
      </c>
      <c r="E18" s="41">
        <v>0.16300000000000001</v>
      </c>
      <c r="F18" s="41">
        <v>0.16900000000000001</v>
      </c>
      <c r="G18" s="16">
        <f t="shared" si="0"/>
        <v>3.7374185908821791</v>
      </c>
      <c r="H18" s="19">
        <f t="shared" si="1"/>
        <v>0.11175006564935962</v>
      </c>
    </row>
    <row r="19" spans="1:8">
      <c r="A19" s="66">
        <v>11</v>
      </c>
      <c r="B19" s="64">
        <v>15.333333333333334</v>
      </c>
      <c r="C19" s="16">
        <v>2</v>
      </c>
      <c r="D19" s="54">
        <v>0.16700000000000001</v>
      </c>
      <c r="E19" s="54">
        <v>0.16700000000000001</v>
      </c>
      <c r="F19" s="54">
        <v>0.16800000000000001</v>
      </c>
      <c r="G19" s="16">
        <f t="shared" si="0"/>
        <v>3.7152161042036709</v>
      </c>
      <c r="H19" s="19">
        <f t="shared" si="1"/>
        <v>1.2818611660515681E-2</v>
      </c>
    </row>
    <row r="20" spans="1:8">
      <c r="A20" s="66">
        <v>12</v>
      </c>
      <c r="B20" s="64">
        <v>16.666666666666668</v>
      </c>
      <c r="C20" s="16">
        <v>2</v>
      </c>
      <c r="D20" s="54">
        <v>0.17699999999999999</v>
      </c>
      <c r="E20" s="54">
        <v>0.17499999999999999</v>
      </c>
      <c r="F20" s="54">
        <v>0.17599999999999999</v>
      </c>
      <c r="G20" s="16">
        <f t="shared" si="0"/>
        <v>3.9076376554174073</v>
      </c>
      <c r="H20" s="19">
        <f t="shared" si="1"/>
        <v>2.2202486678508014E-2</v>
      </c>
    </row>
    <row r="21" spans="1:8">
      <c r="A21" s="66">
        <v>13</v>
      </c>
      <c r="B21" s="64">
        <v>18</v>
      </c>
      <c r="C21" s="16">
        <v>2</v>
      </c>
      <c r="D21" s="54">
        <v>0.17499999999999999</v>
      </c>
      <c r="E21" s="54">
        <v>0.17799999999999999</v>
      </c>
      <c r="F21" s="54">
        <v>0.17799999999999999</v>
      </c>
      <c r="G21" s="16">
        <f t="shared" si="0"/>
        <v>3.9298401420959141</v>
      </c>
      <c r="H21" s="19">
        <f t="shared" si="1"/>
        <v>3.8455834981547046E-2</v>
      </c>
    </row>
    <row r="22" spans="1:8">
      <c r="A22" s="66">
        <v>14</v>
      </c>
      <c r="B22" s="64">
        <v>24</v>
      </c>
      <c r="C22" s="16">
        <v>2</v>
      </c>
      <c r="D22" s="54">
        <v>0.18</v>
      </c>
      <c r="E22" s="54">
        <v>0.17799999999999999</v>
      </c>
      <c r="F22" s="54">
        <v>0.17299999999999999</v>
      </c>
      <c r="G22" s="16">
        <f t="shared" si="0"/>
        <v>3.9298401420959141</v>
      </c>
      <c r="H22" s="19">
        <f t="shared" si="1"/>
        <v>8.0052204162166796E-2</v>
      </c>
    </row>
    <row r="23" spans="1:8">
      <c r="A23" s="66">
        <v>15</v>
      </c>
      <c r="B23" s="64">
        <v>30</v>
      </c>
      <c r="C23" s="16">
        <v>2</v>
      </c>
      <c r="D23" s="54">
        <v>0.182</v>
      </c>
      <c r="E23" s="54">
        <v>0.183</v>
      </c>
      <c r="F23" s="54">
        <v>0.17799999999999999</v>
      </c>
      <c r="G23" s="16">
        <f t="shared" si="0"/>
        <v>4.0186500888099461</v>
      </c>
      <c r="H23" s="19">
        <f t="shared" si="1"/>
        <v>5.874225823855668E-2</v>
      </c>
    </row>
    <row r="24" spans="1:8">
      <c r="A24" s="66">
        <v>16</v>
      </c>
      <c r="B24" s="64">
        <v>48</v>
      </c>
      <c r="C24" s="16">
        <v>2</v>
      </c>
      <c r="D24" s="54">
        <v>0.17699999999999999</v>
      </c>
      <c r="E24" s="54">
        <v>0.182</v>
      </c>
      <c r="F24" s="54">
        <v>0.183</v>
      </c>
      <c r="G24" s="16">
        <f t="shared" ref="G24" si="2">(C24*1000*AVERAGE(D24:F24))/$B$2</f>
        <v>4.0112492599171103</v>
      </c>
      <c r="H24" s="19">
        <f t="shared" ref="H24" si="3">(C24*1000*STDEV(D24:F24))/$B$2</f>
        <v>7.1371009184376596E-2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56" t="s">
        <v>44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2" t="s">
        <v>4</v>
      </c>
      <c r="B6" s="22" t="s">
        <v>60</v>
      </c>
      <c r="C6" s="22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6">
        <v>0</v>
      </c>
      <c r="B8" s="64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6">
        <v>1</v>
      </c>
      <c r="B9" s="64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6">
        <v>2</v>
      </c>
      <c r="B10" s="64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6">
        <v>3</v>
      </c>
      <c r="B11" s="64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6">
        <v>4</v>
      </c>
      <c r="B12" s="64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6">
        <v>5</v>
      </c>
      <c r="B13" s="64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6">
        <v>6</v>
      </c>
      <c r="B14" s="64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6">
        <v>7</v>
      </c>
      <c r="B15" s="64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6">
        <v>8</v>
      </c>
      <c r="B16" s="64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6">
        <v>9</v>
      </c>
      <c r="B17" s="64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6">
        <v>10</v>
      </c>
      <c r="B18" s="64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6">
        <v>11</v>
      </c>
      <c r="B19" s="64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6">
        <v>12</v>
      </c>
      <c r="B20" s="64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6">
        <v>13</v>
      </c>
      <c r="B21" s="64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6">
        <v>14</v>
      </c>
      <c r="B22" s="64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6">
        <v>15</v>
      </c>
      <c r="B23" s="64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6">
        <v>16</v>
      </c>
      <c r="B24" s="64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23.6640625" bestFit="1" customWidth="1"/>
  </cols>
  <sheetData>
    <row r="1" spans="1:5">
      <c r="B1" s="30" t="s">
        <v>78</v>
      </c>
      <c r="C1" s="30" t="s">
        <v>79</v>
      </c>
    </row>
    <row r="2" spans="1:5">
      <c r="A2" s="30" t="s">
        <v>141</v>
      </c>
      <c r="B2" s="75">
        <f>Metabolites!H4-Metabolites!H20</f>
        <v>48.157613740075142</v>
      </c>
      <c r="C2" s="75">
        <f>Metabolites!I4+Metabolites!I20</f>
        <v>0.27800027580107373</v>
      </c>
    </row>
    <row r="3" spans="1:5">
      <c r="A3" s="30" t="s">
        <v>183</v>
      </c>
      <c r="B3" s="75">
        <f>Metabolites!P20-Metabolites!P4</f>
        <v>41.032768932867533</v>
      </c>
      <c r="C3" s="75">
        <f>Metabolites!Q4+Metabolites!Q20</f>
        <v>0.53399439782787506</v>
      </c>
    </row>
    <row r="4" spans="1:5">
      <c r="A4" s="30" t="s">
        <v>184</v>
      </c>
      <c r="B4" s="75">
        <f>Metabolites!T4-Metabolites!T20</f>
        <v>1.0724333904488863</v>
      </c>
      <c r="C4" s="75">
        <f>Metabolites!U4+Metabolites!U20</f>
        <v>2.51014745944706E-2</v>
      </c>
    </row>
    <row r="5" spans="1:5">
      <c r="A5" s="30" t="s">
        <v>123</v>
      </c>
      <c r="B5" s="75">
        <f>Metabolites!L20-Metabolites!L4</f>
        <v>3.6755625310575764</v>
      </c>
      <c r="C5" s="75">
        <f>Metabolites!M20+Metabolites!M4</f>
        <v>7.5675743434026901E-2</v>
      </c>
    </row>
    <row r="6" spans="1:5">
      <c r="A6" s="30" t="s">
        <v>124</v>
      </c>
      <c r="B6" s="75">
        <f>Metabolites!L41-Metabolites!L25</f>
        <v>30.039797724391107</v>
      </c>
      <c r="C6" s="75">
        <f>Metabolites!M41+Metabolites!M25</f>
        <v>0.29607277120935993</v>
      </c>
    </row>
    <row r="7" spans="1:5">
      <c r="A7" s="30" t="s">
        <v>80</v>
      </c>
      <c r="B7" s="75">
        <f>'H2'!G101</f>
        <v>30.787690698902789</v>
      </c>
      <c r="C7" s="75"/>
    </row>
    <row r="8" spans="1:5">
      <c r="A8" s="30" t="s">
        <v>81</v>
      </c>
      <c r="B8" s="75">
        <f>'CO2'!G101</f>
        <v>50.202563540020883</v>
      </c>
      <c r="C8" s="75"/>
    </row>
    <row r="9" spans="1:5">
      <c r="A9" s="30" t="s">
        <v>125</v>
      </c>
      <c r="B9" s="75">
        <f>Calculation!G20*1.5/1000</f>
        <v>0.1095</v>
      </c>
      <c r="C9" s="75"/>
    </row>
    <row r="10" spans="1:5" ht="16">
      <c r="A10" s="30" t="s">
        <v>126</v>
      </c>
      <c r="B10" s="75">
        <f>Calculation!H20*1.5/1000</f>
        <v>7.4999999999999997E-3</v>
      </c>
      <c r="C10" s="75"/>
    </row>
    <row r="12" spans="1:5">
      <c r="A12" s="30" t="s">
        <v>82</v>
      </c>
      <c r="B12" s="67">
        <f>((4*$B$6)+(3*$B$5)+(2*$B$3)+(B8))/((6*$B$2)+($B$4))</f>
        <v>0.90840525303634712</v>
      </c>
    </row>
    <row r="14" spans="1:5">
      <c r="A14" s="60"/>
      <c r="B14" s="60"/>
      <c r="C14" s="60" t="s">
        <v>127</v>
      </c>
      <c r="D14" s="60" t="s">
        <v>128</v>
      </c>
    </row>
    <row r="15" spans="1:5">
      <c r="A15" s="60" t="s">
        <v>164</v>
      </c>
      <c r="B15" s="60" t="s">
        <v>129</v>
      </c>
      <c r="C15" s="76">
        <f>B2</f>
        <v>48.157613740075142</v>
      </c>
      <c r="D15" s="76">
        <f>B2</f>
        <v>48.157613740075142</v>
      </c>
      <c r="E15" s="60"/>
    </row>
    <row r="16" spans="1:5">
      <c r="A16" s="60" t="s">
        <v>156</v>
      </c>
      <c r="B16" s="60" t="s">
        <v>130</v>
      </c>
      <c r="C16" s="76">
        <f>2*C15</f>
        <v>96.315227480150284</v>
      </c>
      <c r="D16" s="76">
        <f>2*B2</f>
        <v>96.315227480150284</v>
      </c>
      <c r="E16" s="60"/>
    </row>
    <row r="17" spans="1:5">
      <c r="A17" s="60" t="s">
        <v>157</v>
      </c>
      <c r="B17" s="60" t="s">
        <v>131</v>
      </c>
      <c r="C17" s="76">
        <f>B5</f>
        <v>3.6755625310575764</v>
      </c>
      <c r="D17" s="76">
        <f>B5</f>
        <v>3.6755625310575764</v>
      </c>
      <c r="E17" s="60"/>
    </row>
    <row r="18" spans="1:5">
      <c r="A18" s="60" t="s">
        <v>158</v>
      </c>
      <c r="B18" s="60" t="s">
        <v>132</v>
      </c>
      <c r="C18" s="76">
        <f>B4</f>
        <v>1.0724333904488863</v>
      </c>
      <c r="D18" s="76">
        <f>B4</f>
        <v>1.0724333904488863</v>
      </c>
      <c r="E18" s="60"/>
    </row>
    <row r="19" spans="1:5">
      <c r="A19" s="60" t="s">
        <v>160</v>
      </c>
      <c r="B19" s="60" t="s">
        <v>133</v>
      </c>
      <c r="C19" s="78">
        <f>C16-C17-C18</f>
        <v>91.567231558643812</v>
      </c>
      <c r="D19" s="78">
        <f>B8</f>
        <v>50.202563540020883</v>
      </c>
      <c r="E19" s="60"/>
    </row>
    <row r="20" spans="1:5">
      <c r="A20" s="60" t="s">
        <v>153</v>
      </c>
      <c r="B20" s="60" t="s">
        <v>153</v>
      </c>
      <c r="C20" s="77">
        <f>C16-C17</f>
        <v>92.639664949092705</v>
      </c>
      <c r="D20" s="78"/>
      <c r="E20" s="60"/>
    </row>
    <row r="21" spans="1:5">
      <c r="A21" s="60" t="s">
        <v>161</v>
      </c>
      <c r="B21" s="60" t="s">
        <v>134</v>
      </c>
      <c r="C21" s="76">
        <f>B3</f>
        <v>41.032768932867533</v>
      </c>
      <c r="D21" s="76">
        <f>B3</f>
        <v>41.032768932867533</v>
      </c>
      <c r="E21" s="60"/>
    </row>
    <row r="22" spans="1:5">
      <c r="A22" s="60" t="s">
        <v>162</v>
      </c>
      <c r="B22" s="60" t="s">
        <v>136</v>
      </c>
      <c r="C22" s="76">
        <f>C16-C17+C21</f>
        <v>133.67243388196025</v>
      </c>
      <c r="D22" s="76">
        <f>B6</f>
        <v>30.039797724391107</v>
      </c>
      <c r="E22" s="60"/>
    </row>
    <row r="23" spans="1:5">
      <c r="A23" s="60" t="s">
        <v>163</v>
      </c>
      <c r="B23" s="60" t="s">
        <v>137</v>
      </c>
      <c r="C23" s="78">
        <f>C22/2</f>
        <v>66.836216940980123</v>
      </c>
      <c r="D23" s="78">
        <f>B6</f>
        <v>30.039797724391107</v>
      </c>
      <c r="E23" s="60"/>
    </row>
    <row r="24" spans="1:5">
      <c r="A24" t="s">
        <v>150</v>
      </c>
      <c r="B24" t="s">
        <v>151</v>
      </c>
      <c r="C24" s="77">
        <f>C20-C21</f>
        <v>51.606896016225171</v>
      </c>
      <c r="D24" s="78"/>
      <c r="E24" s="60"/>
    </row>
    <row r="25" spans="1:5">
      <c r="A25" t="s">
        <v>159</v>
      </c>
      <c r="B25" t="s">
        <v>152</v>
      </c>
      <c r="C25" s="77">
        <f>C24-C18</f>
        <v>50.534462625776285</v>
      </c>
      <c r="D25" s="77">
        <f>B7</f>
        <v>30.787690698902789</v>
      </c>
      <c r="E25" s="60"/>
    </row>
    <row r="26" spans="1:5">
      <c r="A26" s="60"/>
      <c r="B26" s="60"/>
      <c r="C26" s="60"/>
      <c r="D26" s="60"/>
      <c r="E26" s="60"/>
    </row>
    <row r="27" spans="1:5">
      <c r="A27" s="60"/>
      <c r="B27" s="60"/>
      <c r="C27" s="60"/>
      <c r="D27" s="60"/>
      <c r="E27" s="60"/>
    </row>
    <row r="28" spans="1:5">
      <c r="A28" s="60"/>
      <c r="B28" s="60"/>
      <c r="C28" s="60"/>
      <c r="D28" s="60"/>
      <c r="E28" s="60"/>
    </row>
    <row r="29" spans="1:5">
      <c r="C29" s="60"/>
      <c r="D29" s="60"/>
      <c r="E29" s="6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28" t="s">
        <v>4</v>
      </c>
      <c r="B1" s="128" t="s">
        <v>117</v>
      </c>
      <c r="C1" s="128" t="s">
        <v>117</v>
      </c>
      <c r="D1" s="128" t="s">
        <v>5</v>
      </c>
      <c r="E1" s="133" t="s">
        <v>18</v>
      </c>
      <c r="F1" s="133"/>
      <c r="G1" s="133"/>
      <c r="H1" s="133"/>
      <c r="I1" s="133" t="s">
        <v>20</v>
      </c>
      <c r="J1" s="133"/>
      <c r="K1" s="133"/>
      <c r="L1" s="133"/>
      <c r="M1" s="133" t="s">
        <v>21</v>
      </c>
      <c r="N1" s="133"/>
      <c r="O1" s="133"/>
      <c r="P1" s="133"/>
      <c r="Q1" s="37" t="s">
        <v>22</v>
      </c>
      <c r="R1" s="37" t="s">
        <v>22</v>
      </c>
      <c r="S1" s="37" t="s">
        <v>22</v>
      </c>
    </row>
    <row r="2" spans="1:19">
      <c r="A2" s="129"/>
      <c r="B2" s="129"/>
      <c r="C2" s="129"/>
      <c r="D2" s="129"/>
      <c r="E2" s="40" t="s">
        <v>19</v>
      </c>
      <c r="F2" s="40" t="s">
        <v>68</v>
      </c>
      <c r="G2" s="40" t="s">
        <v>118</v>
      </c>
      <c r="H2" s="40" t="s">
        <v>70</v>
      </c>
      <c r="I2" s="40" t="s">
        <v>19</v>
      </c>
      <c r="J2" s="40" t="s">
        <v>68</v>
      </c>
      <c r="K2" s="40" t="s">
        <v>69</v>
      </c>
      <c r="L2" s="40" t="s">
        <v>70</v>
      </c>
      <c r="M2" s="40" t="s">
        <v>19</v>
      </c>
      <c r="N2" s="40" t="s">
        <v>68</v>
      </c>
      <c r="O2" s="40" t="s">
        <v>69</v>
      </c>
      <c r="P2" s="40" t="s">
        <v>71</v>
      </c>
      <c r="Q2" s="38" t="s">
        <v>70</v>
      </c>
      <c r="R2" s="38" t="s">
        <v>23</v>
      </c>
      <c r="S2" s="38" t="s">
        <v>72</v>
      </c>
    </row>
    <row r="3" spans="1:19" s="6" customFormat="1">
      <c r="A3" s="61" t="s">
        <v>6</v>
      </c>
      <c r="B3" s="31">
        <v>-10</v>
      </c>
      <c r="C3" s="31">
        <f>B3</f>
        <v>-10</v>
      </c>
      <c r="D3" s="13">
        <f>C3/60</f>
        <v>-0.16666666666666666</v>
      </c>
      <c r="Q3" s="130"/>
      <c r="R3" s="131"/>
      <c r="S3" s="132"/>
    </row>
    <row r="4" spans="1:19">
      <c r="A4" s="63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Q4" s="44" t="e">
        <f>AVERAGE('Flow cytometer'!P4,'Flow cytometer'!L4,'Flow cytometer'!H4)*Calculation!K4/Calculation!M3</f>
        <v>#DIV/0!</v>
      </c>
      <c r="R4" s="44" t="e">
        <f>STDEV('Flow cytometer'!P4,'Flow cytometer'!L4,'Flow cytometer'!H4)*Calculation!K4/Calculation!M3</f>
        <v>#DIV/0!</v>
      </c>
      <c r="S4" s="45" t="e">
        <f t="shared" ref="S4:S19" si="1">LOG(Q4)</f>
        <v>#DIV/0!</v>
      </c>
    </row>
    <row r="5" spans="1:19">
      <c r="A5" s="63">
        <v>1</v>
      </c>
      <c r="B5" s="31">
        <v>110</v>
      </c>
      <c r="C5" s="31">
        <f>C4+B5</f>
        <v>120</v>
      </c>
      <c r="D5" s="13">
        <f t="shared" si="0"/>
        <v>2</v>
      </c>
      <c r="Q5" s="44" t="e">
        <f>AVERAGE('Flow cytometer'!P5,'Flow cytometer'!L5,'Flow cytometer'!H5)*Calculation!K5/Calculation!M4</f>
        <v>#DIV/0!</v>
      </c>
      <c r="R5" s="44" t="e">
        <f>STDEV('Flow cytometer'!P5,'Flow cytometer'!L5,'Flow cytometer'!H5)*Calculation!K5/Calculation!M4</f>
        <v>#DIV/0!</v>
      </c>
      <c r="S5" s="45" t="e">
        <f t="shared" si="1"/>
        <v>#DIV/0!</v>
      </c>
    </row>
    <row r="6" spans="1:19">
      <c r="A6" s="63">
        <v>2</v>
      </c>
      <c r="B6" s="31">
        <v>80</v>
      </c>
      <c r="C6" s="31">
        <f>C5+B6</f>
        <v>200</v>
      </c>
      <c r="D6" s="13">
        <f t="shared" si="0"/>
        <v>3.3333333333333335</v>
      </c>
      <c r="Q6" s="44" t="e">
        <f>AVERAGE('Flow cytometer'!P6,'Flow cytometer'!L6,'Flow cytometer'!H6)*Calculation!K6/Calculation!M5</f>
        <v>#DIV/0!</v>
      </c>
      <c r="R6" s="44" t="e">
        <f>STDEV('Flow cytometer'!P6,'Flow cytometer'!L6,'Flow cytometer'!H6)*Calculation!K6/Calculation!M5</f>
        <v>#DIV/0!</v>
      </c>
      <c r="S6" s="45" t="e">
        <f t="shared" si="1"/>
        <v>#DIV/0!</v>
      </c>
    </row>
    <row r="7" spans="1:19">
      <c r="A7" s="63">
        <v>3</v>
      </c>
      <c r="B7" s="31">
        <v>80</v>
      </c>
      <c r="C7" s="31">
        <f>C6+B7</f>
        <v>280</v>
      </c>
      <c r="D7" s="13">
        <f t="shared" si="0"/>
        <v>4.666666666666667</v>
      </c>
      <c r="Q7" s="44" t="e">
        <f>AVERAGE('Flow cytometer'!P7,'Flow cytometer'!L7,'Flow cytometer'!H7)*Calculation!K7/Calculation!M6</f>
        <v>#DIV/0!</v>
      </c>
      <c r="R7" s="44" t="e">
        <f>STDEV('Flow cytometer'!P7,'Flow cytometer'!L7,'Flow cytometer'!H7)*Calculation!K7/Calculation!M6</f>
        <v>#DIV/0!</v>
      </c>
      <c r="S7" s="45" t="e">
        <f t="shared" si="1"/>
        <v>#DIV/0!</v>
      </c>
    </row>
    <row r="8" spans="1:19">
      <c r="A8" s="63">
        <v>4</v>
      </c>
      <c r="B8" s="31">
        <v>80</v>
      </c>
      <c r="C8" s="31">
        <f t="shared" ref="C8:C18" si="2">C7+B8</f>
        <v>360</v>
      </c>
      <c r="D8" s="13">
        <f t="shared" si="0"/>
        <v>6</v>
      </c>
      <c r="Q8" s="44" t="e">
        <f>AVERAGE('Flow cytometer'!P8,'Flow cytometer'!L8,'Flow cytometer'!H8)*Calculation!K8/Calculation!M7</f>
        <v>#DIV/0!</v>
      </c>
      <c r="R8" s="44" t="e">
        <f>STDEV('Flow cytometer'!P8,'Flow cytometer'!L8,'Flow cytometer'!H8)*Calculation!K8/Calculation!M7</f>
        <v>#DIV/0!</v>
      </c>
      <c r="S8" s="45" t="e">
        <f t="shared" si="1"/>
        <v>#DIV/0!</v>
      </c>
    </row>
    <row r="9" spans="1:19">
      <c r="A9" s="63">
        <v>5</v>
      </c>
      <c r="B9" s="31">
        <v>80</v>
      </c>
      <c r="C9" s="31">
        <f t="shared" si="2"/>
        <v>440</v>
      </c>
      <c r="D9" s="13">
        <f t="shared" si="0"/>
        <v>7.333333333333333</v>
      </c>
      <c r="Q9" s="44" t="e">
        <f>AVERAGE('Flow cytometer'!P9,'Flow cytometer'!L9,'Flow cytometer'!H9)*Calculation!K9/Calculation!M8</f>
        <v>#DIV/0!</v>
      </c>
      <c r="R9" s="44" t="e">
        <f>STDEV('Flow cytometer'!P9,'Flow cytometer'!L9,'Flow cytometer'!H9)*Calculation!K9/Calculation!M8</f>
        <v>#DIV/0!</v>
      </c>
      <c r="S9" s="45" t="e">
        <f t="shared" si="1"/>
        <v>#DIV/0!</v>
      </c>
    </row>
    <row r="10" spans="1:19">
      <c r="A10" s="63">
        <v>6</v>
      </c>
      <c r="B10" s="31">
        <v>80</v>
      </c>
      <c r="C10" s="31">
        <f t="shared" si="2"/>
        <v>520</v>
      </c>
      <c r="D10" s="13">
        <f t="shared" si="0"/>
        <v>8.6666666666666661</v>
      </c>
      <c r="Q10" s="44" t="e">
        <f>AVERAGE('Flow cytometer'!P10,'Flow cytometer'!L10,'Flow cytometer'!H10)*Calculation!K10/Calculation!M9</f>
        <v>#DIV/0!</v>
      </c>
      <c r="R10" s="44" t="e">
        <f>STDEV('Flow cytometer'!P10,'Flow cytometer'!L10,'Flow cytometer'!H10)*Calculation!K10/Calculation!M9</f>
        <v>#DIV/0!</v>
      </c>
      <c r="S10" s="45" t="e">
        <f t="shared" si="1"/>
        <v>#DIV/0!</v>
      </c>
    </row>
    <row r="11" spans="1:19">
      <c r="A11" s="63">
        <v>7</v>
      </c>
      <c r="B11" s="31">
        <v>80</v>
      </c>
      <c r="C11" s="31">
        <f t="shared" si="2"/>
        <v>600</v>
      </c>
      <c r="D11" s="13">
        <f t="shared" si="0"/>
        <v>10</v>
      </c>
      <c r="Q11" s="44" t="e">
        <f>AVERAGE('Flow cytometer'!P11,'Flow cytometer'!L11,'Flow cytometer'!H11)*Calculation!K11/Calculation!M10</f>
        <v>#DIV/0!</v>
      </c>
      <c r="R11" s="44" t="e">
        <f>STDEV('Flow cytometer'!P11,'Flow cytometer'!L11,'Flow cytometer'!H11)*Calculation!K11/Calculation!M10</f>
        <v>#DIV/0!</v>
      </c>
      <c r="S11" s="45" t="e">
        <f t="shared" si="1"/>
        <v>#DIV/0!</v>
      </c>
    </row>
    <row r="12" spans="1:19">
      <c r="A12" s="63">
        <v>8</v>
      </c>
      <c r="B12" s="31">
        <v>80</v>
      </c>
      <c r="C12" s="31">
        <f t="shared" si="2"/>
        <v>680</v>
      </c>
      <c r="D12" s="13">
        <f t="shared" si="0"/>
        <v>11.333333333333334</v>
      </c>
      <c r="Q12" s="44" t="e">
        <f>AVERAGE('Flow cytometer'!P12,'Flow cytometer'!L12,'Flow cytometer'!H12)*Calculation!K12/Calculation!M11</f>
        <v>#DIV/0!</v>
      </c>
      <c r="R12" s="44" t="e">
        <f>STDEV('Flow cytometer'!P12,'Flow cytometer'!L12,'Flow cytometer'!H12)*Calculation!K12/Calculation!M11</f>
        <v>#DIV/0!</v>
      </c>
      <c r="S12" s="45" t="e">
        <f t="shared" si="1"/>
        <v>#DIV/0!</v>
      </c>
    </row>
    <row r="13" spans="1:19">
      <c r="A13" s="63">
        <v>9</v>
      </c>
      <c r="B13" s="31">
        <v>80</v>
      </c>
      <c r="C13" s="31">
        <f t="shared" si="2"/>
        <v>760</v>
      </c>
      <c r="D13" s="13">
        <f t="shared" si="0"/>
        <v>12.666666666666666</v>
      </c>
      <c r="Q13" s="44" t="e">
        <f>AVERAGE('Flow cytometer'!P13,'Flow cytometer'!L13,'Flow cytometer'!H13)*Calculation!K13/Calculation!M12</f>
        <v>#DIV/0!</v>
      </c>
      <c r="R13" s="44" t="e">
        <f>STDEV('Flow cytometer'!P13,'Flow cytometer'!L13,'Flow cytometer'!H13)*Calculation!K13/Calculation!M12</f>
        <v>#DIV/0!</v>
      </c>
      <c r="S13" s="45" t="e">
        <f t="shared" si="1"/>
        <v>#DIV/0!</v>
      </c>
    </row>
    <row r="14" spans="1:19">
      <c r="A14" s="63">
        <v>10</v>
      </c>
      <c r="B14" s="31">
        <v>80</v>
      </c>
      <c r="C14" s="31">
        <f t="shared" si="2"/>
        <v>840</v>
      </c>
      <c r="D14" s="13">
        <f t="shared" si="0"/>
        <v>14</v>
      </c>
      <c r="Q14" s="44" t="e">
        <f>AVERAGE('Flow cytometer'!P14,'Flow cytometer'!L14,'Flow cytometer'!H14)*Calculation!K14/Calculation!M13</f>
        <v>#DIV/0!</v>
      </c>
      <c r="R14" s="44" t="e">
        <f>STDEV('Flow cytometer'!P14,'Flow cytometer'!L14,'Flow cytometer'!H14)*Calculation!K14/Calculation!M13</f>
        <v>#DIV/0!</v>
      </c>
      <c r="S14" s="45" t="e">
        <f t="shared" si="1"/>
        <v>#DIV/0!</v>
      </c>
    </row>
    <row r="15" spans="1:19">
      <c r="A15" s="63">
        <v>11</v>
      </c>
      <c r="B15" s="31">
        <v>80</v>
      </c>
      <c r="C15" s="31">
        <f t="shared" si="2"/>
        <v>920</v>
      </c>
      <c r="D15" s="13">
        <f t="shared" si="0"/>
        <v>15.333333333333334</v>
      </c>
      <c r="Q15" s="44" t="e">
        <f>AVERAGE('Flow cytometer'!P15,'Flow cytometer'!L15,'Flow cytometer'!H15)*Calculation!K15/Calculation!M14</f>
        <v>#DIV/0!</v>
      </c>
      <c r="R15" s="44" t="e">
        <f>STDEV('Flow cytometer'!P15,'Flow cytometer'!L15,'Flow cytometer'!H15)*Calculation!K15/Calculation!M14</f>
        <v>#DIV/0!</v>
      </c>
      <c r="S15" s="45" t="e">
        <f t="shared" si="1"/>
        <v>#DIV/0!</v>
      </c>
    </row>
    <row r="16" spans="1:19">
      <c r="A16" s="63">
        <v>12</v>
      </c>
      <c r="B16" s="31">
        <v>80</v>
      </c>
      <c r="C16" s="31">
        <f t="shared" si="2"/>
        <v>1000</v>
      </c>
      <c r="D16" s="13">
        <f t="shared" si="0"/>
        <v>16.666666666666668</v>
      </c>
      <c r="Q16" s="44" t="e">
        <f>AVERAGE('Flow cytometer'!P16,'Flow cytometer'!L16,'Flow cytometer'!H16)*Calculation!K16/Calculation!M15</f>
        <v>#DIV/0!</v>
      </c>
      <c r="R16" s="44" t="e">
        <f>STDEV('Flow cytometer'!P16,'Flow cytometer'!L16,'Flow cytometer'!H16)*Calculation!K16/Calculation!M15</f>
        <v>#DIV/0!</v>
      </c>
      <c r="S16" s="45" t="e">
        <f t="shared" si="1"/>
        <v>#DIV/0!</v>
      </c>
    </row>
    <row r="17" spans="1:19">
      <c r="A17" s="63">
        <v>13</v>
      </c>
      <c r="B17" s="31">
        <v>80</v>
      </c>
      <c r="C17" s="31">
        <f t="shared" si="2"/>
        <v>1080</v>
      </c>
      <c r="D17" s="13">
        <f t="shared" si="0"/>
        <v>18</v>
      </c>
      <c r="Q17" s="44" t="e">
        <f>AVERAGE('Flow cytometer'!P17,'Flow cytometer'!L17,'Flow cytometer'!H17)*Calculation!K17/Calculation!M16</f>
        <v>#DIV/0!</v>
      </c>
      <c r="R17" s="44" t="e">
        <f>STDEV('Flow cytometer'!P17,'Flow cytometer'!L17,'Flow cytometer'!H17)*Calculation!K17/Calculation!M16</f>
        <v>#DIV/0!</v>
      </c>
      <c r="S17" s="45" t="e">
        <f t="shared" si="1"/>
        <v>#DIV/0!</v>
      </c>
    </row>
    <row r="18" spans="1:19">
      <c r="A18" s="63">
        <v>14</v>
      </c>
      <c r="B18" s="31">
        <v>360</v>
      </c>
      <c r="C18" s="31">
        <f t="shared" si="2"/>
        <v>1440</v>
      </c>
      <c r="D18" s="13">
        <f t="shared" si="0"/>
        <v>24</v>
      </c>
      <c r="Q18" s="44" t="e">
        <f>AVERAGE('Flow cytometer'!P18,'Flow cytometer'!L18,'Flow cytometer'!H18)*Calculation!K18/Calculation!M17</f>
        <v>#DIV/0!</v>
      </c>
      <c r="R18" s="44" t="e">
        <f>STDEV('Flow cytometer'!P18,'Flow cytometer'!L18,'Flow cytometer'!H18)*Calculation!K18/Calculation!M17</f>
        <v>#DIV/0!</v>
      </c>
      <c r="S18" s="45" t="e">
        <f t="shared" si="1"/>
        <v>#DIV/0!</v>
      </c>
    </row>
    <row r="19" spans="1:19">
      <c r="A19" s="63">
        <v>15</v>
      </c>
      <c r="B19" s="31">
        <v>360</v>
      </c>
      <c r="C19" s="31">
        <f>C18+B19</f>
        <v>1800</v>
      </c>
      <c r="D19" s="13">
        <f t="shared" si="0"/>
        <v>30</v>
      </c>
      <c r="Q19" s="44" t="e">
        <f>AVERAGE('Flow cytometer'!P19,'Flow cytometer'!L19,'Flow cytometer'!H19)*Calculation!K19/Calculation!M18</f>
        <v>#DIV/0!</v>
      </c>
      <c r="R19" s="44" t="e">
        <f>STDEV('Flow cytometer'!P19,'Flow cytometer'!L19,'Flow cytometer'!H19)*Calculation!K19/Calculation!M18</f>
        <v>#DIV/0!</v>
      </c>
      <c r="S19" s="45" t="e">
        <f t="shared" si="1"/>
        <v>#DIV/0!</v>
      </c>
    </row>
    <row r="20" spans="1:19">
      <c r="A20" s="63">
        <v>16</v>
      </c>
      <c r="B20" s="31">
        <v>1080</v>
      </c>
      <c r="C20" s="31">
        <f>C19+B20</f>
        <v>2880</v>
      </c>
      <c r="D20" s="13">
        <f t="shared" si="0"/>
        <v>48</v>
      </c>
      <c r="Q20" s="44" t="e">
        <f>AVERAGE('Flow cytometer'!P20,'Flow cytometer'!L20,'Flow cytometer'!H20)*Calculation!K20/Calculation!M19</f>
        <v>#DIV/0!</v>
      </c>
      <c r="R20" s="44" t="e">
        <f>STDEV('Flow cytometer'!P20,'Flow cytometer'!L20,'Flow cytometer'!H20)*Calculation!K20/Calculation!M19</f>
        <v>#DIV/0!</v>
      </c>
      <c r="S20" s="45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D1" workbookViewId="0">
      <selection activeCell="W4" sqref="W4:W20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28" t="s">
        <v>4</v>
      </c>
      <c r="B1" s="128" t="s">
        <v>117</v>
      </c>
      <c r="C1" s="128" t="s">
        <v>117</v>
      </c>
      <c r="D1" s="128" t="s">
        <v>5</v>
      </c>
      <c r="E1" s="127" t="s">
        <v>119</v>
      </c>
      <c r="F1" s="127"/>
      <c r="G1" s="127"/>
      <c r="H1" s="127"/>
      <c r="I1" s="127" t="s">
        <v>120</v>
      </c>
      <c r="J1" s="127"/>
      <c r="K1" s="127"/>
      <c r="L1" s="127"/>
      <c r="M1" s="127" t="s">
        <v>121</v>
      </c>
      <c r="N1" s="127"/>
      <c r="O1" s="127"/>
      <c r="P1" s="127"/>
      <c r="Q1" s="24" t="s">
        <v>122</v>
      </c>
      <c r="R1" s="24" t="s">
        <v>122</v>
      </c>
      <c r="S1" s="24" t="s">
        <v>122</v>
      </c>
      <c r="T1" s="58" t="s">
        <v>122</v>
      </c>
      <c r="U1" s="71" t="s">
        <v>119</v>
      </c>
      <c r="V1" s="71" t="s">
        <v>120</v>
      </c>
      <c r="W1" s="71" t="s">
        <v>121</v>
      </c>
      <c r="X1" s="71" t="s">
        <v>122</v>
      </c>
    </row>
    <row r="2" spans="1:24">
      <c r="A2" s="129"/>
      <c r="B2" s="129"/>
      <c r="C2" s="129"/>
      <c r="D2" s="129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9" t="s">
        <v>135</v>
      </c>
      <c r="U2" s="72" t="s">
        <v>145</v>
      </c>
      <c r="V2" s="72" t="s">
        <v>145</v>
      </c>
      <c r="W2" s="72" t="s">
        <v>145</v>
      </c>
      <c r="X2" s="72" t="s">
        <v>146</v>
      </c>
    </row>
    <row r="3" spans="1:24">
      <c r="A3" s="61" t="s">
        <v>6</v>
      </c>
      <c r="B3" s="31">
        <v>-10</v>
      </c>
      <c r="C3" s="31">
        <f>B3</f>
        <v>-10</v>
      </c>
      <c r="D3" s="13">
        <f>C3/60</f>
        <v>-0.16666666666666666</v>
      </c>
      <c r="E3" s="42" t="s">
        <v>101</v>
      </c>
      <c r="F3" s="42" t="s">
        <v>101</v>
      </c>
      <c r="G3" s="42" t="s">
        <v>101</v>
      </c>
      <c r="H3" s="43" t="s">
        <v>101</v>
      </c>
      <c r="I3" s="42" t="s">
        <v>101</v>
      </c>
      <c r="J3" s="42" t="s">
        <v>101</v>
      </c>
      <c r="K3" s="42" t="s">
        <v>101</v>
      </c>
      <c r="L3" s="43" t="s">
        <v>101</v>
      </c>
      <c r="M3" s="42" t="s">
        <v>101</v>
      </c>
      <c r="N3" s="42" t="s">
        <v>101</v>
      </c>
      <c r="O3" s="42" t="s">
        <v>101</v>
      </c>
      <c r="P3" s="43" t="s">
        <v>101</v>
      </c>
      <c r="Q3" s="134" t="s">
        <v>101</v>
      </c>
      <c r="R3" s="135"/>
      <c r="S3" s="136"/>
      <c r="T3" s="70"/>
      <c r="U3" s="43" t="s">
        <v>101</v>
      </c>
      <c r="V3" s="43" t="s">
        <v>101</v>
      </c>
      <c r="W3" s="43" t="s">
        <v>101</v>
      </c>
      <c r="X3" s="43" t="s">
        <v>101</v>
      </c>
    </row>
    <row r="4" spans="1:24">
      <c r="A4" s="63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31">
        <v>2</v>
      </c>
      <c r="F4" s="31">
        <v>10929</v>
      </c>
      <c r="G4" s="31">
        <v>7</v>
      </c>
      <c r="H4" s="43">
        <f>('Flow cytometer'!F4/'Flow cytometer'!G4)*POWER(10,'Flow cytometer'!E4+2)*10.2</f>
        <v>159251142.85714284</v>
      </c>
      <c r="I4" s="31">
        <v>2</v>
      </c>
      <c r="J4" s="31">
        <v>11270</v>
      </c>
      <c r="K4" s="31">
        <v>7</v>
      </c>
      <c r="L4" s="43">
        <f>('Flow cytometer'!J4/'Flow cytometer'!K4)*POWER(10,'Flow cytometer'!I4+2)*10.2</f>
        <v>164220000</v>
      </c>
      <c r="M4" s="31">
        <v>2</v>
      </c>
      <c r="N4" s="31">
        <v>11129</v>
      </c>
      <c r="O4" s="31">
        <v>7</v>
      </c>
      <c r="P4" s="43">
        <f>('Flow cytometer'!N4/'Flow cytometer'!O4)*POWER(10,'Flow cytometer'!M4+2)*10.2</f>
        <v>162165428.57142857</v>
      </c>
      <c r="Q4" s="46">
        <f>AVERAGE(H4,L4,P4)*Calculation!I4/Calculation!K3</f>
        <v>161979842.08181086</v>
      </c>
      <c r="R4" s="47">
        <f>STDEV(H4,L4,P4)*Calculation!I4/Calculation!K3</f>
        <v>2498351.0619864571</v>
      </c>
      <c r="S4" s="48">
        <f>LOG(Q4)</f>
        <v>8.2094609712256688</v>
      </c>
      <c r="T4" s="69">
        <f>LN(Q4)</f>
        <v>18.902982453860645</v>
      </c>
      <c r="U4" s="48">
        <f>LOG(H4)</f>
        <v>8.2020825577092396</v>
      </c>
      <c r="V4" s="48">
        <f>LOG(L4)</f>
        <v>8.2154260477937679</v>
      </c>
      <c r="W4" s="48">
        <f>LOG(P4)</f>
        <v>8.2099582741602521</v>
      </c>
      <c r="X4" s="48">
        <f xml:space="preserve"> STDEV(U4:W4)*Calculation!I4/Calculation!K3</f>
        <v>6.7120429638651089E-3</v>
      </c>
    </row>
    <row r="5" spans="1:24">
      <c r="A5" s="63">
        <v>1</v>
      </c>
      <c r="B5" s="31">
        <v>110</v>
      </c>
      <c r="C5" s="31">
        <f>C4+B5</f>
        <v>120</v>
      </c>
      <c r="D5" s="13">
        <f t="shared" si="0"/>
        <v>2</v>
      </c>
      <c r="E5" s="31">
        <v>2</v>
      </c>
      <c r="F5" s="31">
        <v>11375</v>
      </c>
      <c r="G5" s="31">
        <v>7</v>
      </c>
      <c r="H5" s="43">
        <f>('Flow cytometer'!F5/'Flow cytometer'!G5)*POWER(10,'Flow cytometer'!E5+2)*10.2</f>
        <v>165750000</v>
      </c>
      <c r="I5" s="31">
        <v>2</v>
      </c>
      <c r="J5" s="31">
        <v>11967</v>
      </c>
      <c r="K5" s="31">
        <v>7</v>
      </c>
      <c r="L5" s="43">
        <f>('Flow cytometer'!J5/'Flow cytometer'!K5)*POWER(10,'Flow cytometer'!I5+2)*10.2</f>
        <v>174376285.71428573</v>
      </c>
      <c r="M5" s="31">
        <v>2</v>
      </c>
      <c r="N5" s="31">
        <v>11240</v>
      </c>
      <c r="O5" s="31">
        <v>7</v>
      </c>
      <c r="P5" s="43">
        <f>('Flow cytometer'!N5/'Flow cytometer'!O5)*POWER(10,'Flow cytometer'!M5+2)*10.2</f>
        <v>163782857.14285713</v>
      </c>
      <c r="Q5" s="46">
        <f>AVERAGE(H5,L5,P5)*Calculation!I5/Calculation!K4</f>
        <v>168290394.19608283</v>
      </c>
      <c r="R5" s="47">
        <f>STDEV(H5,L5,P5)*Calculation!I5/Calculation!K4</f>
        <v>5645518.5621901536</v>
      </c>
      <c r="S5" s="48">
        <f t="shared" ref="S5:S19" si="1">LOG(Q5)</f>
        <v>8.2260593277007654</v>
      </c>
      <c r="T5" s="48">
        <f t="shared" ref="T5:T19" si="2">LN(Q5)</f>
        <v>18.941201582048404</v>
      </c>
      <c r="U5" s="48">
        <f t="shared" ref="U5:U20" si="3">LOG(H5)</f>
        <v>8.2194535370768111</v>
      </c>
      <c r="V5" s="48">
        <f t="shared" ref="V5:V20" si="4">LOG(L5)</f>
        <v>8.241487422777162</v>
      </c>
      <c r="W5" s="48">
        <f t="shared" ref="W5:W20" si="5">LOG(P5)</f>
        <v>8.2142684429807034</v>
      </c>
      <c r="X5" s="48">
        <f xml:space="preserve"> STDEV(U5:W5)*Calculation!I5/Calculation!K4</f>
        <v>1.4480101530550828E-2</v>
      </c>
    </row>
    <row r="6" spans="1:24">
      <c r="A6" s="63">
        <v>2</v>
      </c>
      <c r="B6" s="31">
        <v>80</v>
      </c>
      <c r="C6" s="31">
        <f>C5+B6</f>
        <v>200</v>
      </c>
      <c r="D6" s="13">
        <f t="shared" si="0"/>
        <v>3.3333333333333335</v>
      </c>
      <c r="E6" s="31">
        <v>2</v>
      </c>
      <c r="F6" s="31">
        <v>19429</v>
      </c>
      <c r="G6" s="31">
        <v>7</v>
      </c>
      <c r="H6" s="43">
        <f>('Flow cytometer'!F6/'Flow cytometer'!G6)*POWER(10,'Flow cytometer'!E6+2)*10.2</f>
        <v>283108285.71428567</v>
      </c>
      <c r="I6" s="31">
        <v>2</v>
      </c>
      <c r="J6" s="31">
        <v>17838</v>
      </c>
      <c r="K6" s="31">
        <v>7</v>
      </c>
      <c r="L6" s="43">
        <f>('Flow cytometer'!J6/'Flow cytometer'!K6)*POWER(10,'Flow cytometer'!I6+2)*10.2</f>
        <v>259925142.85714284</v>
      </c>
      <c r="M6" s="31">
        <v>2</v>
      </c>
      <c r="N6" s="31">
        <v>17390</v>
      </c>
      <c r="O6" s="31">
        <v>7</v>
      </c>
      <c r="P6" s="43">
        <f>('Flow cytometer'!N6/'Flow cytometer'!O6)*POWER(10,'Flow cytometer'!M6+2)*10.2</f>
        <v>253397142.85714284</v>
      </c>
      <c r="Q6" s="46">
        <f>AVERAGE(H6,L6,P6)*Calculation!I6/Calculation!K5</f>
        <v>266159491.99473512</v>
      </c>
      <c r="R6" s="47">
        <f>STDEV(H6,L6,P6)*Calculation!I6/Calculation!K5</f>
        <v>15654378.825951299</v>
      </c>
      <c r="S6" s="48">
        <f t="shared" si="1"/>
        <v>8.4251419589454759</v>
      </c>
      <c r="T6" s="48">
        <f t="shared" si="2"/>
        <v>19.399606281026504</v>
      </c>
      <c r="U6" s="48">
        <f t="shared" si="3"/>
        <v>8.4519525800232973</v>
      </c>
      <c r="V6" s="48">
        <f t="shared" si="4"/>
        <v>8.4148482913362415</v>
      </c>
      <c r="W6" s="48">
        <f t="shared" si="5"/>
        <v>8.403801713750374</v>
      </c>
      <c r="X6" s="48">
        <f xml:space="preserve"> STDEV(U6:W6)*Calculation!I6/Calculation!K5</f>
        <v>2.5288064815226271E-2</v>
      </c>
    </row>
    <row r="7" spans="1:24">
      <c r="A7" s="63">
        <v>3</v>
      </c>
      <c r="B7" s="31">
        <v>80</v>
      </c>
      <c r="C7" s="31">
        <f>C6+B7</f>
        <v>280</v>
      </c>
      <c r="D7" s="13">
        <f t="shared" si="0"/>
        <v>4.666666666666667</v>
      </c>
      <c r="E7" s="31">
        <v>3</v>
      </c>
      <c r="F7" s="31">
        <v>3360</v>
      </c>
      <c r="G7" s="31">
        <v>7</v>
      </c>
      <c r="H7" s="43">
        <f>('Flow cytometer'!F7/'Flow cytometer'!G7)*POWER(10,'Flow cytometer'!E7+2)*10.2</f>
        <v>489599999.99999994</v>
      </c>
      <c r="I7" s="31">
        <v>3</v>
      </c>
      <c r="J7" s="31">
        <v>3570</v>
      </c>
      <c r="K7" s="31">
        <v>7</v>
      </c>
      <c r="L7" s="43">
        <f>('Flow cytometer'!J7/'Flow cytometer'!K7)*POWER(10,'Flow cytometer'!I7+2)*10.2</f>
        <v>520199999.99999994</v>
      </c>
      <c r="M7" s="31">
        <v>3</v>
      </c>
      <c r="N7" s="31">
        <v>3278</v>
      </c>
      <c r="O7" s="31">
        <v>7</v>
      </c>
      <c r="P7" s="43">
        <f>('Flow cytometer'!N7/'Flow cytometer'!O7)*POWER(10,'Flow cytometer'!M7+2)*10.2</f>
        <v>477651428.57142848</v>
      </c>
      <c r="Q7" s="46">
        <f>AVERAGE(H7,L7,P7)*Calculation!I7/Calculation!K6</f>
        <v>497767919.98155975</v>
      </c>
      <c r="R7" s="47">
        <f>STDEV(H7,L7,P7)*Calculation!I7/Calculation!K6</f>
        <v>22031384.388169114</v>
      </c>
      <c r="S7" s="48">
        <f t="shared" si="1"/>
        <v>8.6970269038757753</v>
      </c>
      <c r="T7" s="48">
        <f t="shared" si="2"/>
        <v>20.025644502232517</v>
      </c>
      <c r="U7" s="48">
        <f t="shared" si="3"/>
        <v>8.6898414091375056</v>
      </c>
      <c r="V7" s="48">
        <f t="shared" si="4"/>
        <v>8.7161703478598547</v>
      </c>
      <c r="W7" s="48">
        <f t="shared" si="5"/>
        <v>8.6791110809821408</v>
      </c>
      <c r="X7" s="48">
        <f xml:space="preserve"> STDEV(U7:W7)*Calculation!I7/Calculation!K6</f>
        <v>1.9143945889504885E-2</v>
      </c>
    </row>
    <row r="8" spans="1:24">
      <c r="A8" s="63">
        <v>4</v>
      </c>
      <c r="B8" s="31">
        <v>80</v>
      </c>
      <c r="C8" s="31">
        <f t="shared" ref="C8:C18" si="6">C7+B8</f>
        <v>360</v>
      </c>
      <c r="D8" s="13">
        <f t="shared" si="0"/>
        <v>6</v>
      </c>
      <c r="E8" s="31">
        <v>3</v>
      </c>
      <c r="F8" s="31">
        <v>5026</v>
      </c>
      <c r="G8" s="31">
        <v>7</v>
      </c>
      <c r="H8" s="43">
        <f>('Flow cytometer'!F8/'Flow cytometer'!G8)*POWER(10,'Flow cytometer'!E8+2)*10.2</f>
        <v>732360000</v>
      </c>
      <c r="I8" s="31">
        <v>3</v>
      </c>
      <c r="J8" s="31">
        <v>5623</v>
      </c>
      <c r="K8" s="31">
        <v>7</v>
      </c>
      <c r="L8" s="43">
        <f>('Flow cytometer'!J8/'Flow cytometer'!K8)*POWER(10,'Flow cytometer'!I8+2)*10.2</f>
        <v>819351428.57142854</v>
      </c>
      <c r="M8" s="31">
        <v>3</v>
      </c>
      <c r="N8" s="31">
        <v>4814</v>
      </c>
      <c r="O8" s="31">
        <v>7</v>
      </c>
      <c r="P8" s="43">
        <f>('Flow cytometer'!N8/'Flow cytometer'!O8)*POWER(10,'Flow cytometer'!M8+2)*10.2</f>
        <v>701468571.42857134</v>
      </c>
      <c r="Q8" s="46">
        <f>AVERAGE(H8,L8,P8)*Calculation!I8/Calculation!K7</f>
        <v>756125631.08512115</v>
      </c>
      <c r="R8" s="47">
        <f>STDEV(H8,L8,P8)*Calculation!I8/Calculation!K7</f>
        <v>61538039.348563515</v>
      </c>
      <c r="S8" s="48">
        <f t="shared" si="1"/>
        <v>8.878593959990754</v>
      </c>
      <c r="T8" s="48">
        <f t="shared" si="2"/>
        <v>20.44371809902168</v>
      </c>
      <c r="U8" s="48">
        <f t="shared" si="3"/>
        <v>8.8647246160042172</v>
      </c>
      <c r="V8" s="48">
        <f t="shared" si="4"/>
        <v>8.913470215257064</v>
      </c>
      <c r="W8" s="48">
        <f t="shared" si="5"/>
        <v>8.8460082176866717</v>
      </c>
      <c r="X8" s="48">
        <f xml:space="preserve"> STDEV(U8:W8)*Calculation!I8/Calculation!K7</f>
        <v>3.5061988534161655E-2</v>
      </c>
    </row>
    <row r="9" spans="1:24">
      <c r="A9" s="63">
        <v>5</v>
      </c>
      <c r="B9" s="31">
        <v>80</v>
      </c>
      <c r="C9" s="31">
        <f t="shared" si="6"/>
        <v>440</v>
      </c>
      <c r="D9" s="13">
        <f t="shared" si="0"/>
        <v>7.333333333333333</v>
      </c>
      <c r="E9" s="31">
        <v>3</v>
      </c>
      <c r="F9" s="31">
        <v>12767</v>
      </c>
      <c r="G9" s="31">
        <v>7</v>
      </c>
      <c r="H9" s="43">
        <f>('Flow cytometer'!F9/'Flow cytometer'!G9)*POWER(10,'Flow cytometer'!E9+2)*10.2</f>
        <v>1860334285.7142856</v>
      </c>
      <c r="I9" s="31">
        <v>3</v>
      </c>
      <c r="J9" s="31">
        <v>12186</v>
      </c>
      <c r="K9" s="31">
        <v>7</v>
      </c>
      <c r="L9" s="43">
        <f>('Flow cytometer'!J9/'Flow cytometer'!K9)*POWER(10,'Flow cytometer'!I9+2)*10.2</f>
        <v>1775674285.7142856</v>
      </c>
      <c r="M9" s="31">
        <v>3</v>
      </c>
      <c r="N9" s="31">
        <v>12128</v>
      </c>
      <c r="O9" s="31">
        <v>7</v>
      </c>
      <c r="P9" s="43">
        <f>('Flow cytometer'!N9/'Flow cytometer'!O9)*POWER(10,'Flow cytometer'!M9+2)*10.2</f>
        <v>1767222857.1428571</v>
      </c>
      <c r="Q9" s="46">
        <f>AVERAGE(H9,L9,P9)*Calculation!I9/Calculation!K8</f>
        <v>1821057268.4149017</v>
      </c>
      <c r="R9" s="47">
        <f>STDEV(H9,L9,P9)*Calculation!I9/Calculation!K8</f>
        <v>52063098.589767374</v>
      </c>
      <c r="S9" s="48">
        <f t="shared" si="1"/>
        <v>9.2603236036562588</v>
      </c>
      <c r="T9" s="48">
        <f t="shared" si="2"/>
        <v>21.322683086079806</v>
      </c>
      <c r="U9" s="48">
        <f t="shared" si="3"/>
        <v>9.2695909901301032</v>
      </c>
      <c r="V9" s="48">
        <f t="shared" si="4"/>
        <v>9.2493633055361109</v>
      </c>
      <c r="W9" s="48">
        <f t="shared" si="5"/>
        <v>9.2472913200356395</v>
      </c>
      <c r="X9" s="48">
        <f xml:space="preserve"> STDEV(U9:W9)*Calculation!I9/Calculation!K8</f>
        <v>1.2456898364289747E-2</v>
      </c>
    </row>
    <row r="10" spans="1:24">
      <c r="A10" s="63">
        <v>6</v>
      </c>
      <c r="B10" s="31">
        <v>80</v>
      </c>
      <c r="C10" s="31">
        <f t="shared" si="6"/>
        <v>520</v>
      </c>
      <c r="D10" s="13">
        <f t="shared" si="0"/>
        <v>8.6666666666666661</v>
      </c>
      <c r="E10" s="31">
        <v>3</v>
      </c>
      <c r="F10" s="31">
        <v>24138</v>
      </c>
      <c r="G10" s="31">
        <v>7</v>
      </c>
      <c r="H10" s="43">
        <f>('Flow cytometer'!F10/'Flow cytometer'!G10)*POWER(10,'Flow cytometer'!E10+2)*10.2</f>
        <v>3517251428.5714283</v>
      </c>
      <c r="I10" s="31">
        <v>3</v>
      </c>
      <c r="J10" s="31">
        <v>23655</v>
      </c>
      <c r="K10" s="31">
        <v>7</v>
      </c>
      <c r="L10" s="43">
        <f>('Flow cytometer'!J10/'Flow cytometer'!K10)*POWER(10,'Flow cytometer'!I10+2)*10.2</f>
        <v>3446871428.5714283</v>
      </c>
      <c r="M10" s="31">
        <v>3</v>
      </c>
      <c r="N10" s="31">
        <v>22397</v>
      </c>
      <c r="O10" s="31">
        <v>7</v>
      </c>
      <c r="P10" s="43">
        <f>('Flow cytometer'!N10/'Flow cytometer'!O10)*POWER(10,'Flow cytometer'!M10+2)*10.2</f>
        <v>3263562857.1428571</v>
      </c>
      <c r="Q10" s="46">
        <f>AVERAGE(H10,L10,P10)*Calculation!I10/Calculation!K9</f>
        <v>3475073399.868669</v>
      </c>
      <c r="R10" s="47">
        <f>STDEV(H10,L10,P10)*Calculation!I10/Calculation!K9</f>
        <v>133495898.35051717</v>
      </c>
      <c r="S10" s="48">
        <f t="shared" si="1"/>
        <v>9.5409639821121122</v>
      </c>
      <c r="T10" s="48">
        <f t="shared" si="2"/>
        <v>21.968881438004459</v>
      </c>
      <c r="U10" s="48">
        <f t="shared" si="3"/>
        <v>9.5462034147025658</v>
      </c>
      <c r="V10" s="48">
        <f t="shared" si="4"/>
        <v>9.537425084132245</v>
      </c>
      <c r="W10" s="48">
        <f t="shared" si="5"/>
        <v>9.5136919817469945</v>
      </c>
      <c r="X10" s="48">
        <f xml:space="preserve"> STDEV(U10:W10)*Calculation!I10/Calculation!K9</f>
        <v>1.7144038901036E-2</v>
      </c>
    </row>
    <row r="11" spans="1:24">
      <c r="A11" s="63">
        <v>7</v>
      </c>
      <c r="B11" s="31">
        <v>80</v>
      </c>
      <c r="C11" s="31">
        <f t="shared" si="6"/>
        <v>600</v>
      </c>
      <c r="D11" s="13">
        <f t="shared" si="0"/>
        <v>10</v>
      </c>
      <c r="E11" s="31">
        <v>3</v>
      </c>
      <c r="F11" s="31">
        <v>39802</v>
      </c>
      <c r="G11" s="31">
        <v>7</v>
      </c>
      <c r="H11" s="43">
        <f>('Flow cytometer'!F11/'Flow cytometer'!G11)*POWER(10,'Flow cytometer'!E11+2)*10.2</f>
        <v>5799720000</v>
      </c>
      <c r="I11" s="31">
        <v>3</v>
      </c>
      <c r="J11" s="31">
        <v>40627</v>
      </c>
      <c r="K11" s="31">
        <v>7</v>
      </c>
      <c r="L11" s="43">
        <f>('Flow cytometer'!J11/'Flow cytometer'!K11)*POWER(10,'Flow cytometer'!I11+2)*10.2</f>
        <v>5919934285.7142849</v>
      </c>
      <c r="M11" s="31">
        <v>3</v>
      </c>
      <c r="N11" s="31">
        <v>40826</v>
      </c>
      <c r="O11" s="31">
        <v>7</v>
      </c>
      <c r="P11" s="43">
        <f>('Flow cytometer'!N11/'Flow cytometer'!O11)*POWER(10,'Flow cytometer'!M11+2)*10.2</f>
        <v>5948931428.5714283</v>
      </c>
      <c r="Q11" s="46">
        <f>AVERAGE(H11,L11,P11)*Calculation!I11/Calculation!K10</f>
        <v>6075934087.5419292</v>
      </c>
      <c r="R11" s="47">
        <f>STDEV(H11,L11,P11)*Calculation!I11/Calculation!K10</f>
        <v>81620384.780937672</v>
      </c>
      <c r="S11" s="48">
        <f t="shared" si="1"/>
        <v>9.7836130539379358</v>
      </c>
      <c r="T11" s="48">
        <f t="shared" si="2"/>
        <v>22.527601573619439</v>
      </c>
      <c r="U11" s="48">
        <f t="shared" si="3"/>
        <v>9.7634070271163402</v>
      </c>
      <c r="V11" s="48">
        <f t="shared" si="4"/>
        <v>9.7723168858597322</v>
      </c>
      <c r="W11" s="48">
        <f t="shared" si="5"/>
        <v>9.774438962980323</v>
      </c>
      <c r="X11" s="48">
        <f xml:space="preserve"> STDEV(U11:W11)*Calculation!I11/Calculation!K10</f>
        <v>6.0389360016230255E-3</v>
      </c>
    </row>
    <row r="12" spans="1:24">
      <c r="A12" s="63">
        <v>8</v>
      </c>
      <c r="B12" s="31">
        <v>80</v>
      </c>
      <c r="C12" s="31">
        <f t="shared" si="6"/>
        <v>680</v>
      </c>
      <c r="D12" s="13">
        <f t="shared" si="0"/>
        <v>11.333333333333334</v>
      </c>
      <c r="E12" s="31">
        <v>4</v>
      </c>
      <c r="F12" s="31">
        <v>5340</v>
      </c>
      <c r="G12" s="31">
        <v>7</v>
      </c>
      <c r="H12" s="43">
        <f>('Flow cytometer'!F12/'Flow cytometer'!G12)*POWER(10,'Flow cytometer'!E12+2)*10.2</f>
        <v>7781142857.1428576</v>
      </c>
      <c r="I12" s="31">
        <v>4</v>
      </c>
      <c r="J12" s="31">
        <v>5987</v>
      </c>
      <c r="K12" s="31">
        <v>7</v>
      </c>
      <c r="L12" s="43">
        <f>('Flow cytometer'!J12/'Flow cytometer'!K12)*POWER(10,'Flow cytometer'!I12+2)*10.2</f>
        <v>8723914285.7142868</v>
      </c>
      <c r="M12" s="31">
        <v>4</v>
      </c>
      <c r="N12" s="31">
        <v>5083</v>
      </c>
      <c r="O12" s="31">
        <v>7</v>
      </c>
      <c r="P12" s="43">
        <f>('Flow cytometer'!N12/'Flow cytometer'!O12)*POWER(10,'Flow cytometer'!M12+2)*10.2</f>
        <v>7406657142.8571415</v>
      </c>
      <c r="Q12" s="46">
        <f>AVERAGE(H12,L12,P12)*Calculation!I12/Calculation!K11</f>
        <v>8369111297.9869633</v>
      </c>
      <c r="R12" s="47">
        <f>STDEV(H12,L12,P12)*Calculation!I12/Calculation!K11</f>
        <v>712690334.20226216</v>
      </c>
      <c r="S12" s="48">
        <f t="shared" si="1"/>
        <v>9.9226793434327192</v>
      </c>
      <c r="T12" s="48">
        <f t="shared" si="2"/>
        <v>22.847813538748124</v>
      </c>
      <c r="U12" s="48">
        <f t="shared" si="3"/>
        <v>9.8910433887762164</v>
      </c>
      <c r="V12" s="48">
        <f t="shared" si="4"/>
        <v>9.9407113898933464</v>
      </c>
      <c r="W12" s="48">
        <f t="shared" si="5"/>
        <v>9.8696222414503634</v>
      </c>
      <c r="X12" s="48">
        <f xml:space="preserve"> STDEV(U12:W12)*Calculation!I12/Calculation!K11</f>
        <v>3.8291338369933599E-2</v>
      </c>
    </row>
    <row r="13" spans="1:24">
      <c r="A13" s="63">
        <v>9</v>
      </c>
      <c r="B13" s="31">
        <v>80</v>
      </c>
      <c r="C13" s="31">
        <f t="shared" si="6"/>
        <v>760</v>
      </c>
      <c r="D13" s="13">
        <f t="shared" si="0"/>
        <v>12.666666666666666</v>
      </c>
      <c r="E13" s="31">
        <v>4</v>
      </c>
      <c r="F13" s="31">
        <v>5946</v>
      </c>
      <c r="G13" s="31">
        <v>7</v>
      </c>
      <c r="H13" s="43">
        <f>('Flow cytometer'!F13/'Flow cytometer'!G13)*POWER(10,'Flow cytometer'!E13+2)*10.2</f>
        <v>8664171428.5714283</v>
      </c>
      <c r="I13" s="31">
        <v>4</v>
      </c>
      <c r="J13" s="31">
        <v>6071</v>
      </c>
      <c r="K13" s="31">
        <v>7</v>
      </c>
      <c r="L13" s="43">
        <f>('Flow cytometer'!J13/'Flow cytometer'!K13)*POWER(10,'Flow cytometer'!I13+2)*10.2</f>
        <v>8846314285.7142868</v>
      </c>
      <c r="M13" s="31">
        <v>4</v>
      </c>
      <c r="N13" s="31">
        <v>6478</v>
      </c>
      <c r="O13" s="31">
        <v>7</v>
      </c>
      <c r="P13" s="43">
        <f>('Flow cytometer'!N13/'Flow cytometer'!O13)*POWER(10,'Flow cytometer'!M13+2)*10.2</f>
        <v>9439371428.5714283</v>
      </c>
      <c r="Q13" s="46">
        <f>AVERAGE(H13,L13,P13)*Calculation!I13/Calculation!K12</f>
        <v>9484208218.6865635</v>
      </c>
      <c r="R13" s="47">
        <f>STDEV(H13,L13,P13)*Calculation!I13/Calculation!K12</f>
        <v>427947782.5214349</v>
      </c>
      <c r="S13" s="48">
        <f t="shared" si="1"/>
        <v>9.9770010800208233</v>
      </c>
      <c r="T13" s="48">
        <f t="shared" si="2"/>
        <v>22.972893959641443</v>
      </c>
      <c r="U13" s="48">
        <f t="shared" si="3"/>
        <v>9.9377270366165789</v>
      </c>
      <c r="V13" s="48">
        <f t="shared" si="4"/>
        <v>9.9467623646206089</v>
      </c>
      <c r="W13" s="48">
        <f t="shared" si="5"/>
        <v>9.9749430754218196</v>
      </c>
      <c r="X13" s="48">
        <f xml:space="preserve"> STDEV(U13:W13)*Calculation!I13/Calculation!K12</f>
        <v>2.0493849315864298E-2</v>
      </c>
    </row>
    <row r="14" spans="1:24">
      <c r="A14" s="63">
        <v>10</v>
      </c>
      <c r="B14" s="31">
        <v>80</v>
      </c>
      <c r="C14" s="31">
        <f t="shared" si="6"/>
        <v>840</v>
      </c>
      <c r="D14" s="13">
        <f t="shared" si="0"/>
        <v>14</v>
      </c>
      <c r="E14" s="31">
        <v>4</v>
      </c>
      <c r="F14" s="31">
        <v>5802</v>
      </c>
      <c r="G14" s="31">
        <v>7</v>
      </c>
      <c r="H14" s="43">
        <f>('Flow cytometer'!F14/'Flow cytometer'!G14)*POWER(10,'Flow cytometer'!E14+2)*10.2</f>
        <v>8454342857.1428576</v>
      </c>
      <c r="I14" s="31">
        <v>4</v>
      </c>
      <c r="J14" s="31">
        <v>6677</v>
      </c>
      <c r="K14" s="31">
        <v>7</v>
      </c>
      <c r="L14" s="43">
        <f>('Flow cytometer'!J14/'Flow cytometer'!K14)*POWER(10,'Flow cytometer'!I14+2)*10.2</f>
        <v>9729342857.1428566</v>
      </c>
      <c r="M14" s="31">
        <v>4</v>
      </c>
      <c r="N14" s="31">
        <v>6138</v>
      </c>
      <c r="O14" s="31">
        <v>7</v>
      </c>
      <c r="P14" s="43">
        <f>('Flow cytometer'!N14/'Flow cytometer'!O14)*POWER(10,'Flow cytometer'!M14+2)*10.2</f>
        <v>8943942857.1428566</v>
      </c>
      <c r="Q14" s="46">
        <f>AVERAGE(H14,L14,P14)*Calculation!I14/Calculation!K13</f>
        <v>9554474857.0894794</v>
      </c>
      <c r="R14" s="47">
        <f>STDEV(H14,L14,P14)*Calculation!I14/Calculation!K13</f>
        <v>679606947.32338381</v>
      </c>
      <c r="S14" s="48">
        <f t="shared" si="1"/>
        <v>9.9802068219053428</v>
      </c>
      <c r="T14" s="48">
        <f t="shared" si="2"/>
        <v>22.980275453116725</v>
      </c>
      <c r="U14" s="48">
        <f t="shared" si="3"/>
        <v>9.9270798562143057</v>
      </c>
      <c r="V14" s="48">
        <f t="shared" si="4"/>
        <v>9.988083507981143</v>
      </c>
      <c r="W14" s="48">
        <f t="shared" si="5"/>
        <v>9.9515290158434642</v>
      </c>
      <c r="X14" s="48">
        <f xml:space="preserve"> STDEV(U14:W14)*Calculation!I14/Calculation!K13</f>
        <v>3.2439469044871772E-2</v>
      </c>
    </row>
    <row r="15" spans="1:24">
      <c r="A15" s="63">
        <v>11</v>
      </c>
      <c r="B15" s="31">
        <v>80</v>
      </c>
      <c r="C15" s="31">
        <f t="shared" si="6"/>
        <v>920</v>
      </c>
      <c r="D15" s="13">
        <f t="shared" si="0"/>
        <v>15.333333333333334</v>
      </c>
      <c r="E15" s="31">
        <v>4</v>
      </c>
      <c r="F15" s="31">
        <v>7382</v>
      </c>
      <c r="G15" s="31">
        <v>7</v>
      </c>
      <c r="H15" s="43">
        <f>('Flow cytometer'!F15/'Flow cytometer'!G15)*POWER(10,'Flow cytometer'!E15+2)*10.2</f>
        <v>10756628571.428572</v>
      </c>
      <c r="I15" s="31">
        <v>4</v>
      </c>
      <c r="J15" s="31">
        <v>7424</v>
      </c>
      <c r="K15" s="31">
        <v>7</v>
      </c>
      <c r="L15" s="43">
        <f>('Flow cytometer'!J15/'Flow cytometer'!K15)*POWER(10,'Flow cytometer'!I15+2)*10.2</f>
        <v>10817828571.428572</v>
      </c>
      <c r="M15" s="31">
        <v>4</v>
      </c>
      <c r="N15" s="31">
        <v>7192</v>
      </c>
      <c r="O15" s="31">
        <v>7</v>
      </c>
      <c r="P15" s="43">
        <f>('Flow cytometer'!N15/'Flow cytometer'!O15)*POWER(10,'Flow cytometer'!M15+2)*10.2</f>
        <v>10479771428.571426</v>
      </c>
      <c r="Q15" s="46">
        <f>AVERAGE(H15,L15,P15)*Calculation!I15/Calculation!K14</f>
        <v>11308636062.906818</v>
      </c>
      <c r="R15" s="47">
        <f>STDEV(H15,L15,P15)*Calculation!I15/Calculation!K14</f>
        <v>190646531.8952516</v>
      </c>
      <c r="S15" s="48">
        <f t="shared" si="1"/>
        <v>10.053410227730623</v>
      </c>
      <c r="T15" s="48">
        <f t="shared" si="2"/>
        <v>23.148832524126409</v>
      </c>
      <c r="U15" s="48">
        <f t="shared" si="3"/>
        <v>10.031676172607298</v>
      </c>
      <c r="V15" s="48">
        <f t="shared" si="4"/>
        <v>10.034140094958467</v>
      </c>
      <c r="W15" s="48">
        <f t="shared" si="5"/>
        <v>10.020351810472834</v>
      </c>
      <c r="X15" s="48">
        <f xml:space="preserve"> STDEV(U15:W15)*Calculation!I15/Calculation!K14</f>
        <v>7.7826998483433744E-3</v>
      </c>
    </row>
    <row r="16" spans="1:24">
      <c r="A16" s="63">
        <v>12</v>
      </c>
      <c r="B16" s="31">
        <v>80</v>
      </c>
      <c r="C16" s="31">
        <f t="shared" si="6"/>
        <v>1000</v>
      </c>
      <c r="D16" s="13">
        <f t="shared" si="0"/>
        <v>16.666666666666668</v>
      </c>
      <c r="E16" s="31">
        <v>4</v>
      </c>
      <c r="F16" s="31">
        <v>5036</v>
      </c>
      <c r="G16" s="31">
        <v>7</v>
      </c>
      <c r="H16" s="43">
        <f>('Flow cytometer'!F16/'Flow cytometer'!G16)*POWER(10,'Flow cytometer'!E16+2)*10.2</f>
        <v>7338171428.5714283</v>
      </c>
      <c r="I16" s="31">
        <v>4</v>
      </c>
      <c r="J16" s="31">
        <v>5927</v>
      </c>
      <c r="K16" s="31">
        <v>7</v>
      </c>
      <c r="L16" s="43">
        <f>('Flow cytometer'!J16/'Flow cytometer'!K16)*POWER(10,'Flow cytometer'!I16+2)*10.2</f>
        <v>8636485714.2857132</v>
      </c>
      <c r="M16" s="31">
        <v>4</v>
      </c>
      <c r="N16" s="31">
        <v>5763</v>
      </c>
      <c r="O16" s="31">
        <v>7</v>
      </c>
      <c r="P16" s="43">
        <f>('Flow cytometer'!N16/'Flow cytometer'!O16)*POWER(10,'Flow cytometer'!M16+2)*10.2</f>
        <v>8397514285.7142859</v>
      </c>
      <c r="Q16" s="46">
        <f>AVERAGE(H16,L16,P16)*Calculation!I16/Calculation!K15</f>
        <v>8605932249.0384178</v>
      </c>
      <c r="R16" s="47">
        <f>STDEV(H16,L16,P16)*Calculation!I16/Calculation!K15</f>
        <v>731992591.51827252</v>
      </c>
      <c r="S16" s="48">
        <f t="shared" si="1"/>
        <v>9.9347979227383352</v>
      </c>
      <c r="T16" s="48">
        <f t="shared" si="2"/>
        <v>22.875717598805501</v>
      </c>
      <c r="U16" s="48">
        <f t="shared" si="3"/>
        <v>9.8655878531834862</v>
      </c>
      <c r="V16" s="48">
        <f t="shared" si="4"/>
        <v>9.9363370589866786</v>
      </c>
      <c r="W16" s="48">
        <f t="shared" si="5"/>
        <v>9.9241507513290177</v>
      </c>
      <c r="X16" s="48">
        <f xml:space="preserve"> STDEV(U16:W16)*Calculation!I16/Calculation!K15</f>
        <v>4.0066673391333234E-2</v>
      </c>
    </row>
    <row r="17" spans="1:24">
      <c r="A17" s="63">
        <v>13</v>
      </c>
      <c r="B17" s="31">
        <v>80</v>
      </c>
      <c r="C17" s="31">
        <f t="shared" si="6"/>
        <v>1080</v>
      </c>
      <c r="D17" s="13">
        <f t="shared" si="0"/>
        <v>18</v>
      </c>
      <c r="E17" s="31">
        <v>4</v>
      </c>
      <c r="F17" s="31">
        <v>5524</v>
      </c>
      <c r="G17" s="31">
        <v>7</v>
      </c>
      <c r="H17" s="43">
        <f>('Flow cytometer'!F17/'Flow cytometer'!G17)*POWER(10,'Flow cytometer'!E17+2)*10.2</f>
        <v>8049257142.8571415</v>
      </c>
      <c r="I17" s="31">
        <v>4</v>
      </c>
      <c r="J17" s="31">
        <v>6062</v>
      </c>
      <c r="K17" s="31">
        <v>7</v>
      </c>
      <c r="L17" s="43">
        <f>('Flow cytometer'!J17/'Flow cytometer'!K17)*POWER(10,'Flow cytometer'!I17+2)*10.2</f>
        <v>8833200000</v>
      </c>
      <c r="M17" s="31">
        <v>4</v>
      </c>
      <c r="N17" s="31">
        <v>6357</v>
      </c>
      <c r="O17" s="31">
        <v>7</v>
      </c>
      <c r="P17" s="43">
        <f>('Flow cytometer'!N17/'Flow cytometer'!O17)*POWER(10,'Flow cytometer'!M17+2)*10.2</f>
        <v>9263057142.8571415</v>
      </c>
      <c r="Q17" s="46">
        <f>AVERAGE(H17,L17,P17)*Calculation!I17/Calculation!K16</f>
        <v>9232108235.3519287</v>
      </c>
      <c r="R17" s="47">
        <f>STDEV(H17,L17,P17)*Calculation!I17/Calculation!K16</f>
        <v>651952551.76560104</v>
      </c>
      <c r="S17" s="48">
        <f t="shared" si="1"/>
        <v>9.9653008874213338</v>
      </c>
      <c r="T17" s="48">
        <f t="shared" si="2"/>
        <v>22.945953270576698</v>
      </c>
      <c r="U17" s="48">
        <f t="shared" si="3"/>
        <v>9.9057558016542551</v>
      </c>
      <c r="V17" s="48">
        <f t="shared" si="4"/>
        <v>9.9461180637792648</v>
      </c>
      <c r="W17" s="48">
        <f t="shared" si="5"/>
        <v>9.9667543431781169</v>
      </c>
      <c r="X17" s="48">
        <f xml:space="preserve"> STDEV(U17:W17)*Calculation!I17/Calculation!K16</f>
        <v>3.2866619469346027E-2</v>
      </c>
    </row>
    <row r="18" spans="1:24">
      <c r="A18" s="63">
        <v>14</v>
      </c>
      <c r="B18" s="31">
        <v>360</v>
      </c>
      <c r="C18" s="31">
        <f t="shared" si="6"/>
        <v>1440</v>
      </c>
      <c r="D18" s="13">
        <f t="shared" si="0"/>
        <v>24</v>
      </c>
      <c r="E18" s="31">
        <v>4</v>
      </c>
      <c r="F18" s="31">
        <v>4725</v>
      </c>
      <c r="G18" s="31">
        <v>7</v>
      </c>
      <c r="H18" s="43">
        <f>('Flow cytometer'!F18/'Flow cytometer'!G18)*POWER(10,'Flow cytometer'!E18+2)*10.2</f>
        <v>6884999999.999999</v>
      </c>
      <c r="I18" s="31">
        <v>4</v>
      </c>
      <c r="J18" s="31">
        <v>4342</v>
      </c>
      <c r="K18" s="31">
        <v>7</v>
      </c>
      <c r="L18" s="43">
        <f>('Flow cytometer'!J18/'Flow cytometer'!K18)*POWER(10,'Flow cytometer'!I18+2)*10.2</f>
        <v>6326914285.7142859</v>
      </c>
      <c r="M18" s="31">
        <v>4</v>
      </c>
      <c r="N18" s="31">
        <v>4691</v>
      </c>
      <c r="O18" s="31">
        <v>7</v>
      </c>
      <c r="P18" s="43">
        <f>('Flow cytometer'!N18/'Flow cytometer'!O18)*POWER(10,'Flow cytometer'!M18+2)*10.2</f>
        <v>6835457142.8571415</v>
      </c>
      <c r="Q18" s="46">
        <f>AVERAGE(H18,L18,P18)*Calculation!I18/Calculation!K17</f>
        <v>7085508780.5377054</v>
      </c>
      <c r="R18" s="47">
        <f>STDEV(H18,L18,P18)*Calculation!I18/Calculation!K17</f>
        <v>327535483.49771529</v>
      </c>
      <c r="S18" s="48">
        <f t="shared" si="1"/>
        <v>9.8503710405604323</v>
      </c>
      <c r="T18" s="48">
        <f t="shared" si="2"/>
        <v>22.681317518454698</v>
      </c>
      <c r="U18" s="48">
        <f t="shared" si="3"/>
        <v>9.8379039445929433</v>
      </c>
      <c r="V18" s="48">
        <f t="shared" si="4"/>
        <v>9.8011919508660625</v>
      </c>
      <c r="W18" s="48">
        <f t="shared" si="5"/>
        <v>9.8347675646948183</v>
      </c>
      <c r="X18" s="48">
        <f xml:space="preserve"> STDEV(U18:W18)*Calculation!I18/Calculation!K17</f>
        <v>2.1578251146525611E-2</v>
      </c>
    </row>
    <row r="19" spans="1:24">
      <c r="A19" s="63">
        <v>15</v>
      </c>
      <c r="B19" s="31">
        <v>360</v>
      </c>
      <c r="C19" s="31">
        <f>C18+B19</f>
        <v>1800</v>
      </c>
      <c r="D19" s="13">
        <f t="shared" si="0"/>
        <v>30</v>
      </c>
      <c r="E19" s="31">
        <v>4</v>
      </c>
      <c r="F19" s="31">
        <v>6564</v>
      </c>
      <c r="G19" s="31">
        <v>7</v>
      </c>
      <c r="H19" s="43">
        <f>('Flow cytometer'!F19/'Flow cytometer'!G19)*POWER(10,'Flow cytometer'!E19+2)*10.2</f>
        <v>9564685714.2857132</v>
      </c>
      <c r="I19" s="31">
        <v>4</v>
      </c>
      <c r="J19" s="31">
        <v>7063</v>
      </c>
      <c r="K19" s="31">
        <v>7</v>
      </c>
      <c r="L19" s="43">
        <f>('Flow cytometer'!J19/'Flow cytometer'!K19)*POWER(10,'Flow cytometer'!I19+2)*10.2</f>
        <v>10291800000</v>
      </c>
      <c r="M19" s="31">
        <v>4</v>
      </c>
      <c r="N19" s="31">
        <v>7190</v>
      </c>
      <c r="O19" s="31">
        <v>7</v>
      </c>
      <c r="P19" s="43">
        <f>('Flow cytometer'!N19/'Flow cytometer'!O19)*POWER(10,'Flow cytometer'!M19+2)*10.2</f>
        <v>10476857142.857141</v>
      </c>
      <c r="Q19" s="46">
        <f>AVERAGE(H19,L19,P19)*Calculation!I19/Calculation!K18</f>
        <v>10720964986.51355</v>
      </c>
      <c r="R19" s="47">
        <f>STDEV(H19,L19,P19)*Calculation!I19/Calculation!K18</f>
        <v>511264964.51882792</v>
      </c>
      <c r="S19" s="48">
        <f t="shared" si="1"/>
        <v>10.030233877656794</v>
      </c>
      <c r="T19" s="48">
        <f t="shared" si="2"/>
        <v>23.095467005936396</v>
      </c>
      <c r="U19" s="48">
        <f t="shared" si="3"/>
        <v>9.9806707041287162</v>
      </c>
      <c r="V19" s="48">
        <f t="shared" si="4"/>
        <v>10.012491337998828</v>
      </c>
      <c r="W19" s="48">
        <f t="shared" si="5"/>
        <v>10.020231022130544</v>
      </c>
      <c r="X19" s="48">
        <f xml:space="preserve"> STDEV(U19:W19)*Calculation!I19/Calculation!K18</f>
        <v>2.2230710552410559E-2</v>
      </c>
    </row>
    <row r="20" spans="1:24">
      <c r="A20" s="63">
        <v>16</v>
      </c>
      <c r="B20" s="31">
        <v>1080</v>
      </c>
      <c r="C20" s="31">
        <f>C19+B20</f>
        <v>2880</v>
      </c>
      <c r="D20" s="13">
        <f t="shared" si="0"/>
        <v>48</v>
      </c>
      <c r="E20" s="31">
        <v>4</v>
      </c>
      <c r="F20" s="31">
        <v>7603</v>
      </c>
      <c r="G20" s="31">
        <v>7</v>
      </c>
      <c r="H20" s="43">
        <f>('Flow cytometer'!F20/'Flow cytometer'!G20)*POWER(10,'Flow cytometer'!E20+2)*10.2</f>
        <v>11078657142.857141</v>
      </c>
      <c r="I20" s="31">
        <v>4</v>
      </c>
      <c r="J20" s="31">
        <v>8148</v>
      </c>
      <c r="K20" s="31">
        <v>7</v>
      </c>
      <c r="L20" s="43">
        <f>('Flow cytometer'!J20/'Flow cytometer'!K20)*POWER(10,'Flow cytometer'!I20+2)*10.2</f>
        <v>11872800000</v>
      </c>
      <c r="M20" s="31">
        <v>4</v>
      </c>
      <c r="N20" s="31">
        <v>8303</v>
      </c>
      <c r="O20" s="31">
        <v>7</v>
      </c>
      <c r="P20" s="43">
        <f>('Flow cytometer'!N20/'Flow cytometer'!O20)*POWER(10,'Flow cytometer'!M20+2)*10.2</f>
        <v>12098657142.857141</v>
      </c>
      <c r="Q20" s="46">
        <f>AVERAGE(H20,L20,P20)*Calculation!I20/Calculation!K19</f>
        <v>12388052638.97761</v>
      </c>
      <c r="R20" s="47">
        <f>STDEV(H20,L20,P20)*Calculation!I20/Calculation!K19</f>
        <v>568048188.59468865</v>
      </c>
      <c r="S20" s="48">
        <f t="shared" ref="S20" si="7">LOG(Q20)</f>
        <v>10.093003042081016</v>
      </c>
      <c r="T20" s="48">
        <f t="shared" ref="T20" si="8">LN(Q20)</f>
        <v>23.2399983482393</v>
      </c>
      <c r="U20" s="48">
        <f t="shared" si="3"/>
        <v>10.044487122234415</v>
      </c>
      <c r="V20" s="48">
        <f t="shared" si="4"/>
        <v>10.074553152075786</v>
      </c>
      <c r="W20" s="48">
        <f t="shared" si="5"/>
        <v>10.082737169670912</v>
      </c>
      <c r="X20" s="48">
        <f xml:space="preserve"> STDEV(U20:W20)*Calculation!I20/Calculation!K19</f>
        <v>2.1356026450384195E-2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16" workbookViewId="0">
      <selection activeCell="D45" sqref="D45"/>
    </sheetView>
  </sheetViews>
  <sheetFormatPr baseColWidth="10" defaultColWidth="8.83203125" defaultRowHeight="14" x14ac:dyDescent="0"/>
  <cols>
    <col min="1" max="2" width="8.83203125" style="82"/>
    <col min="3" max="3" width="9.83203125" style="82" customWidth="1"/>
    <col min="4" max="17" width="8.83203125" style="82"/>
    <col min="18" max="18" width="13.83203125" style="82" bestFit="1" customWidth="1"/>
    <col min="19" max="16384" width="8.83203125" style="82"/>
  </cols>
  <sheetData>
    <row r="1" spans="2:18">
      <c r="B1" s="140" t="s">
        <v>4</v>
      </c>
      <c r="C1" s="142" t="s">
        <v>185</v>
      </c>
      <c r="D1" s="143" t="s">
        <v>18</v>
      </c>
      <c r="E1" s="143"/>
      <c r="F1" s="143"/>
      <c r="G1" s="143"/>
      <c r="H1" s="143" t="s">
        <v>20</v>
      </c>
      <c r="I1" s="143"/>
      <c r="J1" s="143"/>
      <c r="K1" s="143"/>
      <c r="L1" s="143" t="s">
        <v>21</v>
      </c>
      <c r="M1" s="143"/>
      <c r="N1" s="143"/>
      <c r="O1" s="143"/>
      <c r="P1" s="81" t="s">
        <v>22</v>
      </c>
      <c r="Q1" s="81" t="s">
        <v>22</v>
      </c>
      <c r="R1" s="81" t="s">
        <v>22</v>
      </c>
    </row>
    <row r="2" spans="2:18">
      <c r="B2" s="141"/>
      <c r="C2" s="141"/>
      <c r="D2" s="83" t="s">
        <v>19</v>
      </c>
      <c r="E2" s="83" t="s">
        <v>68</v>
      </c>
      <c r="F2" s="83" t="s">
        <v>69</v>
      </c>
      <c r="G2" s="83" t="s">
        <v>70</v>
      </c>
      <c r="H2" s="83" t="s">
        <v>19</v>
      </c>
      <c r="I2" s="83" t="s">
        <v>68</v>
      </c>
      <c r="J2" s="83" t="s">
        <v>69</v>
      </c>
      <c r="K2" s="83" t="s">
        <v>70</v>
      </c>
      <c r="L2" s="83" t="s">
        <v>19</v>
      </c>
      <c r="M2" s="83" t="s">
        <v>68</v>
      </c>
      <c r="N2" s="83" t="s">
        <v>69</v>
      </c>
      <c r="O2" s="83" t="s">
        <v>71</v>
      </c>
      <c r="P2" s="84" t="s">
        <v>70</v>
      </c>
      <c r="Q2" s="84" t="s">
        <v>23</v>
      </c>
      <c r="R2" s="84" t="s">
        <v>72</v>
      </c>
    </row>
    <row r="3" spans="2:18">
      <c r="B3" s="85"/>
      <c r="C3" s="85"/>
      <c r="D3" s="86"/>
      <c r="E3" s="86"/>
      <c r="F3" s="86"/>
      <c r="G3" s="87"/>
      <c r="H3" s="86"/>
      <c r="I3" s="86"/>
      <c r="J3" s="86"/>
      <c r="K3" s="87"/>
      <c r="L3" s="86"/>
      <c r="M3" s="86"/>
      <c r="N3" s="86"/>
      <c r="O3" s="87"/>
      <c r="P3" s="137"/>
      <c r="Q3" s="138"/>
      <c r="R3" s="139"/>
    </row>
    <row r="4" spans="2:18">
      <c r="B4" s="88" t="s">
        <v>186</v>
      </c>
      <c r="C4" s="89">
        <v>500</v>
      </c>
      <c r="D4" s="89">
        <v>3</v>
      </c>
      <c r="E4" s="89">
        <v>14133</v>
      </c>
      <c r="F4" s="89">
        <v>7</v>
      </c>
      <c r="G4" s="87">
        <f>(E4/F4)*(10.2)*POWER(10,D4+2)</f>
        <v>2059380000</v>
      </c>
      <c r="H4" s="89">
        <v>3</v>
      </c>
      <c r="I4" s="89">
        <v>15082</v>
      </c>
      <c r="J4" s="89">
        <v>7</v>
      </c>
      <c r="K4" s="87">
        <f t="shared" ref="K4:K18" si="0">(I4/J4)*(10.2)*POWER(10,H4+2)</f>
        <v>2197662857.1428571</v>
      </c>
      <c r="L4" s="89">
        <v>3</v>
      </c>
      <c r="M4" s="89">
        <v>15922</v>
      </c>
      <c r="N4" s="89">
        <v>7</v>
      </c>
      <c r="O4" s="87">
        <f t="shared" ref="O4:O19" si="1">(M4/N4)*(10.2)*POWER(10,L4+2)</f>
        <v>2320062857.1428571</v>
      </c>
      <c r="P4" s="90">
        <f t="shared" ref="P4:P19" si="2">AVERAGE(O4,K4,G4)</f>
        <v>2192368571.4285712</v>
      </c>
      <c r="Q4" s="90">
        <f t="shared" ref="Q4:Q19" si="3">STDEV(O4,K4,G4)</f>
        <v>130422046.05801573</v>
      </c>
      <c r="R4" s="91">
        <f>LOG(P4)</f>
        <v>9.3409135676416426</v>
      </c>
    </row>
    <row r="5" spans="2:18">
      <c r="B5" s="88" t="s">
        <v>187</v>
      </c>
      <c r="C5" s="89">
        <v>500</v>
      </c>
      <c r="D5" s="89">
        <v>2</v>
      </c>
      <c r="E5" s="89">
        <v>16544</v>
      </c>
      <c r="F5" s="89">
        <v>7</v>
      </c>
      <c r="G5" s="87">
        <f t="shared" ref="G5:G19" si="4">(E5/F5)*(10.2)*POWER(10,D5+2)</f>
        <v>241069714.2857143</v>
      </c>
      <c r="H5" s="89">
        <v>2</v>
      </c>
      <c r="I5" s="89">
        <v>15924</v>
      </c>
      <c r="J5" s="89">
        <v>7</v>
      </c>
      <c r="K5" s="87">
        <f t="shared" si="0"/>
        <v>232035428.57142854</v>
      </c>
      <c r="L5" s="89">
        <v>2</v>
      </c>
      <c r="M5" s="89">
        <v>15173</v>
      </c>
      <c r="N5" s="89">
        <v>7</v>
      </c>
      <c r="O5" s="87">
        <f t="shared" si="1"/>
        <v>221092285.71428567</v>
      </c>
      <c r="P5" s="90">
        <f t="shared" si="2"/>
        <v>231399142.85714284</v>
      </c>
      <c r="Q5" s="90">
        <f t="shared" si="3"/>
        <v>10003902.124385577</v>
      </c>
      <c r="R5" s="91">
        <f t="shared" ref="R5:R19" si="5">LOG(P5)</f>
        <v>8.3643617459160655</v>
      </c>
    </row>
    <row r="6" spans="2:18">
      <c r="B6" s="88" t="s">
        <v>188</v>
      </c>
      <c r="C6" s="89">
        <v>500</v>
      </c>
      <c r="D6" s="89">
        <v>1</v>
      </c>
      <c r="E6" s="89">
        <v>18107</v>
      </c>
      <c r="F6" s="89">
        <v>7</v>
      </c>
      <c r="G6" s="87">
        <f t="shared" si="4"/>
        <v>26384485.714285713</v>
      </c>
      <c r="H6" s="89">
        <v>1</v>
      </c>
      <c r="I6" s="89">
        <v>18423</v>
      </c>
      <c r="J6" s="89">
        <v>7</v>
      </c>
      <c r="K6" s="87">
        <f t="shared" si="0"/>
        <v>26844942.857142854</v>
      </c>
      <c r="L6" s="89">
        <v>1</v>
      </c>
      <c r="M6" s="89">
        <v>17005</v>
      </c>
      <c r="N6" s="89">
        <v>7</v>
      </c>
      <c r="O6" s="87">
        <f t="shared" si="1"/>
        <v>24778714.285714284</v>
      </c>
      <c r="P6" s="90">
        <f t="shared" si="2"/>
        <v>26002714.285714284</v>
      </c>
      <c r="Q6" s="90">
        <f t="shared" si="3"/>
        <v>1084729.0883451225</v>
      </c>
      <c r="R6" s="91">
        <f t="shared" si="5"/>
        <v>7.4150186840393397</v>
      </c>
    </row>
    <row r="7" spans="2:18">
      <c r="B7" s="88" t="s">
        <v>189</v>
      </c>
      <c r="C7" s="89">
        <v>500</v>
      </c>
      <c r="D7" s="89">
        <v>1</v>
      </c>
      <c r="E7" s="89">
        <v>1825</v>
      </c>
      <c r="F7" s="89">
        <v>7</v>
      </c>
      <c r="G7" s="87">
        <f t="shared" si="4"/>
        <v>2659285.7142857141</v>
      </c>
      <c r="H7" s="89">
        <v>1</v>
      </c>
      <c r="I7" s="89">
        <v>1808</v>
      </c>
      <c r="J7" s="89">
        <v>7</v>
      </c>
      <c r="K7" s="87">
        <f t="shared" si="0"/>
        <v>2634514.2857142854</v>
      </c>
      <c r="L7" s="89">
        <v>1</v>
      </c>
      <c r="M7" s="89">
        <v>1822</v>
      </c>
      <c r="N7" s="89">
        <v>7</v>
      </c>
      <c r="O7" s="87">
        <f t="shared" si="1"/>
        <v>2654914.2857142854</v>
      </c>
      <c r="P7" s="90">
        <f t="shared" si="2"/>
        <v>2649571.4285714286</v>
      </c>
      <c r="Q7" s="90">
        <f t="shared" si="3"/>
        <v>13221.78165770719</v>
      </c>
      <c r="R7" s="91">
        <f t="shared" si="5"/>
        <v>6.4231756319523594</v>
      </c>
    </row>
    <row r="8" spans="2:18">
      <c r="B8" s="88" t="s">
        <v>190</v>
      </c>
      <c r="C8" s="89">
        <v>500</v>
      </c>
      <c r="D8" s="89">
        <v>0</v>
      </c>
      <c r="E8" s="89">
        <v>2306</v>
      </c>
      <c r="F8" s="89">
        <v>7</v>
      </c>
      <c r="G8" s="87">
        <f t="shared" si="4"/>
        <v>336017.14285714284</v>
      </c>
      <c r="H8" s="89">
        <v>0</v>
      </c>
      <c r="I8" s="89">
        <v>2052</v>
      </c>
      <c r="J8" s="89">
        <v>7</v>
      </c>
      <c r="K8" s="87">
        <f t="shared" si="0"/>
        <v>299005.71428571432</v>
      </c>
      <c r="L8" s="89">
        <v>0</v>
      </c>
      <c r="M8" s="89">
        <v>2049</v>
      </c>
      <c r="N8" s="89">
        <v>7</v>
      </c>
      <c r="O8" s="87">
        <f t="shared" si="1"/>
        <v>298568.57142857142</v>
      </c>
      <c r="P8" s="90">
        <f t="shared" si="2"/>
        <v>311197.14285714284</v>
      </c>
      <c r="Q8" s="90">
        <f t="shared" si="3"/>
        <v>21495.861775453133</v>
      </c>
      <c r="R8" s="91">
        <f t="shared" si="5"/>
        <v>5.4930356010198587</v>
      </c>
    </row>
    <row r="9" spans="2:18">
      <c r="B9" s="88" t="s">
        <v>191</v>
      </c>
      <c r="C9" s="89">
        <v>1000</v>
      </c>
      <c r="D9" s="89">
        <v>3</v>
      </c>
      <c r="E9" s="89">
        <v>13995</v>
      </c>
      <c r="F9" s="89">
        <v>7</v>
      </c>
      <c r="G9" s="87">
        <f t="shared" si="4"/>
        <v>2039271428.5714283</v>
      </c>
      <c r="H9" s="89">
        <v>3</v>
      </c>
      <c r="I9" s="89">
        <v>13769</v>
      </c>
      <c r="J9" s="89">
        <v>7</v>
      </c>
      <c r="K9" s="87">
        <f t="shared" si="0"/>
        <v>2006339999.9999998</v>
      </c>
      <c r="L9" s="89">
        <v>3</v>
      </c>
      <c r="M9" s="89">
        <v>15093</v>
      </c>
      <c r="N9" s="89">
        <v>7</v>
      </c>
      <c r="O9" s="87">
        <f t="shared" si="1"/>
        <v>2199265714.2857146</v>
      </c>
      <c r="P9" s="90">
        <f t="shared" si="2"/>
        <v>2081625714.2857141</v>
      </c>
      <c r="Q9" s="90">
        <f t="shared" si="3"/>
        <v>103201244.89045103</v>
      </c>
      <c r="R9" s="91">
        <f t="shared" si="5"/>
        <v>9.3184026440827186</v>
      </c>
    </row>
    <row r="10" spans="2:18">
      <c r="B10" s="88" t="s">
        <v>192</v>
      </c>
      <c r="C10" s="89">
        <v>900</v>
      </c>
      <c r="D10" s="89">
        <v>3</v>
      </c>
      <c r="E10" s="89">
        <v>6387</v>
      </c>
      <c r="F10" s="89">
        <v>7</v>
      </c>
      <c r="G10" s="87">
        <f t="shared" si="4"/>
        <v>930677142.85714281</v>
      </c>
      <c r="H10" s="89">
        <v>3</v>
      </c>
      <c r="I10" s="89">
        <v>7378</v>
      </c>
      <c r="J10" s="89">
        <v>7</v>
      </c>
      <c r="K10" s="87">
        <f t="shared" si="0"/>
        <v>1075080000</v>
      </c>
      <c r="L10" s="89">
        <v>3</v>
      </c>
      <c r="M10" s="89">
        <v>6564</v>
      </c>
      <c r="N10" s="89">
        <v>7</v>
      </c>
      <c r="O10" s="87">
        <f t="shared" si="1"/>
        <v>956468571.42857134</v>
      </c>
      <c r="P10" s="90">
        <f t="shared" si="2"/>
        <v>987408571.42857134</v>
      </c>
      <c r="Q10" s="90">
        <f t="shared" si="3"/>
        <v>77013044.270143658</v>
      </c>
      <c r="R10" s="91">
        <f t="shared" si="5"/>
        <v>8.9944968928936131</v>
      </c>
    </row>
    <row r="11" spans="2:18">
      <c r="B11" s="88" t="s">
        <v>193</v>
      </c>
      <c r="C11" s="89">
        <v>900</v>
      </c>
      <c r="D11" s="89">
        <v>3</v>
      </c>
      <c r="E11" s="89">
        <v>3341</v>
      </c>
      <c r="F11" s="89">
        <v>7</v>
      </c>
      <c r="G11" s="87">
        <f t="shared" si="4"/>
        <v>486831428.5714286</v>
      </c>
      <c r="H11" s="89">
        <v>3</v>
      </c>
      <c r="I11" s="89">
        <v>3712</v>
      </c>
      <c r="J11" s="89">
        <v>7</v>
      </c>
      <c r="K11" s="87">
        <f t="shared" si="0"/>
        <v>540891428.57142866</v>
      </c>
      <c r="L11" s="89">
        <v>3</v>
      </c>
      <c r="M11" s="89">
        <v>3690</v>
      </c>
      <c r="N11" s="89">
        <v>7</v>
      </c>
      <c r="O11" s="87">
        <f t="shared" si="1"/>
        <v>537685714.28571427</v>
      </c>
      <c r="P11" s="90">
        <f t="shared" si="2"/>
        <v>521802857.14285713</v>
      </c>
      <c r="Q11" s="90">
        <f t="shared" si="3"/>
        <v>30328530.516088422</v>
      </c>
      <c r="R11" s="91">
        <f t="shared" si="5"/>
        <v>8.7175064527595634</v>
      </c>
    </row>
    <row r="12" spans="2:18">
      <c r="B12" s="88" t="s">
        <v>194</v>
      </c>
      <c r="C12" s="89">
        <v>900</v>
      </c>
      <c r="D12" s="89">
        <v>2</v>
      </c>
      <c r="E12" s="89">
        <v>19134</v>
      </c>
      <c r="F12" s="89">
        <v>7</v>
      </c>
      <c r="G12" s="87">
        <f>(E12/F12)*(10.2)*POWER(10,D12+2)</f>
        <v>278809714.28571427</v>
      </c>
      <c r="H12" s="89">
        <v>2</v>
      </c>
      <c r="I12" s="89">
        <v>18838</v>
      </c>
      <c r="J12" s="89">
        <v>7</v>
      </c>
      <c r="K12" s="87">
        <f t="shared" si="0"/>
        <v>274496571.42857146</v>
      </c>
      <c r="L12" s="89">
        <v>2</v>
      </c>
      <c r="M12" s="89">
        <v>18096</v>
      </c>
      <c r="N12" s="89">
        <v>7</v>
      </c>
      <c r="O12" s="87">
        <f t="shared" si="1"/>
        <v>263684571.42857143</v>
      </c>
      <c r="P12" s="90">
        <f t="shared" si="2"/>
        <v>272330285.71428573</v>
      </c>
      <c r="Q12" s="90">
        <f t="shared" si="3"/>
        <v>7791795.8109272597</v>
      </c>
      <c r="R12" s="91">
        <f t="shared" si="5"/>
        <v>8.4350959416969342</v>
      </c>
    </row>
    <row r="13" spans="2:18">
      <c r="B13" s="88" t="s">
        <v>195</v>
      </c>
      <c r="C13" s="89">
        <v>900</v>
      </c>
      <c r="D13" s="89">
        <v>2</v>
      </c>
      <c r="E13" s="89">
        <v>9224</v>
      </c>
      <c r="F13" s="89">
        <v>7</v>
      </c>
      <c r="G13" s="87">
        <f t="shared" si="4"/>
        <v>134406857.14285713</v>
      </c>
      <c r="H13" s="89">
        <v>2</v>
      </c>
      <c r="I13" s="89">
        <v>9341</v>
      </c>
      <c r="J13" s="89">
        <v>7</v>
      </c>
      <c r="K13" s="87">
        <f t="shared" si="0"/>
        <v>136111714.28571427</v>
      </c>
      <c r="L13" s="89">
        <v>2</v>
      </c>
      <c r="M13" s="89">
        <v>9173</v>
      </c>
      <c r="N13" s="89">
        <v>7</v>
      </c>
      <c r="O13" s="87">
        <f t="shared" si="1"/>
        <v>133663714.28571427</v>
      </c>
      <c r="P13" s="90">
        <f t="shared" si="2"/>
        <v>134727428.57142857</v>
      </c>
      <c r="Q13" s="90">
        <f t="shared" si="3"/>
        <v>1255089.8496172463</v>
      </c>
      <c r="R13" s="91">
        <f t="shared" si="5"/>
        <v>8.1294560208497231</v>
      </c>
    </row>
    <row r="14" spans="2:18">
      <c r="B14" s="88" t="s">
        <v>196</v>
      </c>
      <c r="C14" s="89">
        <v>900</v>
      </c>
      <c r="D14" s="89">
        <v>2</v>
      </c>
      <c r="E14" s="89">
        <v>4238</v>
      </c>
      <c r="F14" s="89">
        <v>7</v>
      </c>
      <c r="G14" s="87">
        <f t="shared" si="4"/>
        <v>61753714.285714284</v>
      </c>
      <c r="H14" s="89">
        <v>2</v>
      </c>
      <c r="I14" s="89">
        <v>4832</v>
      </c>
      <c r="J14" s="89">
        <v>7</v>
      </c>
      <c r="K14" s="87">
        <f t="shared" si="0"/>
        <v>70409142.857142866</v>
      </c>
      <c r="L14" s="89">
        <v>2</v>
      </c>
      <c r="M14" s="89">
        <v>4770</v>
      </c>
      <c r="N14" s="89">
        <v>7</v>
      </c>
      <c r="O14" s="87">
        <f t="shared" si="1"/>
        <v>69505714.285714284</v>
      </c>
      <c r="P14" s="90">
        <f t="shared" si="2"/>
        <v>67222857.142857134</v>
      </c>
      <c r="Q14" s="90">
        <f t="shared" si="3"/>
        <v>4757907.9950957391</v>
      </c>
      <c r="R14" s="91">
        <f t="shared" si="5"/>
        <v>7.8275169671487372</v>
      </c>
    </row>
    <row r="15" spans="2:18">
      <c r="B15" s="88" t="s">
        <v>197</v>
      </c>
      <c r="C15" s="89">
        <v>900</v>
      </c>
      <c r="D15" s="89">
        <v>1</v>
      </c>
      <c r="E15" s="89">
        <v>22411</v>
      </c>
      <c r="F15" s="89">
        <v>7</v>
      </c>
      <c r="G15" s="87">
        <f t="shared" si="4"/>
        <v>32656028.571428567</v>
      </c>
      <c r="H15" s="89">
        <v>1</v>
      </c>
      <c r="I15" s="89">
        <v>23826</v>
      </c>
      <c r="J15" s="89">
        <v>7</v>
      </c>
      <c r="K15" s="87">
        <f t="shared" si="0"/>
        <v>34717885.714285716</v>
      </c>
      <c r="L15" s="89">
        <v>1</v>
      </c>
      <c r="M15" s="89">
        <v>24471</v>
      </c>
      <c r="N15" s="89">
        <v>7</v>
      </c>
      <c r="O15" s="87">
        <f t="shared" si="1"/>
        <v>35657742.857142851</v>
      </c>
      <c r="P15" s="90">
        <f t="shared" si="2"/>
        <v>34343885.714285709</v>
      </c>
      <c r="Q15" s="90">
        <f t="shared" si="3"/>
        <v>1535408.4678890193</v>
      </c>
      <c r="R15" s="91">
        <f t="shared" si="5"/>
        <v>7.5358494302775298</v>
      </c>
    </row>
    <row r="16" spans="2:18">
      <c r="B16" s="88" t="s">
        <v>198</v>
      </c>
      <c r="C16" s="89">
        <v>900</v>
      </c>
      <c r="D16" s="89">
        <v>1</v>
      </c>
      <c r="E16" s="89">
        <v>12012</v>
      </c>
      <c r="F16" s="89">
        <v>7</v>
      </c>
      <c r="G16" s="87">
        <f t="shared" si="4"/>
        <v>17503199.999999996</v>
      </c>
      <c r="H16" s="89">
        <v>1</v>
      </c>
      <c r="I16" s="89">
        <v>12668</v>
      </c>
      <c r="J16" s="89">
        <v>7</v>
      </c>
      <c r="K16" s="87">
        <f t="shared" si="0"/>
        <v>18459085.714285713</v>
      </c>
      <c r="L16" s="89">
        <v>1</v>
      </c>
      <c r="M16" s="89">
        <v>11470</v>
      </c>
      <c r="N16" s="89">
        <v>7</v>
      </c>
      <c r="O16" s="87">
        <f t="shared" si="1"/>
        <v>16713428.571428573</v>
      </c>
      <c r="P16" s="90">
        <f t="shared" si="2"/>
        <v>17558571.428571429</v>
      </c>
      <c r="Q16" s="90">
        <f t="shared" si="3"/>
        <v>874144.84579420183</v>
      </c>
      <c r="R16" s="91">
        <f t="shared" si="5"/>
        <v>7.2444891786585481</v>
      </c>
    </row>
    <row r="17" spans="2:18">
      <c r="B17" s="88" t="s">
        <v>199</v>
      </c>
      <c r="C17" s="89">
        <v>900</v>
      </c>
      <c r="D17" s="89">
        <v>1</v>
      </c>
      <c r="E17" s="89">
        <v>5750</v>
      </c>
      <c r="F17" s="89">
        <v>7</v>
      </c>
      <c r="G17" s="87">
        <f t="shared" si="4"/>
        <v>8378571.4285714272</v>
      </c>
      <c r="H17" s="89">
        <v>1</v>
      </c>
      <c r="I17" s="89">
        <v>5481</v>
      </c>
      <c r="J17" s="89">
        <v>7</v>
      </c>
      <c r="K17" s="87">
        <f t="shared" si="0"/>
        <v>7986599.9999999991</v>
      </c>
      <c r="L17" s="89">
        <v>1</v>
      </c>
      <c r="M17" s="89">
        <v>5831</v>
      </c>
      <c r="N17" s="89">
        <v>7</v>
      </c>
      <c r="O17" s="87">
        <f t="shared" si="1"/>
        <v>8496599.9999999981</v>
      </c>
      <c r="P17" s="90">
        <f t="shared" si="2"/>
        <v>8287257.1428571418</v>
      </c>
      <c r="Q17" s="90">
        <f t="shared" si="3"/>
        <v>266980.75601367303</v>
      </c>
      <c r="R17" s="91">
        <f t="shared" si="5"/>
        <v>6.9184108146481318</v>
      </c>
    </row>
    <row r="18" spans="2:18">
      <c r="B18" s="88" t="s">
        <v>200</v>
      </c>
      <c r="C18" s="89">
        <v>900</v>
      </c>
      <c r="D18" s="89">
        <v>1</v>
      </c>
      <c r="E18" s="89">
        <v>2868</v>
      </c>
      <c r="F18" s="89">
        <v>7</v>
      </c>
      <c r="G18" s="87">
        <f t="shared" si="4"/>
        <v>4179085.7142857141</v>
      </c>
      <c r="H18" s="89">
        <v>1</v>
      </c>
      <c r="I18" s="89">
        <v>2835</v>
      </c>
      <c r="J18" s="89">
        <v>7</v>
      </c>
      <c r="K18" s="87">
        <f t="shared" si="0"/>
        <v>4131000</v>
      </c>
      <c r="L18" s="89">
        <v>1</v>
      </c>
      <c r="M18" s="89">
        <v>2976</v>
      </c>
      <c r="N18" s="89">
        <v>7</v>
      </c>
      <c r="O18" s="87">
        <f t="shared" si="1"/>
        <v>4336457.1428571427</v>
      </c>
      <c r="P18" s="90">
        <f t="shared" si="2"/>
        <v>4215514.2857142854</v>
      </c>
      <c r="Q18" s="90">
        <f t="shared" si="3"/>
        <v>107463.6682790979</v>
      </c>
      <c r="R18" s="91">
        <f t="shared" si="5"/>
        <v>6.6248505653956435</v>
      </c>
    </row>
    <row r="19" spans="2:18">
      <c r="B19" s="88" t="s">
        <v>201</v>
      </c>
      <c r="C19" s="89">
        <v>900</v>
      </c>
      <c r="D19" s="89">
        <v>0</v>
      </c>
      <c r="E19" s="89">
        <v>10096</v>
      </c>
      <c r="F19" s="89">
        <v>7</v>
      </c>
      <c r="G19" s="87">
        <f t="shared" si="4"/>
        <v>1471131.4285714284</v>
      </c>
      <c r="H19" s="89">
        <v>0</v>
      </c>
      <c r="I19" s="89">
        <v>8923</v>
      </c>
      <c r="J19" s="89">
        <v>7</v>
      </c>
      <c r="K19" s="87">
        <f>(I19/J19)*(10.2)*POWER(10,H19+2)</f>
        <v>1300208.5714285716</v>
      </c>
      <c r="L19" s="89">
        <v>0</v>
      </c>
      <c r="M19" s="89">
        <v>8050</v>
      </c>
      <c r="N19" s="89">
        <v>7</v>
      </c>
      <c r="O19" s="87">
        <f t="shared" si="1"/>
        <v>1173000</v>
      </c>
      <c r="P19" s="90">
        <f t="shared" si="2"/>
        <v>1314780</v>
      </c>
      <c r="Q19" s="90">
        <f t="shared" si="3"/>
        <v>149598.9039848533</v>
      </c>
      <c r="R19" s="91">
        <f t="shared" si="5"/>
        <v>6.118853089115321</v>
      </c>
    </row>
    <row r="20" spans="2:18" ht="15" thickBot="1"/>
    <row r="21" spans="2:18" ht="55" customHeight="1" thickBot="1">
      <c r="B21" s="92" t="s">
        <v>4</v>
      </c>
      <c r="C21" s="92" t="s">
        <v>202</v>
      </c>
      <c r="D21" s="92" t="s">
        <v>203</v>
      </c>
      <c r="E21" s="92" t="s">
        <v>204</v>
      </c>
      <c r="F21" s="92" t="s">
        <v>205</v>
      </c>
      <c r="G21" s="93" t="s">
        <v>206</v>
      </c>
      <c r="H21" s="94" t="s">
        <v>207</v>
      </c>
      <c r="I21" s="94" t="s">
        <v>208</v>
      </c>
      <c r="J21" s="94" t="s">
        <v>209</v>
      </c>
      <c r="K21" s="94" t="s">
        <v>210</v>
      </c>
      <c r="L21" s="94" t="s">
        <v>211</v>
      </c>
      <c r="M21" s="95" t="s">
        <v>212</v>
      </c>
    </row>
    <row r="23" spans="2:18">
      <c r="B23" s="88" t="s">
        <v>186</v>
      </c>
      <c r="C23" s="96">
        <v>16.382114410400391</v>
      </c>
      <c r="D23" s="96">
        <v>16.2430419921875</v>
      </c>
      <c r="E23" s="96">
        <v>16.416009902954102</v>
      </c>
      <c r="F23" s="96">
        <f>AVERAGE(C23:E23)</f>
        <v>16.347055435180664</v>
      </c>
      <c r="G23" s="82">
        <f>15*180/4*1000/900</f>
        <v>750</v>
      </c>
      <c r="H23" s="82">
        <f>LOG(G23)/LOG(2)</f>
        <v>9.5507467853832431</v>
      </c>
      <c r="I23" s="89">
        <f>C23-H23</f>
        <v>6.8313676250171476</v>
      </c>
      <c r="J23" s="89">
        <f>D23-H23</f>
        <v>6.6922952068042569</v>
      </c>
      <c r="K23" s="89">
        <f>E23-H23</f>
        <v>6.8652631175708585</v>
      </c>
      <c r="L23" s="97">
        <f>AVERAGE(I23:K23)</f>
        <v>6.796308649797421</v>
      </c>
    </row>
    <row r="24" spans="2:18">
      <c r="B24" s="88" t="s">
        <v>187</v>
      </c>
      <c r="C24" s="96">
        <v>20.246736526489258</v>
      </c>
      <c r="D24" s="96">
        <v>20.337041854858398</v>
      </c>
      <c r="E24" s="96">
        <v>20.223323822021484</v>
      </c>
      <c r="F24" s="96">
        <f t="shared" ref="F24:F38" si="6">AVERAGE(C24:E24)</f>
        <v>20.269034067789715</v>
      </c>
      <c r="G24" s="82">
        <f t="shared" ref="G24:G26" si="7">15*180/4*1000/900</f>
        <v>750</v>
      </c>
      <c r="H24" s="82">
        <f t="shared" ref="H24:H38" si="8">LOG(G24)/LOG(2)</f>
        <v>9.5507467853832431</v>
      </c>
      <c r="I24" s="89">
        <f t="shared" ref="I24:I38" si="9">C24-H24</f>
        <v>10.695989741106015</v>
      </c>
      <c r="J24" s="89">
        <f t="shared" ref="J24:J38" si="10">D24-H24</f>
        <v>10.786295069475155</v>
      </c>
      <c r="K24" s="89">
        <f t="shared" ref="K24:K38" si="11">E24-H24</f>
        <v>10.672577036638241</v>
      </c>
      <c r="L24" s="97">
        <f t="shared" ref="L24:L38" si="12">AVERAGE(I24:K24)</f>
        <v>10.71828728240647</v>
      </c>
    </row>
    <row r="25" spans="2:18">
      <c r="B25" s="88" t="s">
        <v>188</v>
      </c>
      <c r="C25" s="96">
        <v>23.471084594726562</v>
      </c>
      <c r="D25" s="96">
        <v>23.434993743896484</v>
      </c>
      <c r="E25" s="96">
        <v>23.65556526184082</v>
      </c>
      <c r="F25" s="96">
        <f t="shared" si="6"/>
        <v>23.520547866821289</v>
      </c>
      <c r="G25" s="82">
        <f t="shared" si="7"/>
        <v>750</v>
      </c>
      <c r="H25" s="82">
        <f t="shared" si="8"/>
        <v>9.5507467853832431</v>
      </c>
      <c r="I25" s="89">
        <f t="shared" si="9"/>
        <v>13.920337809343319</v>
      </c>
      <c r="J25" s="89">
        <f t="shared" si="10"/>
        <v>13.884246958513241</v>
      </c>
      <c r="K25" s="89">
        <f t="shared" si="11"/>
        <v>14.104818476457577</v>
      </c>
      <c r="L25" s="97">
        <f t="shared" si="12"/>
        <v>13.969801081438044</v>
      </c>
    </row>
    <row r="26" spans="2:18">
      <c r="B26" s="88" t="s">
        <v>189</v>
      </c>
      <c r="C26" s="96">
        <v>27.687118530273438</v>
      </c>
      <c r="D26" s="96">
        <v>27.683933258056641</v>
      </c>
      <c r="E26" s="96">
        <v>27.721792221069336</v>
      </c>
      <c r="F26" s="96">
        <f t="shared" si="6"/>
        <v>27.697614669799805</v>
      </c>
      <c r="G26" s="82">
        <f t="shared" si="7"/>
        <v>750</v>
      </c>
      <c r="H26" s="82">
        <f t="shared" si="8"/>
        <v>9.5507467853832431</v>
      </c>
      <c r="I26" s="89">
        <f t="shared" si="9"/>
        <v>18.136371744890194</v>
      </c>
      <c r="J26" s="89">
        <f t="shared" si="10"/>
        <v>18.133186472673398</v>
      </c>
      <c r="K26" s="89">
        <f t="shared" si="11"/>
        <v>18.171045435686093</v>
      </c>
      <c r="L26" s="97">
        <f t="shared" si="12"/>
        <v>18.146867884416562</v>
      </c>
    </row>
    <row r="27" spans="2:18">
      <c r="B27" s="88" t="s">
        <v>190</v>
      </c>
      <c r="C27" s="96">
        <v>31.580327987670898</v>
      </c>
      <c r="D27" s="96">
        <v>31.876550674438477</v>
      </c>
      <c r="E27" s="96">
        <v>31.972114562988281</v>
      </c>
      <c r="F27" s="96">
        <f t="shared" si="6"/>
        <v>31.809664408365887</v>
      </c>
      <c r="G27" s="82">
        <f>15*180/4*1000/900</f>
        <v>750</v>
      </c>
      <c r="H27" s="82">
        <f>LOG(G27)/LOG(2)</f>
        <v>9.5507467853832431</v>
      </c>
      <c r="I27" s="89">
        <f t="shared" si="9"/>
        <v>22.029581202287655</v>
      </c>
      <c r="J27" s="89">
        <f t="shared" si="10"/>
        <v>22.325803889055233</v>
      </c>
      <c r="K27" s="89">
        <f t="shared" si="11"/>
        <v>22.421367777605038</v>
      </c>
      <c r="L27" s="97">
        <f t="shared" si="12"/>
        <v>22.25891762298264</v>
      </c>
    </row>
    <row r="28" spans="2:18">
      <c r="B28" s="88" t="s">
        <v>191</v>
      </c>
      <c r="C28" s="96">
        <v>16.648801803588867</v>
      </c>
      <c r="D28" s="96">
        <v>17.485513687133789</v>
      </c>
      <c r="E28" s="96">
        <v>16.725131988525391</v>
      </c>
      <c r="F28" s="96">
        <f t="shared" si="6"/>
        <v>16.953149159749348</v>
      </c>
      <c r="G28" s="82">
        <f>15*180/4*1000/1000</f>
        <v>675</v>
      </c>
      <c r="H28" s="82">
        <f t="shared" si="8"/>
        <v>9.3987436919381935</v>
      </c>
      <c r="I28" s="89">
        <f t="shared" si="9"/>
        <v>7.2500581116506737</v>
      </c>
      <c r="J28" s="89">
        <f t="shared" si="10"/>
        <v>8.0867699951955956</v>
      </c>
      <c r="K28" s="89">
        <f t="shared" si="11"/>
        <v>7.3263882965871971</v>
      </c>
      <c r="L28" s="97">
        <f t="shared" si="12"/>
        <v>7.5544054678111552</v>
      </c>
    </row>
    <row r="29" spans="2:18">
      <c r="B29" s="88" t="s">
        <v>192</v>
      </c>
      <c r="C29" s="96">
        <v>19.15205192565918</v>
      </c>
      <c r="D29" s="96">
        <v>18.957448959350586</v>
      </c>
      <c r="E29" s="96">
        <v>18.855649948120117</v>
      </c>
      <c r="F29" s="96">
        <f t="shared" si="6"/>
        <v>18.988383611043293</v>
      </c>
      <c r="G29" s="82">
        <f>15*180/4*1000/500</f>
        <v>1350</v>
      </c>
      <c r="H29" s="82">
        <f t="shared" si="8"/>
        <v>10.398743691938193</v>
      </c>
      <c r="I29" s="89">
        <f t="shared" si="9"/>
        <v>8.7533082337209862</v>
      </c>
      <c r="J29" s="89">
        <f t="shared" si="10"/>
        <v>8.5587052674123925</v>
      </c>
      <c r="K29" s="89">
        <f t="shared" si="11"/>
        <v>8.4569062561819237</v>
      </c>
      <c r="L29" s="97">
        <f t="shared" si="12"/>
        <v>8.5896399191051014</v>
      </c>
    </row>
    <row r="30" spans="2:18">
      <c r="B30" s="88" t="s">
        <v>193</v>
      </c>
      <c r="C30" s="96">
        <v>19.934587478637695</v>
      </c>
      <c r="D30" s="96">
        <v>19.768661499023438</v>
      </c>
      <c r="E30" s="96">
        <v>19.823604583740234</v>
      </c>
      <c r="F30" s="96">
        <f t="shared" si="6"/>
        <v>19.842284520467121</v>
      </c>
      <c r="G30" s="82">
        <f t="shared" ref="G30:G38" si="13">15*180/4*1000/500</f>
        <v>1350</v>
      </c>
      <c r="H30" s="82">
        <f t="shared" si="8"/>
        <v>10.398743691938193</v>
      </c>
      <c r="I30" s="89">
        <f t="shared" si="9"/>
        <v>9.5358437866995018</v>
      </c>
      <c r="J30" s="89">
        <f t="shared" si="10"/>
        <v>9.369917807085244</v>
      </c>
      <c r="K30" s="89">
        <f t="shared" si="11"/>
        <v>9.4248608918020409</v>
      </c>
      <c r="L30" s="97">
        <f t="shared" si="12"/>
        <v>9.4435408285289295</v>
      </c>
    </row>
    <row r="31" spans="2:18">
      <c r="B31" s="88" t="s">
        <v>194</v>
      </c>
      <c r="C31" s="96">
        <v>20.650510787963867</v>
      </c>
      <c r="D31" s="96">
        <v>20.447122573852539</v>
      </c>
      <c r="E31" s="96">
        <v>20.447004318237305</v>
      </c>
      <c r="F31" s="96">
        <f t="shared" si="6"/>
        <v>20.51487922668457</v>
      </c>
      <c r="G31" s="82">
        <f t="shared" si="13"/>
        <v>1350</v>
      </c>
      <c r="H31" s="82">
        <f t="shared" si="8"/>
        <v>10.398743691938193</v>
      </c>
      <c r="I31" s="89">
        <f t="shared" si="9"/>
        <v>10.251767096025674</v>
      </c>
      <c r="J31" s="89">
        <f t="shared" si="10"/>
        <v>10.048378881914346</v>
      </c>
      <c r="K31" s="89">
        <f t="shared" si="11"/>
        <v>10.048260626299111</v>
      </c>
      <c r="L31" s="97">
        <f t="shared" si="12"/>
        <v>10.116135534746377</v>
      </c>
    </row>
    <row r="32" spans="2:18">
      <c r="B32" s="88" t="s">
        <v>195</v>
      </c>
      <c r="C32" s="96">
        <v>21.825428009033203</v>
      </c>
      <c r="D32" s="96">
        <v>21.617404937744141</v>
      </c>
      <c r="E32" s="96">
        <v>21.863065719604492</v>
      </c>
      <c r="F32" s="96">
        <f t="shared" si="6"/>
        <v>21.768632888793945</v>
      </c>
      <c r="G32" s="82">
        <f t="shared" si="13"/>
        <v>1350</v>
      </c>
      <c r="H32" s="82">
        <f t="shared" si="8"/>
        <v>10.398743691938193</v>
      </c>
      <c r="I32" s="89">
        <f t="shared" si="9"/>
        <v>11.42668431709501</v>
      </c>
      <c r="J32" s="89">
        <f t="shared" si="10"/>
        <v>11.218661245805947</v>
      </c>
      <c r="K32" s="89">
        <f t="shared" si="11"/>
        <v>11.464322027666299</v>
      </c>
      <c r="L32" s="97">
        <f t="shared" si="12"/>
        <v>11.369889196855752</v>
      </c>
    </row>
    <row r="33" spans="2:12">
      <c r="B33" s="88" t="s">
        <v>196</v>
      </c>
      <c r="C33" s="96">
        <v>22.909189224243164</v>
      </c>
      <c r="D33" s="96">
        <v>22.986705780029297</v>
      </c>
      <c r="E33" s="96">
        <v>23.151363372802734</v>
      </c>
      <c r="F33" s="96">
        <f t="shared" si="6"/>
        <v>23.015752792358398</v>
      </c>
      <c r="G33" s="82">
        <f>15*180/4*1000/500</f>
        <v>1350</v>
      </c>
      <c r="H33" s="82">
        <f t="shared" si="8"/>
        <v>10.398743691938193</v>
      </c>
      <c r="I33" s="89">
        <f t="shared" si="9"/>
        <v>12.510445532304971</v>
      </c>
      <c r="J33" s="89">
        <f t="shared" si="10"/>
        <v>12.587962088091103</v>
      </c>
      <c r="K33" s="89">
        <f t="shared" si="11"/>
        <v>12.752619680864541</v>
      </c>
      <c r="L33" s="97">
        <f t="shared" si="12"/>
        <v>12.617009100420205</v>
      </c>
    </row>
    <row r="34" spans="2:12">
      <c r="B34" s="88" t="s">
        <v>197</v>
      </c>
      <c r="C34" s="96">
        <v>24.431295394897461</v>
      </c>
      <c r="D34" s="96">
        <v>24.009675979614258</v>
      </c>
      <c r="E34" s="96">
        <v>23.951196670532227</v>
      </c>
      <c r="F34" s="96">
        <f t="shared" si="6"/>
        <v>24.130722681681316</v>
      </c>
      <c r="G34" s="82">
        <f t="shared" si="13"/>
        <v>1350</v>
      </c>
      <c r="H34" s="82">
        <f t="shared" si="8"/>
        <v>10.398743691938193</v>
      </c>
      <c r="I34" s="89">
        <f t="shared" si="9"/>
        <v>14.032551702959267</v>
      </c>
      <c r="J34" s="89">
        <f t="shared" si="10"/>
        <v>13.610932287676064</v>
      </c>
      <c r="K34" s="89">
        <f t="shared" si="11"/>
        <v>13.552452978594033</v>
      </c>
      <c r="L34" s="97">
        <f t="shared" si="12"/>
        <v>13.731978989743121</v>
      </c>
    </row>
    <row r="35" spans="2:12">
      <c r="B35" s="88" t="s">
        <v>198</v>
      </c>
      <c r="C35" s="96">
        <v>25.132335662841797</v>
      </c>
      <c r="D35" s="96">
        <v>24.967596054077148</v>
      </c>
      <c r="E35" s="96">
        <v>25.03386116027832</v>
      </c>
      <c r="F35" s="96">
        <f t="shared" si="6"/>
        <v>25.044597625732422</v>
      </c>
      <c r="G35" s="82">
        <f t="shared" si="13"/>
        <v>1350</v>
      </c>
      <c r="H35" s="82">
        <f t="shared" si="8"/>
        <v>10.398743691938193</v>
      </c>
      <c r="I35" s="89">
        <f t="shared" si="9"/>
        <v>14.733591970903603</v>
      </c>
      <c r="J35" s="89">
        <f t="shared" si="10"/>
        <v>14.568852362138955</v>
      </c>
      <c r="K35" s="89">
        <f t="shared" si="11"/>
        <v>14.635117468340127</v>
      </c>
      <c r="L35" s="97">
        <f t="shared" si="12"/>
        <v>14.645853933794228</v>
      </c>
    </row>
    <row r="36" spans="2:12">
      <c r="B36" s="88" t="s">
        <v>199</v>
      </c>
      <c r="C36" s="96">
        <v>26.708147048950195</v>
      </c>
      <c r="D36" s="96">
        <v>26.763067245483398</v>
      </c>
      <c r="E36" s="96"/>
      <c r="F36" s="96">
        <f t="shared" si="6"/>
        <v>26.735607147216797</v>
      </c>
      <c r="G36" s="82">
        <f t="shared" si="13"/>
        <v>1350</v>
      </c>
      <c r="H36" s="82">
        <f t="shared" si="8"/>
        <v>10.398743691938193</v>
      </c>
      <c r="I36" s="89">
        <f t="shared" si="9"/>
        <v>16.309403357012002</v>
      </c>
      <c r="J36" s="89">
        <f t="shared" si="10"/>
        <v>16.364323553545205</v>
      </c>
      <c r="K36" s="89"/>
      <c r="L36" s="97">
        <f t="shared" si="12"/>
        <v>16.336863455278603</v>
      </c>
    </row>
    <row r="37" spans="2:12">
      <c r="B37" s="88" t="s">
        <v>200</v>
      </c>
      <c r="C37" s="96">
        <v>27.613700866699219</v>
      </c>
      <c r="D37" s="96">
        <v>27.812423706054688</v>
      </c>
      <c r="E37" s="96">
        <v>27.789873123168945</v>
      </c>
      <c r="F37" s="96">
        <f t="shared" si="6"/>
        <v>27.738665898640949</v>
      </c>
      <c r="G37" s="82">
        <f t="shared" si="13"/>
        <v>1350</v>
      </c>
      <c r="H37" s="82">
        <f t="shared" si="8"/>
        <v>10.398743691938193</v>
      </c>
      <c r="I37" s="89">
        <f t="shared" si="9"/>
        <v>17.214957174761025</v>
      </c>
      <c r="J37" s="89">
        <f t="shared" si="10"/>
        <v>17.413680014116494</v>
      </c>
      <c r="K37" s="89">
        <f t="shared" si="11"/>
        <v>17.391129431230752</v>
      </c>
      <c r="L37" s="97">
        <f t="shared" si="12"/>
        <v>17.339922206702756</v>
      </c>
    </row>
    <row r="38" spans="2:12">
      <c r="B38" s="88" t="s">
        <v>201</v>
      </c>
      <c r="C38" s="96">
        <v>29.07282829284668</v>
      </c>
      <c r="D38" s="96">
        <v>28.964012145996094</v>
      </c>
      <c r="E38" s="96">
        <v>29.311826705932617</v>
      </c>
      <c r="F38" s="96">
        <f t="shared" si="6"/>
        <v>29.116222381591797</v>
      </c>
      <c r="G38" s="82">
        <f t="shared" si="13"/>
        <v>1350</v>
      </c>
      <c r="H38" s="82">
        <f t="shared" si="8"/>
        <v>10.398743691938193</v>
      </c>
      <c r="I38" s="89">
        <f t="shared" si="9"/>
        <v>18.674084600908486</v>
      </c>
      <c r="J38" s="89">
        <f t="shared" si="10"/>
        <v>18.5652684540579</v>
      </c>
      <c r="K38" s="89">
        <f t="shared" si="11"/>
        <v>18.913083013994424</v>
      </c>
      <c r="L38" s="97">
        <f t="shared" si="12"/>
        <v>18.717478689653603</v>
      </c>
    </row>
    <row r="40" spans="2:12">
      <c r="B40" s="88" t="s">
        <v>213</v>
      </c>
      <c r="C40" s="96">
        <v>15.713388442993164</v>
      </c>
      <c r="D40" s="96">
        <v>15.726656913757324</v>
      </c>
      <c r="E40" s="96">
        <v>15.612536430358887</v>
      </c>
      <c r="F40" s="96">
        <f>AVERAGE(C40:E40)</f>
        <v>15.684193929036459</v>
      </c>
    </row>
    <row r="42" spans="2:12">
      <c r="B42" s="98" t="s">
        <v>214</v>
      </c>
      <c r="C42" s="82" t="s">
        <v>215</v>
      </c>
    </row>
    <row r="43" spans="2:12">
      <c r="B43" s="95" t="s">
        <v>216</v>
      </c>
      <c r="C43" s="82" t="s">
        <v>215</v>
      </c>
    </row>
    <row r="44" spans="2:12">
      <c r="C44" s="99" t="s">
        <v>217</v>
      </c>
      <c r="D44" s="97">
        <v>-3.6977000000000002</v>
      </c>
    </row>
    <row r="45" spans="2:12">
      <c r="C45" s="99" t="s">
        <v>218</v>
      </c>
      <c r="D45" s="97">
        <v>41.616</v>
      </c>
    </row>
    <row r="48" spans="2:12">
      <c r="B48" s="95" t="s">
        <v>219</v>
      </c>
      <c r="D48" s="82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2"/>
  <sheetViews>
    <sheetView topLeftCell="A37" workbookViewId="0">
      <selection activeCell="I11" sqref="I11"/>
    </sheetView>
  </sheetViews>
  <sheetFormatPr baseColWidth="10" defaultColWidth="8.83203125" defaultRowHeight="14" x14ac:dyDescent="0"/>
  <cols>
    <col min="1" max="1" width="13.33203125" style="82" bestFit="1" customWidth="1"/>
    <col min="2" max="4" width="8.83203125" style="82"/>
    <col min="5" max="6" width="13.33203125" style="82" bestFit="1" customWidth="1"/>
    <col min="7" max="10" width="13.6640625" style="82" customWidth="1"/>
    <col min="11" max="11" width="16.5" style="82" bestFit="1" customWidth="1"/>
    <col min="12" max="12" width="17" style="82" customWidth="1"/>
    <col min="13" max="13" width="19.1640625" style="82" customWidth="1"/>
    <col min="14" max="14" width="17" style="82" customWidth="1"/>
    <col min="15" max="15" width="18.83203125" style="82" customWidth="1"/>
    <col min="16" max="16" width="18" style="82" customWidth="1"/>
    <col min="17" max="17" width="23.5" style="82" customWidth="1"/>
    <col min="18" max="18" width="18.5" style="82" customWidth="1"/>
    <col min="19" max="19" width="23.5" style="82" customWidth="1"/>
    <col min="20" max="16384" width="8.83203125" style="82"/>
  </cols>
  <sheetData>
    <row r="1" spans="1:19">
      <c r="A1" s="100" t="s">
        <v>220</v>
      </c>
    </row>
    <row r="2" spans="1:19">
      <c r="A2" s="128" t="s">
        <v>4</v>
      </c>
      <c r="B2" s="128" t="s">
        <v>117</v>
      </c>
      <c r="C2" s="128" t="s">
        <v>117</v>
      </c>
      <c r="D2" s="128" t="s">
        <v>5</v>
      </c>
      <c r="E2" s="140" t="s">
        <v>221</v>
      </c>
      <c r="F2" s="140" t="s">
        <v>222</v>
      </c>
      <c r="G2" s="140" t="s">
        <v>223</v>
      </c>
      <c r="H2" s="142" t="s">
        <v>224</v>
      </c>
      <c r="I2" s="142" t="s">
        <v>225</v>
      </c>
      <c r="J2" s="142" t="s">
        <v>226</v>
      </c>
      <c r="K2" s="140" t="s">
        <v>227</v>
      </c>
      <c r="L2" s="140" t="s">
        <v>228</v>
      </c>
      <c r="M2" s="140" t="s">
        <v>229</v>
      </c>
      <c r="N2" s="140" t="s">
        <v>230</v>
      </c>
      <c r="O2" s="140" t="s">
        <v>231</v>
      </c>
      <c r="P2" s="142" t="s">
        <v>232</v>
      </c>
      <c r="Q2" s="142" t="s">
        <v>233</v>
      </c>
      <c r="R2" s="145" t="s">
        <v>234</v>
      </c>
      <c r="S2" s="142" t="s">
        <v>235</v>
      </c>
    </row>
    <row r="3" spans="1:19">
      <c r="A3" s="129"/>
      <c r="B3" s="129"/>
      <c r="C3" s="129"/>
      <c r="D3" s="129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6"/>
      <c r="S3" s="141"/>
    </row>
    <row r="4" spans="1:19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96">
        <v>24.321378707885742</v>
      </c>
      <c r="F4" s="96">
        <v>25.064048767089844</v>
      </c>
      <c r="G4" s="96">
        <v>26.41801643371582</v>
      </c>
      <c r="H4" s="96">
        <f>E4-$H$68+$H$72</f>
        <v>24.232545181476709</v>
      </c>
      <c r="I4" s="96">
        <f t="shared" ref="I4:J4" si="1">F4-$H$68+$H$72</f>
        <v>24.975215240680811</v>
      </c>
      <c r="J4" s="96">
        <f t="shared" si="1"/>
        <v>26.329182907306787</v>
      </c>
      <c r="K4" s="102">
        <f>((H4-'Calibration R. intestinalis '!$D$45)/('Calibration R. intestinalis '!$D$44))+$B$24</f>
        <v>8.3543658843903987</v>
      </c>
      <c r="L4" s="102">
        <f>((I4-'Calibration R. intestinalis '!$D$45)/('Calibration R. intestinalis '!$D$44))+$B$24</f>
        <v>8.1535193962480133</v>
      </c>
      <c r="M4" s="102">
        <f>((J4-'Calibration R. intestinalis '!$D$45)/('Calibration R. intestinalis '!$D$44))+$B$24</f>
        <v>7.7873545730806448</v>
      </c>
      <c r="N4" s="103">
        <f>AVERAGE(K4:M4)</f>
        <v>8.0984132845730183</v>
      </c>
      <c r="O4" s="103">
        <f>STDEV(K4:M4)</f>
        <v>0.28749429463252724</v>
      </c>
      <c r="P4" s="97">
        <f>(AVERAGE(POWER(10,K4),POWER(10,L4),POWER(10,M4)))*Calculation!$I4/Calculation!K3</f>
        <v>143363428.2349849</v>
      </c>
      <c r="Q4" s="104">
        <f>(STDEV(POWER(10,K4),POWER(10,L4),POWER(10,M4)))*Calculation!$I4/Calculation!K3</f>
        <v>82479350.302079365</v>
      </c>
      <c r="R4" s="103">
        <f>LOG(P4)</f>
        <v>8.1564383776817149</v>
      </c>
      <c r="S4" s="103">
        <f>O4*Calculation!$I4/Calculation!K3</f>
        <v>0.28767364228981512</v>
      </c>
    </row>
    <row r="5" spans="1:19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105">
        <v>24.015949249267578</v>
      </c>
      <c r="F5" s="96">
        <v>24.798284530639648</v>
      </c>
      <c r="G5" s="96">
        <v>25.454330444335938</v>
      </c>
      <c r="H5" s="96">
        <f t="shared" ref="H5:H20" si="2">E5-$H$68+$H$72</f>
        <v>23.927115722858545</v>
      </c>
      <c r="I5" s="96">
        <f t="shared" ref="I5:I20" si="3">F5-$H$68+$H$72</f>
        <v>24.709451004230615</v>
      </c>
      <c r="J5" s="96">
        <f t="shared" ref="J5:J20" si="4">G5-$H$68+$H$72</f>
        <v>25.365496917926905</v>
      </c>
      <c r="K5" s="102">
        <f>((H5-'Calibration R. intestinalis '!$D$45)/('Calibration R. intestinalis '!$D$44))+$B$24</f>
        <v>8.4369657325712044</v>
      </c>
      <c r="L5" s="102">
        <f>((I5-'Calibration R. intestinalis '!$D$45)/('Calibration R. intestinalis '!$D$44))+$B$24</f>
        <v>8.2253922459789788</v>
      </c>
      <c r="M5" s="102">
        <f>((J5-'Calibration R. intestinalis '!$D$45)/('Calibration R. intestinalis '!$D$44))+$B$24</f>
        <v>8.047972251469881</v>
      </c>
      <c r="N5" s="103">
        <f t="shared" ref="N5:N20" si="5">AVERAGE(K5:M5)</f>
        <v>8.2367767433400214</v>
      </c>
      <c r="O5" s="103">
        <f t="shared" ref="O5:O20" si="6">STDEV(K5:M5)</f>
        <v>0.19474646895375047</v>
      </c>
      <c r="P5" s="97">
        <f>(AVERAGE(POWER(10,K5),POWER(10,L5),POWER(10,M5)))*Calculation!$I5/Calculation!K4</f>
        <v>184757583.95277658</v>
      </c>
      <c r="Q5" s="104">
        <f>(STDEV(POWER(10,K5),POWER(10,L5),POWER(10,M5)))*Calculation!$I5/Calculation!K4</f>
        <v>82302972.047459707</v>
      </c>
      <c r="R5" s="103">
        <f>LOG(P5)</f>
        <v>8.266602274407818</v>
      </c>
      <c r="S5" s="103">
        <f>O5*Calculation!$I5/Calculation!K4</f>
        <v>0.19511826978983723</v>
      </c>
    </row>
    <row r="6" spans="1:19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96">
        <v>23.431293487548828</v>
      </c>
      <c r="F6" s="96">
        <v>23.80827522277832</v>
      </c>
      <c r="G6" s="96">
        <v>23.765176773071289</v>
      </c>
      <c r="H6" s="96">
        <f t="shared" si="2"/>
        <v>23.342459961139795</v>
      </c>
      <c r="I6" s="96">
        <f t="shared" si="3"/>
        <v>23.719441696369287</v>
      </c>
      <c r="J6" s="96">
        <f t="shared" si="4"/>
        <v>23.676343246662256</v>
      </c>
      <c r="K6" s="102">
        <f>((H6-'Calibration R. intestinalis '!$D$45)/('Calibration R. intestinalis '!$D$44))+$B$24</f>
        <v>8.5950790899876388</v>
      </c>
      <c r="L6" s="102">
        <f>((I6-'Calibration R. intestinalis '!$D$45)/('Calibration R. intestinalis '!$D$44))+$B$24</f>
        <v>8.4931287599907499</v>
      </c>
      <c r="M6" s="102">
        <f>((J6-'Calibration R. intestinalis '!$D$45)/('Calibration R. intestinalis '!$D$44))+$B$24</f>
        <v>8.5047842349365368</v>
      </c>
      <c r="N6" s="103">
        <f t="shared" si="5"/>
        <v>8.5309973616383079</v>
      </c>
      <c r="O6" s="103">
        <f t="shared" si="6"/>
        <v>5.5801554236696575E-2</v>
      </c>
      <c r="P6" s="97">
        <f>(AVERAGE(POWER(10,K6),POWER(10,L6),POWER(10,M6)))*Calculation!$I6/Calculation!K5</f>
        <v>342416976.73401374</v>
      </c>
      <c r="Q6" s="104">
        <f>(STDEV(POWER(10,K6),POWER(10,L6),POWER(10,M6)))*Calculation!$I6/Calculation!K5</f>
        <v>45419911.364095293</v>
      </c>
      <c r="R6" s="103">
        <f t="shared" ref="R6:R18" si="7">LOG(P6)</f>
        <v>8.5345552884792077</v>
      </c>
      <c r="S6" s="103">
        <f>O6*Calculation!$I6/Calculation!K5</f>
        <v>5.5945039759769624E-2</v>
      </c>
    </row>
    <row r="7" spans="1:19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96">
        <v>23.03265380859375</v>
      </c>
      <c r="F7" s="96">
        <v>22.829275131225586</v>
      </c>
      <c r="G7" s="96">
        <v>22.487678527832031</v>
      </c>
      <c r="H7" s="96">
        <f t="shared" si="2"/>
        <v>22.943820282184717</v>
      </c>
      <c r="I7" s="96">
        <f t="shared" si="3"/>
        <v>22.740441604816553</v>
      </c>
      <c r="J7" s="96">
        <f t="shared" si="4"/>
        <v>22.398845001422998</v>
      </c>
      <c r="K7" s="102">
        <f>((H7-'Calibration R. intestinalis '!$D$45)/('Calibration R. intestinalis '!$D$44))+$B$24</f>
        <v>8.702886559213125</v>
      </c>
      <c r="L7" s="102">
        <f>((I7-'Calibration R. intestinalis '!$D$45)/('Calibration R. intestinalis '!$D$44))+$B$24</f>
        <v>8.7578879593721854</v>
      </c>
      <c r="M7" s="102">
        <f>((J7-'Calibration R. intestinalis '!$D$45)/('Calibration R. intestinalis '!$D$44))+$B$24</f>
        <v>8.8502687916175162</v>
      </c>
      <c r="N7" s="103">
        <f t="shared" si="5"/>
        <v>8.7703477700676089</v>
      </c>
      <c r="O7" s="103">
        <f t="shared" si="6"/>
        <v>7.4476947903695925E-2</v>
      </c>
      <c r="P7" s="97">
        <f>(AVERAGE(POWER(10,K7),POWER(10,L7),POWER(10,M7)))*Calculation!$I7/Calculation!K6</f>
        <v>597529029.42418551</v>
      </c>
      <c r="Q7" s="104">
        <f>(STDEV(POWER(10,K7),POWER(10,L7),POWER(10,M7)))*Calculation!$I7/Calculation!K6</f>
        <v>104187785.30156907</v>
      </c>
      <c r="R7" s="103">
        <f t="shared" si="7"/>
        <v>8.7763590092226593</v>
      </c>
      <c r="S7" s="103">
        <f>O7*Calculation!$I7/Calculation!K6</f>
        <v>7.4769975138352845E-2</v>
      </c>
    </row>
    <row r="8" spans="1:19">
      <c r="A8" s="39">
        <v>4</v>
      </c>
      <c r="B8" s="31">
        <v>80</v>
      </c>
      <c r="C8" s="31">
        <f t="shared" ref="C8:C18" si="8">C7+B8</f>
        <v>360</v>
      </c>
      <c r="D8" s="13">
        <f t="shared" si="0"/>
        <v>6</v>
      </c>
      <c r="E8" s="96">
        <v>21.690387725830078</v>
      </c>
      <c r="F8" s="96">
        <v>21.398000717163086</v>
      </c>
      <c r="G8" s="96">
        <v>21.616994857788086</v>
      </c>
      <c r="H8" s="96">
        <f t="shared" si="2"/>
        <v>21.601554199421045</v>
      </c>
      <c r="I8" s="96">
        <f t="shared" si="3"/>
        <v>21.309167190754053</v>
      </c>
      <c r="J8" s="96">
        <f t="shared" si="4"/>
        <v>21.528161331379053</v>
      </c>
      <c r="K8" s="102">
        <f>((H8-'Calibration R. intestinalis '!$D$45)/('Calibration R. intestinalis '!$D$44))+$B$24</f>
        <v>9.065886824990141</v>
      </c>
      <c r="L8" s="102">
        <f>((I8-'Calibration R. intestinalis '!$D$45)/('Calibration R. intestinalis '!$D$44))+$B$24</f>
        <v>9.1449594941268995</v>
      </c>
      <c r="M8" s="102">
        <f>((J8-'Calibration R. intestinalis '!$D$45)/('Calibration R. intestinalis '!$D$44))+$B$24</f>
        <v>9.0857350733721045</v>
      </c>
      <c r="N8" s="103">
        <f t="shared" si="5"/>
        <v>9.0988604641630477</v>
      </c>
      <c r="O8" s="103">
        <f t="shared" si="6"/>
        <v>4.1137922451967159E-2</v>
      </c>
      <c r="P8" s="97">
        <f>(AVERAGE(POWER(10,K8),POWER(10,L8),POWER(10,M8)))*Calculation!$I8/Calculation!K7</f>
        <v>1267930128.6445198</v>
      </c>
      <c r="Q8" s="104">
        <f>(STDEV(POWER(10,K8),POWER(10,L8),POWER(10,M8)))*Calculation!$I8/Calculation!K7</f>
        <v>122379166.33442406</v>
      </c>
      <c r="R8" s="103">
        <f t="shared" si="7"/>
        <v>9.1030953217001223</v>
      </c>
      <c r="S8" s="103">
        <f>O8*Calculation!$I8/Calculation!K7</f>
        <v>4.1415383026022476E-2</v>
      </c>
    </row>
    <row r="9" spans="1:19">
      <c r="A9" s="39">
        <v>5</v>
      </c>
      <c r="B9" s="31">
        <v>80</v>
      </c>
      <c r="C9" s="31">
        <f t="shared" si="8"/>
        <v>440</v>
      </c>
      <c r="D9" s="13">
        <f t="shared" si="0"/>
        <v>7.333333333333333</v>
      </c>
      <c r="E9" s="96">
        <v>21.363580703735352</v>
      </c>
      <c r="F9" s="96">
        <v>21.241479873657227</v>
      </c>
      <c r="G9" s="96">
        <v>20.965286254882812</v>
      </c>
      <c r="H9" s="96">
        <f t="shared" si="2"/>
        <v>21.274747177326319</v>
      </c>
      <c r="I9" s="96">
        <f t="shared" si="3"/>
        <v>21.152646347248194</v>
      </c>
      <c r="J9" s="96">
        <f t="shared" si="4"/>
        <v>20.87645272847378</v>
      </c>
      <c r="K9" s="102">
        <f>((H9-'Calibration R. intestinalis '!$D$45)/('Calibration R. intestinalis '!$D$44))+$B$24</f>
        <v>9.1542679868190415</v>
      </c>
      <c r="L9" s="102">
        <f>((I9-'Calibration R. intestinalis '!$D$45)/('Calibration R. intestinalis '!$D$44))+$B$24</f>
        <v>9.1872887375771128</v>
      </c>
      <c r="M9" s="102">
        <f>((J9-'Calibration R. intestinalis '!$D$45)/('Calibration R. intestinalis '!$D$44))+$B$24</f>
        <v>9.261982092574657</v>
      </c>
      <c r="N9" s="103">
        <f t="shared" si="5"/>
        <v>9.2011796056569377</v>
      </c>
      <c r="O9" s="103">
        <f t="shared" si="6"/>
        <v>5.5184230597982331E-2</v>
      </c>
      <c r="P9" s="97">
        <f>(AVERAGE(POWER(10,K9),POWER(10,L9),POWER(10,M9)))*Calculation!$I9/Calculation!K8</f>
        <v>1615622825.0447073</v>
      </c>
      <c r="Q9" s="104">
        <f>(STDEV(POWER(10,K9),POWER(10,L9),POWER(10,M9)))*Calculation!$I9/Calculation!K8</f>
        <v>209406197.08471295</v>
      </c>
      <c r="R9" s="103">
        <f t="shared" si="7"/>
        <v>9.2083399801261656</v>
      </c>
      <c r="S9" s="103">
        <f>O9*Calculation!$I9/Calculation!K8</f>
        <v>5.5796413069193376E-2</v>
      </c>
    </row>
    <row r="10" spans="1:19">
      <c r="A10" s="39">
        <v>6</v>
      </c>
      <c r="B10" s="31">
        <v>80</v>
      </c>
      <c r="C10" s="31">
        <f t="shared" si="8"/>
        <v>520</v>
      </c>
      <c r="D10" s="13">
        <f t="shared" si="0"/>
        <v>8.6666666666666661</v>
      </c>
      <c r="E10" s="96">
        <v>19.838689804077148</v>
      </c>
      <c r="F10" s="96">
        <v>19.910835266113281</v>
      </c>
      <c r="G10" s="96">
        <v>19.905889511108398</v>
      </c>
      <c r="H10" s="96">
        <f t="shared" si="2"/>
        <v>19.749856277668115</v>
      </c>
      <c r="I10" s="96">
        <f t="shared" si="3"/>
        <v>19.822001739704248</v>
      </c>
      <c r="J10" s="96">
        <f t="shared" si="4"/>
        <v>19.817055984699365</v>
      </c>
      <c r="K10" s="102">
        <f>((H10-'Calibration R. intestinalis '!$D$45)/('Calibration R. intestinalis '!$D$44))+$B$24</f>
        <v>9.5666570123371208</v>
      </c>
      <c r="L10" s="102">
        <f>((I10-'Calibration R. intestinalis '!$D$45)/('Calibration R. intestinalis '!$D$44))+$B$24</f>
        <v>9.5471461104153494</v>
      </c>
      <c r="M10" s="102">
        <f>((J10-'Calibration R. intestinalis '!$D$45)/('Calibration R. intestinalis '!$D$44))+$B$24</f>
        <v>9.5484836323897877</v>
      </c>
      <c r="N10" s="103">
        <f t="shared" si="5"/>
        <v>9.5540955850474205</v>
      </c>
      <c r="O10" s="103">
        <f t="shared" si="6"/>
        <v>1.0899051927753615E-2</v>
      </c>
      <c r="P10" s="97">
        <f>(AVERAGE(POWER(10,K10),POWER(10,L10),POWER(10,M10)))*Calculation!$I10/Calculation!K9</f>
        <v>3651699650.5297718</v>
      </c>
      <c r="Q10" s="104">
        <f>(STDEV(POWER(10,K10),POWER(10,L10),POWER(10,M10)))*Calculation!$I10/Calculation!K9</f>
        <v>92286009.752207711</v>
      </c>
      <c r="R10" s="103">
        <f t="shared" si="7"/>
        <v>9.5624950499461292</v>
      </c>
      <c r="S10" s="103">
        <f>O10*Calculation!$I10/Calculation!K9</f>
        <v>1.1109552980794461E-2</v>
      </c>
    </row>
    <row r="11" spans="1:19">
      <c r="A11" s="39">
        <v>7</v>
      </c>
      <c r="B11" s="31">
        <v>80</v>
      </c>
      <c r="C11" s="31">
        <f t="shared" si="8"/>
        <v>600</v>
      </c>
      <c r="D11" s="13">
        <f t="shared" si="0"/>
        <v>10</v>
      </c>
      <c r="E11" s="96">
        <v>19.807180404663086</v>
      </c>
      <c r="F11" s="96">
        <v>19.503805160522461</v>
      </c>
      <c r="G11" s="96">
        <v>19.577299118041992</v>
      </c>
      <c r="H11" s="96">
        <f t="shared" si="2"/>
        <v>19.718346878254053</v>
      </c>
      <c r="I11" s="96">
        <f t="shared" si="3"/>
        <v>19.414971634113428</v>
      </c>
      <c r="J11" s="96">
        <f t="shared" si="4"/>
        <v>19.488465591632959</v>
      </c>
      <c r="K11" s="102">
        <f>((H11-'Calibration R. intestinalis '!$D$45)/('Calibration R. intestinalis '!$D$44))+$B$24</f>
        <v>9.5751783632888099</v>
      </c>
      <c r="L11" s="102">
        <f>((I11-'Calibration R. intestinalis '!$D$45)/('Calibration R. intestinalis '!$D$44))+$B$24</f>
        <v>9.6572226730328747</v>
      </c>
      <c r="M11" s="102">
        <f>((J11-'Calibration R. intestinalis '!$D$45)/('Calibration R. intestinalis '!$D$44))+$B$24</f>
        <v>9.6373470861763053</v>
      </c>
      <c r="N11" s="103">
        <f t="shared" si="5"/>
        <v>9.6232493741659955</v>
      </c>
      <c r="O11" s="103">
        <f t="shared" si="6"/>
        <v>4.2800424101744769E-2</v>
      </c>
      <c r="P11" s="97">
        <f>(AVERAGE(POWER(10,K11),POWER(10,L11),POWER(10,M11)))*Calculation!$I11/Calculation!K10</f>
        <v>4346768187.8579798</v>
      </c>
      <c r="Q11" s="104">
        <f>(STDEV(POWER(10,K11),POWER(10,L11),POWER(10,M11)))*Calculation!$I11/Calculation!K10</f>
        <v>418502189.52203572</v>
      </c>
      <c r="R11" s="103">
        <f t="shared" si="7"/>
        <v>9.6381664799841307</v>
      </c>
      <c r="S11" s="103">
        <f>O11*Calculation!$I11/Calculation!K10</f>
        <v>4.4155071599892681E-2</v>
      </c>
    </row>
    <row r="12" spans="1:19">
      <c r="A12" s="39">
        <v>8</v>
      </c>
      <c r="B12" s="31">
        <v>80</v>
      </c>
      <c r="C12" s="31">
        <f t="shared" si="8"/>
        <v>680</v>
      </c>
      <c r="D12" s="13">
        <f t="shared" si="0"/>
        <v>11.333333333333334</v>
      </c>
      <c r="E12" s="96">
        <v>19.558004379272461</v>
      </c>
      <c r="F12" s="96">
        <v>19.19871711730957</v>
      </c>
      <c r="G12" s="96">
        <v>19.332281112670898</v>
      </c>
      <c r="H12" s="96">
        <f t="shared" si="2"/>
        <v>19.469170852863428</v>
      </c>
      <c r="I12" s="96">
        <f t="shared" si="3"/>
        <v>19.109883590900537</v>
      </c>
      <c r="J12" s="96">
        <f t="shared" si="4"/>
        <v>19.243447586261865</v>
      </c>
      <c r="K12" s="102">
        <f>((H12-'Calibration R. intestinalis '!$D$45)/('Calibration R. intestinalis '!$D$44))+$B$24</f>
        <v>9.6425651240835268</v>
      </c>
      <c r="L12" s="102">
        <f>((I12-'Calibration R. intestinalis '!$D$45)/('Calibration R. intestinalis '!$D$44))+$B$24</f>
        <v>9.7397301893843604</v>
      </c>
      <c r="M12" s="102">
        <f>((J12-'Calibration R. intestinalis '!$D$45)/('Calibration R. intestinalis '!$D$44))+$B$24</f>
        <v>9.7036093587703771</v>
      </c>
      <c r="N12" s="103">
        <f t="shared" si="5"/>
        <v>9.6953015574127548</v>
      </c>
      <c r="O12" s="103">
        <f t="shared" si="6"/>
        <v>4.9112393051826513E-2</v>
      </c>
      <c r="P12" s="97">
        <f>(AVERAGE(POWER(10,K12),POWER(10,L12),POWER(10,M12)))*Calculation!$I12/Calculation!K11</f>
        <v>5227856123.5863581</v>
      </c>
      <c r="Q12" s="104">
        <f>(STDEV(POWER(10,K12),POWER(10,L12),POWER(10,M12)))*Calculation!$I12/Calculation!K11</f>
        <v>582002265.88689744</v>
      </c>
      <c r="R12" s="103">
        <f t="shared" si="7"/>
        <v>9.7183236268059172</v>
      </c>
      <c r="S12" s="103">
        <f>O12*Calculation!$I12/Calculation!K11</f>
        <v>5.1568082319398564E-2</v>
      </c>
    </row>
    <row r="13" spans="1:19">
      <c r="A13" s="39">
        <v>9</v>
      </c>
      <c r="B13" s="31">
        <v>80</v>
      </c>
      <c r="C13" s="31">
        <f t="shared" si="8"/>
        <v>760</v>
      </c>
      <c r="D13" s="13">
        <f t="shared" si="0"/>
        <v>12.666666666666666</v>
      </c>
      <c r="E13" s="96">
        <v>18.816934585571289</v>
      </c>
      <c r="F13" s="96">
        <v>18.667148590087891</v>
      </c>
      <c r="G13" s="96">
        <v>18.87220573425293</v>
      </c>
      <c r="H13" s="96">
        <f t="shared" si="2"/>
        <v>18.728101059162256</v>
      </c>
      <c r="I13" s="96">
        <f t="shared" si="3"/>
        <v>18.578315063678858</v>
      </c>
      <c r="J13" s="96">
        <f t="shared" si="4"/>
        <v>18.783372207843897</v>
      </c>
      <c r="K13" s="102">
        <f>((H13-'Calibration R. intestinalis '!$D$45)/('Calibration R. intestinalis '!$D$44))+$B$24</f>
        <v>9.8429788390147461</v>
      </c>
      <c r="L13" s="102">
        <f>((I13-'Calibration R. intestinalis '!$D$45)/('Calibration R. intestinalis '!$D$44))+$B$24</f>
        <v>9.8834867210720798</v>
      </c>
      <c r="M13" s="102">
        <f>((J13-'Calibration R. intestinalis '!$D$45)/('Calibration R. intestinalis '!$D$44))+$B$24</f>
        <v>9.8280313990705537</v>
      </c>
      <c r="N13" s="103">
        <f t="shared" si="5"/>
        <v>9.8514989863857938</v>
      </c>
      <c r="O13" s="103">
        <f t="shared" si="6"/>
        <v>2.8692644841344053E-2</v>
      </c>
      <c r="P13" s="97">
        <f>(AVERAGE(POWER(10,K13),POWER(10,L13),POWER(10,M13)))*Calculation!$I13/Calculation!K12</f>
        <v>7511075906.860939</v>
      </c>
      <c r="Q13" s="104">
        <f>(STDEV(POWER(10,K13),POWER(10,L13),POWER(10,M13)))*Calculation!$I13/Calculation!K12</f>
        <v>502565950.3399772</v>
      </c>
      <c r="R13" s="103">
        <f t="shared" si="7"/>
        <v>9.8757021509782472</v>
      </c>
      <c r="S13" s="103">
        <f>O13*Calculation!$I13/Calculation!K12</f>
        <v>3.0292593008299694E-2</v>
      </c>
    </row>
    <row r="14" spans="1:19">
      <c r="A14" s="39">
        <v>10</v>
      </c>
      <c r="B14" s="31">
        <v>80</v>
      </c>
      <c r="C14" s="31">
        <f t="shared" si="8"/>
        <v>840</v>
      </c>
      <c r="D14" s="13">
        <f t="shared" si="0"/>
        <v>14</v>
      </c>
      <c r="E14" s="96">
        <v>19.302900314331055</v>
      </c>
      <c r="F14" s="96">
        <v>19.119007110595703</v>
      </c>
      <c r="G14" s="96">
        <v>19.051572799682617</v>
      </c>
      <c r="H14" s="96">
        <f t="shared" si="2"/>
        <v>19.214066787922022</v>
      </c>
      <c r="I14" s="96">
        <f t="shared" si="3"/>
        <v>19.03017358418667</v>
      </c>
      <c r="J14" s="96">
        <f t="shared" si="4"/>
        <v>18.962739273273584</v>
      </c>
      <c r="K14" s="102">
        <f>((H14-'Calibration R. intestinalis '!$D$45)/('Calibration R. intestinalis '!$D$44))+$B$24</f>
        <v>9.7115550542945783</v>
      </c>
      <c r="L14" s="102">
        <f>((I14-'Calibration R. intestinalis '!$D$45)/('Calibration R. intestinalis '!$D$44))+$B$24</f>
        <v>9.7612868345188666</v>
      </c>
      <c r="M14" s="102">
        <f>((J14-'Calibration R. intestinalis '!$D$45)/('Calibration R. intestinalis '!$D$44))+$B$24</f>
        <v>9.7795236603600895</v>
      </c>
      <c r="N14" s="103">
        <f t="shared" si="5"/>
        <v>9.7507885163911769</v>
      </c>
      <c r="O14" s="103">
        <f t="shared" si="6"/>
        <v>3.5179452316015006E-2</v>
      </c>
      <c r="P14" s="97">
        <f>(AVERAGE(POWER(10,K14),POWER(10,L14),POWER(10,M14)))*Calculation!$I14/Calculation!K13</f>
        <v>5965456600.6416073</v>
      </c>
      <c r="Q14" s="104">
        <f>(STDEV(POWER(10,K14),POWER(10,L14),POWER(10,M14)))*Calculation!$I14/Calculation!K13</f>
        <v>474804395.57554066</v>
      </c>
      <c r="R14" s="103">
        <f t="shared" si="7"/>
        <v>9.7756436905126307</v>
      </c>
      <c r="S14" s="103">
        <f>O14*Calculation!$I14/Calculation!K13</f>
        <v>3.7171092020209316E-2</v>
      </c>
    </row>
    <row r="15" spans="1:19">
      <c r="A15" s="39">
        <v>11</v>
      </c>
      <c r="B15" s="31">
        <v>80</v>
      </c>
      <c r="C15" s="31">
        <f t="shared" si="8"/>
        <v>920</v>
      </c>
      <c r="D15" s="13">
        <f t="shared" si="0"/>
        <v>15.333333333333334</v>
      </c>
      <c r="E15" s="96">
        <v>19.374202728271484</v>
      </c>
      <c r="F15" s="96">
        <v>19.018377304077148</v>
      </c>
      <c r="G15" s="96">
        <v>19.077314376831055</v>
      </c>
      <c r="H15" s="96">
        <f t="shared" si="2"/>
        <v>19.285369201862451</v>
      </c>
      <c r="I15" s="96">
        <f t="shared" si="3"/>
        <v>18.929543777668115</v>
      </c>
      <c r="J15" s="96">
        <f t="shared" si="4"/>
        <v>18.988480850422022</v>
      </c>
      <c r="K15" s="102">
        <f>((H15-'Calibration R. intestinalis '!$D$45)/('Calibration R. intestinalis '!$D$44))+$B$24</f>
        <v>9.6922721449345897</v>
      </c>
      <c r="L15" s="102">
        <f>((I15-'Calibration R. intestinalis '!$D$45)/('Calibration R. intestinalis '!$D$44))+$B$24</f>
        <v>9.788500996435344</v>
      </c>
      <c r="M15" s="102">
        <f>((J15-'Calibration R. intestinalis '!$D$45)/('Calibration R. intestinalis '!$D$44))+$B$24</f>
        <v>9.7725621499215904</v>
      </c>
      <c r="N15" s="103">
        <f t="shared" si="5"/>
        <v>9.7511117637638414</v>
      </c>
      <c r="O15" s="103">
        <f t="shared" si="6"/>
        <v>5.1576033824112258E-2</v>
      </c>
      <c r="P15" s="97">
        <f>(AVERAGE(POWER(10,K15),POWER(10,L15),POWER(10,M15)))*Calculation!$I15/Calculation!K14</f>
        <v>5994537200.4548531</v>
      </c>
      <c r="Q15" s="104">
        <f>(STDEV(POWER(10,K15),POWER(10,L15),POWER(10,M15)))*Calculation!$I15/Calculation!K14</f>
        <v>688634621.0378592</v>
      </c>
      <c r="R15" s="103">
        <f t="shared" si="7"/>
        <v>9.7777556596538666</v>
      </c>
      <c r="S15" s="103">
        <f>O15*Calculation!$I15/Calculation!K14</f>
        <v>5.4587611876419299E-2</v>
      </c>
    </row>
    <row r="16" spans="1:19">
      <c r="A16" s="39">
        <v>12</v>
      </c>
      <c r="B16" s="31">
        <v>80</v>
      </c>
      <c r="C16" s="31">
        <f t="shared" si="8"/>
        <v>1000</v>
      </c>
      <c r="D16" s="13">
        <f t="shared" si="0"/>
        <v>16.666666666666668</v>
      </c>
      <c r="E16" s="96">
        <v>19.147329330444336</v>
      </c>
      <c r="F16" s="96">
        <v>19.326761245727539</v>
      </c>
      <c r="G16" s="96">
        <v>19.032125473022461</v>
      </c>
      <c r="H16" s="96">
        <f t="shared" si="2"/>
        <v>19.058495804035303</v>
      </c>
      <c r="I16" s="96">
        <f t="shared" si="3"/>
        <v>19.237927719318506</v>
      </c>
      <c r="J16" s="96">
        <f t="shared" si="4"/>
        <v>18.943291946613428</v>
      </c>
      <c r="K16" s="102">
        <f>((H16-'Calibration R. intestinalis '!$D$45)/('Calibration R. intestinalis '!$D$44))+$B$24</f>
        <v>9.7536274192475823</v>
      </c>
      <c r="L16" s="102">
        <f>((I16-'Calibration R. intestinalis '!$D$45)/('Calibration R. intestinalis '!$D$44))+$B$24</f>
        <v>9.705102142647748</v>
      </c>
      <c r="M16" s="102">
        <f>((J16-'Calibration R. intestinalis '!$D$45)/('Calibration R. intestinalis '!$D$44))+$B$24</f>
        <v>9.7847829638893522</v>
      </c>
      <c r="N16" s="103">
        <f t="shared" si="5"/>
        <v>9.7478375085948947</v>
      </c>
      <c r="O16" s="103">
        <f t="shared" si="6"/>
        <v>4.0154708534102274E-2</v>
      </c>
      <c r="P16" s="97">
        <f>(AVERAGE(POWER(10,K16),POWER(10,L16),POWER(10,M16)))*Calculation!$I16/Calculation!K15</f>
        <v>5944168114.2887192</v>
      </c>
      <c r="Q16" s="104">
        <f>(STDEV(POWER(10,K16),POWER(10,L16),POWER(10,M16)))*Calculation!$I16/Calculation!K15</f>
        <v>543622543.97535539</v>
      </c>
      <c r="R16" s="103">
        <f t="shared" si="7"/>
        <v>9.7740910837396413</v>
      </c>
      <c r="S16" s="103">
        <f>O16*Calculation!$I16/Calculation!K15</f>
        <v>4.2536468546162415E-2</v>
      </c>
    </row>
    <row r="17" spans="1:19">
      <c r="A17" s="39">
        <v>13</v>
      </c>
      <c r="B17" s="31">
        <v>80</v>
      </c>
      <c r="C17" s="31">
        <f t="shared" si="8"/>
        <v>1080</v>
      </c>
      <c r="D17" s="13">
        <f t="shared" si="0"/>
        <v>18</v>
      </c>
      <c r="E17" s="96">
        <v>19.403553009033203</v>
      </c>
      <c r="F17" s="96">
        <v>19.282201766967773</v>
      </c>
      <c r="G17" s="96">
        <v>19.26148796081543</v>
      </c>
      <c r="H17" s="96">
        <f t="shared" si="2"/>
        <v>19.31471948262417</v>
      </c>
      <c r="I17" s="96">
        <f t="shared" si="3"/>
        <v>19.19336824055874</v>
      </c>
      <c r="J17" s="96">
        <f t="shared" si="4"/>
        <v>19.172654434406397</v>
      </c>
      <c r="K17" s="102">
        <f>((H17-'Calibration R. intestinalis '!$D$45)/('Calibration R. intestinalis '!$D$44))+$B$24</f>
        <v>9.6843347025347963</v>
      </c>
      <c r="L17" s="102">
        <f>((I17-'Calibration R. intestinalis '!$D$45)/('Calibration R. intestinalis '!$D$44))+$B$24</f>
        <v>9.7171527359245875</v>
      </c>
      <c r="M17" s="102">
        <f>((J17-'Calibration R. intestinalis '!$D$45)/('Calibration R. intestinalis '!$D$44))+$B$24</f>
        <v>9.7227545441167997</v>
      </c>
      <c r="N17" s="103">
        <f t="shared" si="5"/>
        <v>9.7080806608587285</v>
      </c>
      <c r="O17" s="103">
        <f t="shared" si="6"/>
        <v>2.0754468586234715E-2</v>
      </c>
      <c r="P17" s="97">
        <f>(AVERAGE(POWER(10,K17),POWER(10,L17),POWER(10,M17)))*Calculation!$I17/Calculation!K16</f>
        <v>5412941964.3393393</v>
      </c>
      <c r="Q17" s="104">
        <f>(STDEV(POWER(10,K17),POWER(10,L17),POWER(10,M17)))*Calculation!$I17/Calculation!K16</f>
        <v>255308924.55794492</v>
      </c>
      <c r="R17" s="103">
        <f t="shared" si="7"/>
        <v>9.7334333707632776</v>
      </c>
      <c r="S17" s="103">
        <f>O17*Calculation!$I17/Calculation!K16</f>
        <v>2.1985511349458135E-2</v>
      </c>
    </row>
    <row r="18" spans="1:19">
      <c r="A18" s="39">
        <v>14</v>
      </c>
      <c r="B18" s="31">
        <v>360</v>
      </c>
      <c r="C18" s="31">
        <f t="shared" si="8"/>
        <v>1440</v>
      </c>
      <c r="D18" s="13">
        <f t="shared" si="0"/>
        <v>24</v>
      </c>
      <c r="E18" s="96">
        <v>19.058170318603516</v>
      </c>
      <c r="F18" s="96">
        <v>18.946445465087891</v>
      </c>
      <c r="G18" s="96">
        <v>19.17387580871582</v>
      </c>
      <c r="H18" s="96">
        <f t="shared" si="2"/>
        <v>18.969336792194483</v>
      </c>
      <c r="I18" s="96">
        <f t="shared" si="3"/>
        <v>18.857611938678858</v>
      </c>
      <c r="J18" s="96">
        <f t="shared" si="4"/>
        <v>19.085042282306787</v>
      </c>
      <c r="K18" s="102">
        <f>((H18-'Calibration R. intestinalis '!$D$45)/('Calibration R. intestinalis '!$D$44))+$B$24</f>
        <v>9.7777394380270444</v>
      </c>
      <c r="L18" s="102">
        <f>((I18-'Calibration R. intestinalis '!$D$45)/('Calibration R. intestinalis '!$D$44))+$B$24</f>
        <v>9.8079541264862566</v>
      </c>
      <c r="M18" s="102">
        <f>((J18-'Calibration R. intestinalis '!$D$45)/('Calibration R. intestinalis '!$D$44))+$B$24</f>
        <v>9.7464482326528117</v>
      </c>
      <c r="N18" s="103">
        <f t="shared" si="5"/>
        <v>9.7773805990553697</v>
      </c>
      <c r="O18" s="103">
        <f t="shared" si="6"/>
        <v>3.0754517036013496E-2</v>
      </c>
      <c r="P18" s="97">
        <f>(AVERAGE(POWER(10,K18),POWER(10,L18),POWER(10,M18)))*Calculation!$I18/Calculation!K17</f>
        <v>6361225835.0610437</v>
      </c>
      <c r="Q18" s="104">
        <f>(STDEV(POWER(10,K18),POWER(10,L18),POWER(10,M18)))*Calculation!$I18/Calculation!K17</f>
        <v>449908830.42777693</v>
      </c>
      <c r="R18" s="103">
        <f t="shared" si="7"/>
        <v>9.8035408140924609</v>
      </c>
      <c r="S18" s="103">
        <f>O18*Calculation!$I18/Calculation!K17</f>
        <v>3.260947221080121E-2</v>
      </c>
    </row>
    <row r="19" spans="1:19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E19" s="96">
        <v>18.788887023925781</v>
      </c>
      <c r="F19" s="96">
        <v>18.788629531860352</v>
      </c>
      <c r="G19" s="96">
        <v>18.924186706542969</v>
      </c>
      <c r="H19" s="96">
        <f t="shared" si="2"/>
        <v>18.700053497516748</v>
      </c>
      <c r="I19" s="96">
        <f t="shared" si="3"/>
        <v>18.699796005451319</v>
      </c>
      <c r="J19" s="96">
        <f t="shared" si="4"/>
        <v>18.835353180133936</v>
      </c>
      <c r="K19" s="102">
        <f>((H19-'Calibration R. intestinalis '!$D$45)/('Calibration R. intestinalis '!$D$44))+$B$24</f>
        <v>9.8505639761663577</v>
      </c>
      <c r="L19" s="102">
        <f>((I19-'Calibration R. intestinalis '!$D$45)/('Calibration R. intestinalis '!$D$44))+$B$24</f>
        <v>9.850633611903552</v>
      </c>
      <c r="M19" s="102">
        <f>((J19-'Calibration R. intestinalis '!$D$45)/('Calibration R. intestinalis '!$D$44))+$B$24</f>
        <v>9.8139737491016437</v>
      </c>
      <c r="N19" s="103">
        <f t="shared" si="5"/>
        <v>9.8383904457238511</v>
      </c>
      <c r="O19" s="103">
        <f t="shared" si="6"/>
        <v>2.1145508216632244E-2</v>
      </c>
      <c r="P19" s="97">
        <f>(AVERAGE(POWER(10,K19),POWER(10,L19),POWER(10,M19)))*Calculation!$I19/Calculation!K18</f>
        <v>7314172681.2650042</v>
      </c>
      <c r="Q19" s="104">
        <f>(STDEV(POWER(10,K19),POWER(10,L19),POWER(10,M19)))*Calculation!$I19/Calculation!K18</f>
        <v>350981076.7914139</v>
      </c>
      <c r="R19" s="103">
        <f>LOG(P19)</f>
        <v>9.8641652094386174</v>
      </c>
      <c r="S19" s="103">
        <f>O19*Calculation!$I19/Calculation!K18</f>
        <v>2.2420897124350317E-2</v>
      </c>
    </row>
    <row r="20" spans="1:19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96">
        <v>20.701503753662109</v>
      </c>
      <c r="F20" s="96">
        <v>20.724546432495117</v>
      </c>
      <c r="G20" s="96">
        <v>21.118631362915039</v>
      </c>
      <c r="H20" s="96">
        <f t="shared" si="2"/>
        <v>20.612670227253076</v>
      </c>
      <c r="I20" s="96">
        <f t="shared" si="3"/>
        <v>20.635712906086084</v>
      </c>
      <c r="J20" s="96">
        <f t="shared" si="4"/>
        <v>21.029797836506006</v>
      </c>
      <c r="K20" s="102">
        <f>((H20-'Calibration R. intestinalis '!$D$45)/('Calibration R. intestinalis '!$D$44))+$B$24</f>
        <v>9.3333190050393515</v>
      </c>
      <c r="L20" s="102">
        <f>((I20-'Calibration R. intestinalis '!$D$45)/('Calibration R. intestinalis '!$D$44))+$B$24</f>
        <v>9.3270873802907222</v>
      </c>
      <c r="M20" s="102">
        <f>((J20-'Calibration R. intestinalis '!$D$45)/('Calibration R. intestinalis '!$D$44))+$B$24</f>
        <v>9.2205116898831925</v>
      </c>
      <c r="N20" s="103">
        <f t="shared" si="5"/>
        <v>9.2936393584044215</v>
      </c>
      <c r="O20" s="103">
        <f t="shared" si="6"/>
        <v>6.3407020228560304E-2</v>
      </c>
      <c r="P20" s="97">
        <f>(AVERAGE(POWER(10,K20),POWER(10,L20),POWER(10,M20)))*Calculation!$I20/Calculation!K19</f>
        <v>2099274575.3363805</v>
      </c>
      <c r="Q20" s="104">
        <f>(STDEV(POWER(10,K20),POWER(10,L20),POWER(10,M20)))*Calculation!$I20/Calculation!K19</f>
        <v>292749439.172364</v>
      </c>
      <c r="R20" s="103">
        <f>LOG(P20)</f>
        <v>9.3220692459929158</v>
      </c>
      <c r="S20" s="103">
        <f>O20*Calculation!$I20/Calculation!K19</f>
        <v>6.7231407395918777E-2</v>
      </c>
    </row>
    <row r="21" spans="1:19">
      <c r="A21" s="10"/>
      <c r="B21" s="10"/>
      <c r="C21" s="10"/>
      <c r="D21" s="106"/>
    </row>
    <row r="24" spans="1:19">
      <c r="A24" s="99" t="s">
        <v>236</v>
      </c>
      <c r="B24" s="107">
        <f>LOG(B25)</f>
        <v>3.6532125137753435</v>
      </c>
    </row>
    <row r="25" spans="1:19">
      <c r="A25" s="82" t="s">
        <v>237</v>
      </c>
      <c r="B25" s="82">
        <f>20*1800/4/2</f>
        <v>4500</v>
      </c>
    </row>
    <row r="26" spans="1:19">
      <c r="E26" s="144" t="s">
        <v>220</v>
      </c>
      <c r="F26" s="144"/>
      <c r="G26" s="144"/>
      <c r="H26" s="144"/>
    </row>
    <row r="27" spans="1:19">
      <c r="A27" s="95" t="s">
        <v>238</v>
      </c>
      <c r="B27" s="95" t="s">
        <v>239</v>
      </c>
      <c r="E27" s="96">
        <v>15.713388442993164</v>
      </c>
      <c r="F27" s="96">
        <v>15.726656913757324</v>
      </c>
      <c r="G27" s="96">
        <v>15.612536430358887</v>
      </c>
      <c r="H27" s="108">
        <f>AVERAGE(E27:G27)</f>
        <v>15.684193929036459</v>
      </c>
    </row>
    <row r="28" spans="1:19">
      <c r="A28" s="95" t="s">
        <v>238</v>
      </c>
      <c r="B28" s="95" t="s">
        <v>240</v>
      </c>
      <c r="E28" s="109">
        <v>15.18875789642334</v>
      </c>
      <c r="F28" s="108">
        <v>15.280285835266113</v>
      </c>
      <c r="G28" s="108">
        <v>15.261421203613281</v>
      </c>
      <c r="H28" s="108">
        <f t="shared" ref="H28:H69" si="9">AVERAGE(E28:G28)</f>
        <v>15.243488311767578</v>
      </c>
    </row>
    <row r="29" spans="1:19">
      <c r="A29" s="95" t="s">
        <v>238</v>
      </c>
      <c r="B29" s="95" t="s">
        <v>241</v>
      </c>
      <c r="E29" s="109">
        <v>15.903929710388184</v>
      </c>
      <c r="F29" s="108">
        <v>15.71695613861084</v>
      </c>
      <c r="G29" s="108">
        <v>15.745060920715332</v>
      </c>
      <c r="H29" s="108">
        <f t="shared" si="9"/>
        <v>15.788648923238119</v>
      </c>
    </row>
    <row r="30" spans="1:19">
      <c r="A30" s="95" t="s">
        <v>238</v>
      </c>
      <c r="B30" s="95" t="s">
        <v>242</v>
      </c>
      <c r="E30" s="109">
        <v>15.95374870300293</v>
      </c>
      <c r="F30" s="108">
        <v>15.781205177307129</v>
      </c>
      <c r="G30" s="108">
        <v>15.694306373596191</v>
      </c>
      <c r="H30" s="108">
        <f t="shared" si="9"/>
        <v>15.80975341796875</v>
      </c>
    </row>
    <row r="31" spans="1:19">
      <c r="A31" s="95" t="s">
        <v>243</v>
      </c>
      <c r="B31" s="95" t="s">
        <v>244</v>
      </c>
      <c r="E31" s="109">
        <v>15.793012619018555</v>
      </c>
      <c r="F31" s="108">
        <v>15.662893295288086</v>
      </c>
      <c r="G31" s="108">
        <v>15.729142189025879</v>
      </c>
      <c r="H31" s="108">
        <f t="shared" si="9"/>
        <v>15.728349367777506</v>
      </c>
    </row>
    <row r="32" spans="1:19">
      <c r="A32" s="95" t="s">
        <v>243</v>
      </c>
      <c r="B32" s="95" t="s">
        <v>245</v>
      </c>
      <c r="E32" s="109">
        <v>15.790358543395996</v>
      </c>
      <c r="F32" s="108">
        <v>15.747311592102051</v>
      </c>
      <c r="G32" s="108">
        <v>15.724276542663574</v>
      </c>
      <c r="H32" s="108">
        <f t="shared" si="9"/>
        <v>15.753982226053873</v>
      </c>
    </row>
    <row r="33" spans="1:8">
      <c r="A33" s="95" t="s">
        <v>243</v>
      </c>
      <c r="B33" s="95" t="s">
        <v>245</v>
      </c>
      <c r="E33" s="109">
        <v>15.449001312255859</v>
      </c>
      <c r="F33" s="108">
        <v>15.556774139404297</v>
      </c>
      <c r="G33" s="108">
        <v>15.49962043762207</v>
      </c>
      <c r="H33" s="108">
        <f t="shared" si="9"/>
        <v>15.501798629760742</v>
      </c>
    </row>
    <row r="34" spans="1:8">
      <c r="A34" s="95" t="s">
        <v>243</v>
      </c>
      <c r="B34" s="95" t="s">
        <v>246</v>
      </c>
      <c r="E34" s="109">
        <v>15.347023010253906</v>
      </c>
      <c r="F34" s="108">
        <v>15.780600547790527</v>
      </c>
      <c r="G34" s="108">
        <v>15.718053817749023</v>
      </c>
      <c r="H34" s="108">
        <f t="shared" si="9"/>
        <v>15.615225791931152</v>
      </c>
    </row>
    <row r="35" spans="1:8">
      <c r="A35" s="95" t="s">
        <v>247</v>
      </c>
      <c r="B35" s="95" t="s">
        <v>246</v>
      </c>
      <c r="E35" s="109">
        <v>15.825298309326172</v>
      </c>
      <c r="F35" s="108">
        <v>15.804603576660156</v>
      </c>
      <c r="G35" s="108">
        <v>15.760408401489258</v>
      </c>
      <c r="H35" s="108">
        <f t="shared" si="9"/>
        <v>15.796770095825195</v>
      </c>
    </row>
    <row r="36" spans="1:8">
      <c r="A36" s="95" t="s">
        <v>247</v>
      </c>
      <c r="B36" s="95" t="s">
        <v>248</v>
      </c>
      <c r="E36" s="109">
        <v>15.800871849060059</v>
      </c>
      <c r="F36" s="108">
        <v>15.699575424194336</v>
      </c>
      <c r="G36" s="108">
        <v>15.968178749084473</v>
      </c>
      <c r="H36" s="108">
        <f>AVERAGE(E36:G36)</f>
        <v>15.822875340779623</v>
      </c>
    </row>
    <row r="37" spans="1:8">
      <c r="A37" s="95" t="s">
        <v>247</v>
      </c>
      <c r="B37" s="95" t="s">
        <v>248</v>
      </c>
      <c r="E37" s="109">
        <v>15.717584609985352</v>
      </c>
      <c r="F37" s="108">
        <v>15.693602561950684</v>
      </c>
      <c r="G37" s="108">
        <v>15.63984489440918</v>
      </c>
      <c r="H37" s="108">
        <f t="shared" si="9"/>
        <v>15.683677355448404</v>
      </c>
    </row>
    <row r="38" spans="1:8">
      <c r="A38" s="95" t="s">
        <v>247</v>
      </c>
      <c r="B38" s="95" t="s">
        <v>248</v>
      </c>
      <c r="E38" s="109">
        <v>15.61665153503418</v>
      </c>
      <c r="F38" s="108">
        <v>15.740999221801758</v>
      </c>
      <c r="G38" s="108">
        <v>15.586724281311035</v>
      </c>
      <c r="H38" s="108">
        <f t="shared" si="9"/>
        <v>15.648125012715658</v>
      </c>
    </row>
    <row r="39" spans="1:8">
      <c r="A39" s="95" t="s">
        <v>249</v>
      </c>
      <c r="B39" s="95" t="s">
        <v>250</v>
      </c>
      <c r="E39" s="109">
        <v>15.755837440490723</v>
      </c>
      <c r="F39" s="108">
        <v>15.457893371582031</v>
      </c>
      <c r="G39" s="108">
        <v>15.691001892089844</v>
      </c>
      <c r="H39" s="108">
        <f t="shared" si="9"/>
        <v>15.634910901387533</v>
      </c>
    </row>
    <row r="40" spans="1:8">
      <c r="A40" s="95" t="s">
        <v>249</v>
      </c>
      <c r="B40" s="95" t="s">
        <v>250</v>
      </c>
      <c r="E40" s="109">
        <v>15.560844421386719</v>
      </c>
      <c r="F40" s="108">
        <v>15.738679885864258</v>
      </c>
      <c r="G40" s="108">
        <v>15.730792999267578</v>
      </c>
      <c r="H40" s="108">
        <f t="shared" si="9"/>
        <v>15.676772435506185</v>
      </c>
    </row>
    <row r="41" spans="1:8">
      <c r="A41" s="95" t="s">
        <v>249</v>
      </c>
      <c r="B41" s="95" t="s">
        <v>251</v>
      </c>
      <c r="E41" s="109">
        <v>15.789995193481445</v>
      </c>
      <c r="F41" s="108">
        <v>15.670146942138672</v>
      </c>
      <c r="G41" s="108">
        <v>15.804409980773926</v>
      </c>
      <c r="H41" s="108">
        <f t="shared" si="9"/>
        <v>15.754850705464682</v>
      </c>
    </row>
    <row r="42" spans="1:8">
      <c r="A42" s="95" t="s">
        <v>249</v>
      </c>
      <c r="B42" s="95" t="s">
        <v>252</v>
      </c>
      <c r="E42" s="109">
        <v>15.759750366210938</v>
      </c>
      <c r="F42" s="108">
        <v>15.668698310852051</v>
      </c>
      <c r="G42" s="108">
        <v>15.640106201171875</v>
      </c>
      <c r="H42" s="108">
        <f t="shared" si="9"/>
        <v>15.689518292744955</v>
      </c>
    </row>
    <row r="43" spans="1:8">
      <c r="A43" s="95" t="s">
        <v>272</v>
      </c>
      <c r="B43" s="95" t="s">
        <v>273</v>
      </c>
      <c r="E43" s="109">
        <v>15.258575439453125</v>
      </c>
      <c r="F43" s="108">
        <v>15.478802680969238</v>
      </c>
      <c r="G43" s="108">
        <v>15.974754333496094</v>
      </c>
      <c r="H43" s="108">
        <f t="shared" si="9"/>
        <v>15.570710817972818</v>
      </c>
    </row>
    <row r="44" spans="1:8">
      <c r="A44" s="95" t="s">
        <v>272</v>
      </c>
      <c r="B44" s="95" t="s">
        <v>275</v>
      </c>
      <c r="E44" s="109">
        <v>15.35291576385498</v>
      </c>
      <c r="F44" s="108">
        <v>15.170954704284668</v>
      </c>
      <c r="G44" s="108">
        <v>15.236812591552734</v>
      </c>
      <c r="H44" s="108">
        <f t="shared" si="9"/>
        <v>15.253561019897461</v>
      </c>
    </row>
    <row r="45" spans="1:8">
      <c r="A45" s="95" t="s">
        <v>272</v>
      </c>
      <c r="B45" s="95" t="s">
        <v>276</v>
      </c>
      <c r="E45" s="109">
        <v>15.810567855834961</v>
      </c>
      <c r="F45" s="108">
        <v>15.790656089782715</v>
      </c>
      <c r="G45" s="108">
        <v>15.956247329711914</v>
      </c>
      <c r="H45" s="108">
        <f t="shared" si="9"/>
        <v>15.852490425109863</v>
      </c>
    </row>
    <row r="46" spans="1:8">
      <c r="A46" s="95" t="s">
        <v>272</v>
      </c>
      <c r="B46" s="95" t="s">
        <v>277</v>
      </c>
      <c r="E46" s="109">
        <v>15.760116577148438</v>
      </c>
      <c r="F46" s="108">
        <v>15.89314079284668</v>
      </c>
      <c r="G46" s="108">
        <v>15.903885841369629</v>
      </c>
      <c r="H46" s="108">
        <f t="shared" si="9"/>
        <v>15.852381070454916</v>
      </c>
    </row>
    <row r="47" spans="1:8">
      <c r="A47" s="95" t="s">
        <v>278</v>
      </c>
      <c r="B47" s="95" t="s">
        <v>279</v>
      </c>
      <c r="E47" s="109">
        <v>15.956473350524902</v>
      </c>
      <c r="F47" s="108">
        <v>15.595272064208984</v>
      </c>
      <c r="G47" s="108">
        <v>15.919502258300781</v>
      </c>
      <c r="H47" s="108">
        <f t="shared" si="9"/>
        <v>15.823749224344889</v>
      </c>
    </row>
    <row r="48" spans="1:8">
      <c r="A48" s="95" t="s">
        <v>278</v>
      </c>
      <c r="B48" s="95" t="s">
        <v>280</v>
      </c>
      <c r="E48" s="109">
        <v>15.711461067199707</v>
      </c>
      <c r="F48" s="108">
        <v>15.73438835144043</v>
      </c>
      <c r="G48" s="108">
        <v>15.689187049865723</v>
      </c>
      <c r="H48" s="108">
        <f t="shared" si="9"/>
        <v>15.711678822835287</v>
      </c>
    </row>
    <row r="49" spans="1:8">
      <c r="A49" s="95" t="s">
        <v>278</v>
      </c>
      <c r="B49" s="95" t="s">
        <v>281</v>
      </c>
      <c r="E49" s="109">
        <v>15.574808120727539</v>
      </c>
      <c r="F49" s="108">
        <v>15.501856803894043</v>
      </c>
      <c r="G49" s="108">
        <v>15.596255302429199</v>
      </c>
      <c r="H49" s="108">
        <f t="shared" si="9"/>
        <v>15.557640075683594</v>
      </c>
    </row>
    <row r="50" spans="1:8">
      <c r="A50" s="95" t="s">
        <v>278</v>
      </c>
      <c r="B50" s="95" t="s">
        <v>282</v>
      </c>
      <c r="E50" s="109">
        <v>15.60640811920166</v>
      </c>
      <c r="F50" s="108">
        <v>15.595258712768555</v>
      </c>
      <c r="G50" s="108">
        <v>15.58064079284668</v>
      </c>
      <c r="H50" s="108">
        <f t="shared" si="9"/>
        <v>15.594102541605631</v>
      </c>
    </row>
    <row r="51" spans="1:8">
      <c r="A51" s="95" t="s">
        <v>283</v>
      </c>
      <c r="B51" s="95" t="s">
        <v>284</v>
      </c>
      <c r="E51" s="109">
        <v>15.40764331817627</v>
      </c>
      <c r="F51" s="108">
        <v>15.702505111694336</v>
      </c>
      <c r="G51" s="108">
        <v>15.805522918701172</v>
      </c>
      <c r="H51" s="108">
        <f t="shared" si="9"/>
        <v>15.638557116190592</v>
      </c>
    </row>
    <row r="52" spans="1:8">
      <c r="A52" s="60" t="s">
        <v>283</v>
      </c>
      <c r="B52" s="60" t="s">
        <v>285</v>
      </c>
      <c r="C52" s="60"/>
      <c r="D52" s="60"/>
      <c r="E52" s="109">
        <v>15.5</v>
      </c>
      <c r="F52" s="108">
        <v>15.5</v>
      </c>
      <c r="G52" s="108">
        <v>15.4</v>
      </c>
      <c r="H52" s="108">
        <f t="shared" si="9"/>
        <v>15.466666666666667</v>
      </c>
    </row>
    <row r="53" spans="1:8">
      <c r="A53" s="60" t="s">
        <v>283</v>
      </c>
      <c r="B53" s="60" t="s">
        <v>285</v>
      </c>
      <c r="C53" s="60"/>
      <c r="D53" s="60"/>
      <c r="E53" s="122">
        <v>15.8</v>
      </c>
      <c r="F53" s="123">
        <v>15.4</v>
      </c>
      <c r="G53" s="123">
        <v>15.4</v>
      </c>
      <c r="H53" s="108">
        <f t="shared" si="9"/>
        <v>15.533333333333333</v>
      </c>
    </row>
    <row r="54" spans="1:8">
      <c r="A54" s="60" t="s">
        <v>283</v>
      </c>
      <c r="B54" s="60" t="s">
        <v>286</v>
      </c>
      <c r="C54" s="60"/>
      <c r="D54" s="60"/>
      <c r="E54" s="122">
        <v>15.6</v>
      </c>
      <c r="F54" s="123">
        <v>15.5</v>
      </c>
      <c r="G54" s="123">
        <v>15.6</v>
      </c>
      <c r="H54" s="108">
        <f t="shared" si="9"/>
        <v>15.566666666666668</v>
      </c>
    </row>
    <row r="55" spans="1:8">
      <c r="A55" s="60" t="s">
        <v>287</v>
      </c>
      <c r="B55" s="60" t="s">
        <v>288</v>
      </c>
      <c r="C55" s="60"/>
      <c r="D55" s="60"/>
      <c r="E55" s="122">
        <v>15.6</v>
      </c>
      <c r="F55" s="123">
        <v>15.6</v>
      </c>
      <c r="G55" s="123">
        <v>15.8</v>
      </c>
      <c r="H55" s="108">
        <f t="shared" si="9"/>
        <v>15.666666666666666</v>
      </c>
    </row>
    <row r="56" spans="1:8">
      <c r="A56" s="60" t="s">
        <v>287</v>
      </c>
      <c r="B56" s="60" t="s">
        <v>288</v>
      </c>
      <c r="C56" s="60"/>
      <c r="D56" s="60"/>
      <c r="E56" s="122">
        <v>15.577789306640625</v>
      </c>
      <c r="F56" s="123">
        <v>15.603015899658203</v>
      </c>
      <c r="G56" s="123">
        <v>15.626909255981445</v>
      </c>
      <c r="H56" s="108">
        <f t="shared" si="9"/>
        <v>15.602571487426758</v>
      </c>
    </row>
    <row r="57" spans="1:8">
      <c r="A57" s="95" t="s">
        <v>287</v>
      </c>
      <c r="B57" s="95" t="s">
        <v>289</v>
      </c>
      <c r="E57" s="122">
        <v>15.925136566162109</v>
      </c>
      <c r="F57" s="123"/>
      <c r="G57" s="123">
        <v>15.940312385559082</v>
      </c>
      <c r="H57" s="108">
        <f t="shared" si="9"/>
        <v>15.932724475860596</v>
      </c>
    </row>
    <row r="58" spans="1:8">
      <c r="A58" s="95" t="s">
        <v>287</v>
      </c>
      <c r="B58" s="95" t="s">
        <v>289</v>
      </c>
      <c r="E58" s="109">
        <v>15.2</v>
      </c>
      <c r="F58" s="108">
        <v>15.3</v>
      </c>
      <c r="G58" s="108">
        <v>15.4</v>
      </c>
      <c r="H58" s="108">
        <f t="shared" si="9"/>
        <v>15.299999999999999</v>
      </c>
    </row>
    <row r="59" spans="1:8">
      <c r="A59" s="95" t="s">
        <v>290</v>
      </c>
      <c r="B59" s="95" t="s">
        <v>291</v>
      </c>
      <c r="E59" s="109">
        <v>15.989936828613281</v>
      </c>
      <c r="F59" s="108">
        <v>15.856328964233398</v>
      </c>
      <c r="G59" s="108">
        <v>15.836997985839844</v>
      </c>
      <c r="H59" s="108">
        <f t="shared" si="9"/>
        <v>15.894421259562174</v>
      </c>
    </row>
    <row r="60" spans="1:8">
      <c r="A60" s="95" t="s">
        <v>290</v>
      </c>
      <c r="B60" s="95" t="s">
        <v>307</v>
      </c>
      <c r="E60" s="109">
        <v>15.699069023132324</v>
      </c>
      <c r="F60" s="108">
        <v>15.817172050476074</v>
      </c>
      <c r="G60" s="108">
        <v>16.075807571411133</v>
      </c>
      <c r="H60" s="108">
        <f t="shared" si="9"/>
        <v>15.86401621500651</v>
      </c>
    </row>
    <row r="61" spans="1:8">
      <c r="A61" s="95" t="s">
        <v>290</v>
      </c>
      <c r="B61" s="95" t="s">
        <v>308</v>
      </c>
      <c r="E61" s="109">
        <v>14.193151473999023</v>
      </c>
      <c r="F61" s="108">
        <v>14.592436790466309</v>
      </c>
      <c r="G61" s="108">
        <v>14.826726913452148</v>
      </c>
      <c r="H61" s="108">
        <f t="shared" si="9"/>
        <v>14.53743839263916</v>
      </c>
    </row>
    <row r="62" spans="1:8">
      <c r="A62" s="95" t="s">
        <v>309</v>
      </c>
      <c r="B62" s="95" t="s">
        <v>308</v>
      </c>
      <c r="E62" s="109">
        <v>15.753643035888672</v>
      </c>
      <c r="F62" s="108">
        <v>15.53950309753418</v>
      </c>
      <c r="G62" s="108">
        <v>16.160148620605469</v>
      </c>
      <c r="H62" s="108">
        <f t="shared" si="9"/>
        <v>15.81776491800944</v>
      </c>
    </row>
    <row r="63" spans="1:8">
      <c r="A63" s="95" t="s">
        <v>309</v>
      </c>
      <c r="B63" s="95" t="s">
        <v>310</v>
      </c>
      <c r="E63" s="109">
        <v>16.152790069580078</v>
      </c>
      <c r="F63" s="108">
        <v>15.918967247009277</v>
      </c>
      <c r="G63" s="108">
        <v>16.004350662231445</v>
      </c>
      <c r="H63" s="108">
        <f t="shared" si="9"/>
        <v>16.025369326273601</v>
      </c>
    </row>
    <row r="64" spans="1:8">
      <c r="A64" s="95" t="s">
        <v>309</v>
      </c>
      <c r="B64" s="95" t="s">
        <v>311</v>
      </c>
      <c r="E64" s="109">
        <v>15.725796699523926</v>
      </c>
      <c r="F64" s="108">
        <v>15.72511100769043</v>
      </c>
      <c r="G64" s="108">
        <v>15.700724601745605</v>
      </c>
      <c r="H64" s="108">
        <f t="shared" si="9"/>
        <v>15.71721076965332</v>
      </c>
    </row>
    <row r="65" spans="1:8">
      <c r="A65" s="95" t="s">
        <v>309</v>
      </c>
      <c r="B65" s="95" t="s">
        <v>312</v>
      </c>
      <c r="E65" s="109">
        <v>15.868610382080078</v>
      </c>
      <c r="F65" s="108">
        <v>15.950244903564453</v>
      </c>
      <c r="G65" s="108">
        <v>15.73750114440918</v>
      </c>
      <c r="H65" s="108">
        <f t="shared" si="9"/>
        <v>15.852118810017904</v>
      </c>
    </row>
    <row r="66" spans="1:8">
      <c r="A66" s="95" t="s">
        <v>309</v>
      </c>
      <c r="B66" s="95" t="s">
        <v>312</v>
      </c>
      <c r="E66" s="109">
        <v>15.411773681640625</v>
      </c>
      <c r="F66" s="108">
        <v>15.347482681274414</v>
      </c>
      <c r="G66" s="108">
        <v>15.357060432434082</v>
      </c>
      <c r="H66" s="108">
        <f t="shared" si="9"/>
        <v>15.372105598449707</v>
      </c>
    </row>
    <row r="67" spans="1:8">
      <c r="A67" s="95" t="s">
        <v>238</v>
      </c>
      <c r="B67" s="95" t="s">
        <v>313</v>
      </c>
      <c r="E67" s="109">
        <v>15.701089859008789</v>
      </c>
      <c r="F67" s="108">
        <v>15.69521427154541</v>
      </c>
      <c r="G67" s="108">
        <v>15.858868598937988</v>
      </c>
      <c r="H67" s="108">
        <f t="shared" si="9"/>
        <v>15.751724243164062</v>
      </c>
    </row>
    <row r="68" spans="1:8">
      <c r="A68" s="95" t="s">
        <v>238</v>
      </c>
      <c r="B68" s="95" t="s">
        <v>314</v>
      </c>
      <c r="E68" s="109">
        <v>15.664003372192383</v>
      </c>
      <c r="F68" s="108">
        <v>15.706714630126953</v>
      </c>
      <c r="G68" s="108">
        <v>15.883712768554688</v>
      </c>
      <c r="H68" s="108">
        <f t="shared" si="9"/>
        <v>15.751476923624674</v>
      </c>
    </row>
    <row r="69" spans="1:8">
      <c r="A69" s="95" t="s">
        <v>238</v>
      </c>
      <c r="B69" s="95" t="s">
        <v>314</v>
      </c>
      <c r="E69" s="109">
        <v>15.815454483032227</v>
      </c>
      <c r="F69" s="108">
        <v>15.873584747314453</v>
      </c>
      <c r="G69" s="108">
        <v>15.955685615539551</v>
      </c>
      <c r="H69" s="108">
        <f t="shared" si="9"/>
        <v>15.881574948628744</v>
      </c>
    </row>
    <row r="70" spans="1:8">
      <c r="A70" s="95" t="s">
        <v>238</v>
      </c>
      <c r="B70" s="95" t="s">
        <v>320</v>
      </c>
      <c r="E70" s="109">
        <v>15.894612312316895</v>
      </c>
      <c r="F70" s="108">
        <v>15.946266174316406</v>
      </c>
      <c r="G70" s="108">
        <v>15.963062286376953</v>
      </c>
      <c r="H70" s="108">
        <f>AVERAGE(E70:G70)</f>
        <v>15.934646924336752</v>
      </c>
    </row>
    <row r="71" spans="1:8">
      <c r="A71" s="95"/>
      <c r="B71" s="95"/>
      <c r="E71"/>
    </row>
    <row r="72" spans="1:8">
      <c r="F72" s="95" t="s">
        <v>253</v>
      </c>
      <c r="H72" s="111">
        <f>AVERAGE(H27:H70)</f>
        <v>15.662643397215641</v>
      </c>
    </row>
  </sheetData>
  <mergeCells count="20">
    <mergeCell ref="S2:S3"/>
    <mergeCell ref="E26:H26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F2:F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20" workbookViewId="0">
      <selection activeCell="D45" sqref="D45"/>
    </sheetView>
  </sheetViews>
  <sheetFormatPr baseColWidth="10" defaultRowHeight="14" x14ac:dyDescent="0"/>
  <cols>
    <col min="7" max="7" width="11" bestFit="1" customWidth="1"/>
  </cols>
  <sheetData>
    <row r="1" spans="1:22">
      <c r="A1" s="82"/>
      <c r="B1" s="140" t="s">
        <v>4</v>
      </c>
      <c r="C1" s="142" t="s">
        <v>185</v>
      </c>
      <c r="D1" s="143" t="s">
        <v>18</v>
      </c>
      <c r="E1" s="143"/>
      <c r="F1" s="143"/>
      <c r="G1" s="143"/>
      <c r="H1" s="143" t="s">
        <v>20</v>
      </c>
      <c r="I1" s="143"/>
      <c r="J1" s="143"/>
      <c r="K1" s="143"/>
      <c r="L1" s="143" t="s">
        <v>21</v>
      </c>
      <c r="M1" s="143"/>
      <c r="N1" s="143"/>
      <c r="O1" s="143"/>
      <c r="P1" s="81" t="s">
        <v>22</v>
      </c>
      <c r="Q1" s="81" t="s">
        <v>22</v>
      </c>
      <c r="R1" s="81" t="s">
        <v>22</v>
      </c>
      <c r="S1" s="147" t="s">
        <v>254</v>
      </c>
      <c r="T1" s="82"/>
      <c r="U1" s="82"/>
      <c r="V1" s="82"/>
    </row>
    <row r="2" spans="1:22">
      <c r="A2" s="82"/>
      <c r="B2" s="141"/>
      <c r="C2" s="141"/>
      <c r="D2" s="83" t="s">
        <v>19</v>
      </c>
      <c r="E2" s="83" t="s">
        <v>68</v>
      </c>
      <c r="F2" s="83" t="s">
        <v>69</v>
      </c>
      <c r="G2" s="83" t="s">
        <v>70</v>
      </c>
      <c r="H2" s="83" t="s">
        <v>19</v>
      </c>
      <c r="I2" s="83" t="s">
        <v>68</v>
      </c>
      <c r="J2" s="83" t="s">
        <v>69</v>
      </c>
      <c r="K2" s="83" t="s">
        <v>70</v>
      </c>
      <c r="L2" s="83" t="s">
        <v>19</v>
      </c>
      <c r="M2" s="83" t="s">
        <v>68</v>
      </c>
      <c r="N2" s="83" t="s">
        <v>69</v>
      </c>
      <c r="O2" s="83" t="s">
        <v>71</v>
      </c>
      <c r="P2" s="84" t="s">
        <v>70</v>
      </c>
      <c r="Q2" s="84" t="s">
        <v>23</v>
      </c>
      <c r="R2" s="84" t="s">
        <v>72</v>
      </c>
      <c r="S2" s="148"/>
      <c r="T2" s="82"/>
      <c r="U2" s="82"/>
      <c r="V2" s="82"/>
    </row>
    <row r="3" spans="1:22">
      <c r="A3" s="82"/>
      <c r="B3" s="85"/>
      <c r="C3" s="85"/>
      <c r="D3" s="86"/>
      <c r="E3" s="86"/>
      <c r="F3" s="86"/>
      <c r="G3" s="87"/>
      <c r="H3" s="86"/>
      <c r="I3" s="86"/>
      <c r="J3" s="86"/>
      <c r="K3" s="87"/>
      <c r="L3" s="86"/>
      <c r="M3" s="86"/>
      <c r="N3" s="86"/>
      <c r="O3" s="87"/>
      <c r="P3" s="137"/>
      <c r="Q3" s="138"/>
      <c r="R3" s="139"/>
      <c r="S3" s="82"/>
      <c r="T3" s="82"/>
      <c r="U3" s="82"/>
      <c r="V3" s="82"/>
    </row>
    <row r="4" spans="1:22">
      <c r="A4" s="82"/>
      <c r="B4" s="88" t="s">
        <v>186</v>
      </c>
      <c r="C4" s="89">
        <v>500</v>
      </c>
      <c r="D4" s="89">
        <v>2</v>
      </c>
      <c r="E4" s="89">
        <v>11777</v>
      </c>
      <c r="F4" s="89">
        <v>6</v>
      </c>
      <c r="G4" s="87">
        <f>(E4/F4)*(10.2)*POWER(10,D4+2)</f>
        <v>200208999.99999997</v>
      </c>
      <c r="H4" s="89">
        <v>2</v>
      </c>
      <c r="I4" s="89">
        <v>12350</v>
      </c>
      <c r="J4" s="89">
        <v>6</v>
      </c>
      <c r="K4" s="87">
        <f>(I4/J4)*(10.2)*POWER(10,H4+2)</f>
        <v>209950000</v>
      </c>
      <c r="L4" s="89">
        <v>2</v>
      </c>
      <c r="M4" s="89">
        <v>12193</v>
      </c>
      <c r="N4" s="89">
        <v>6</v>
      </c>
      <c r="O4" s="87">
        <f t="shared" ref="O4:O19" si="0">(M4/N4)*(10.2)*POWER(10,L4+2)</f>
        <v>207281000</v>
      </c>
      <c r="P4" s="90">
        <f t="shared" ref="P4:P19" si="1">AVERAGE(O4,K4,G4)</f>
        <v>205813333.33333334</v>
      </c>
      <c r="Q4" s="90">
        <f t="shared" ref="Q4:Q19" si="2">STDEV(O4,K4,G4)</f>
        <v>5033617.4202389978</v>
      </c>
      <c r="R4" s="91">
        <f>LOG(P4)</f>
        <v>8.313473506507659</v>
      </c>
      <c r="S4" s="95"/>
      <c r="T4" s="82"/>
      <c r="U4" s="82"/>
      <c r="V4" s="82"/>
    </row>
    <row r="5" spans="1:22">
      <c r="A5" s="82"/>
      <c r="B5" s="88" t="s">
        <v>187</v>
      </c>
      <c r="C5" s="89">
        <v>500</v>
      </c>
      <c r="D5" s="89">
        <v>1</v>
      </c>
      <c r="E5" s="89">
        <v>10368</v>
      </c>
      <c r="F5" s="89">
        <v>6</v>
      </c>
      <c r="G5" s="87">
        <f t="shared" ref="G5:G19" si="3">(E5/F5)*(10.2)*POWER(10,D5+2)</f>
        <v>17625600</v>
      </c>
      <c r="H5" s="89">
        <v>1</v>
      </c>
      <c r="I5" s="89">
        <v>11649</v>
      </c>
      <c r="J5" s="89">
        <v>6</v>
      </c>
      <c r="K5" s="87">
        <f t="shared" ref="K5:K19" si="4">(I5/J5)*(10.2)*POWER(10,H5+2)</f>
        <v>19803300</v>
      </c>
      <c r="L5" s="89">
        <v>1</v>
      </c>
      <c r="M5" s="89">
        <v>11377</v>
      </c>
      <c r="N5" s="89">
        <v>6</v>
      </c>
      <c r="O5" s="87">
        <f t="shared" si="0"/>
        <v>19340899.999999996</v>
      </c>
      <c r="P5" s="90">
        <f t="shared" si="1"/>
        <v>18923266.666666668</v>
      </c>
      <c r="Q5" s="90">
        <f t="shared" si="2"/>
        <v>1147348.0393208207</v>
      </c>
      <c r="R5" s="91">
        <f t="shared" ref="R5:R19" si="5">LOG(P5)</f>
        <v>7.2769961094890272</v>
      </c>
      <c r="S5" s="82"/>
      <c r="T5" s="82"/>
      <c r="U5" s="82"/>
      <c r="V5" s="82"/>
    </row>
    <row r="6" spans="1:22">
      <c r="A6" s="82"/>
      <c r="B6" s="88" t="s">
        <v>188</v>
      </c>
      <c r="C6" s="89">
        <v>500</v>
      </c>
      <c r="D6" s="89">
        <v>1</v>
      </c>
      <c r="E6" s="89">
        <v>1368</v>
      </c>
      <c r="F6" s="89">
        <v>6</v>
      </c>
      <c r="G6" s="87">
        <f t="shared" si="3"/>
        <v>2325600</v>
      </c>
      <c r="H6" s="89">
        <v>1</v>
      </c>
      <c r="I6" s="89">
        <v>1169</v>
      </c>
      <c r="J6" s="89">
        <v>6</v>
      </c>
      <c r="K6" s="87">
        <f t="shared" si="4"/>
        <v>1987300</v>
      </c>
      <c r="L6" s="89">
        <v>1</v>
      </c>
      <c r="M6" s="89">
        <v>1324</v>
      </c>
      <c r="N6" s="89">
        <v>6</v>
      </c>
      <c r="O6" s="87">
        <f t="shared" si="0"/>
        <v>2250799.9999999995</v>
      </c>
      <c r="P6" s="90">
        <f t="shared" si="1"/>
        <v>2187900</v>
      </c>
      <c r="Q6" s="90">
        <f t="shared" si="2"/>
        <v>177704.89582451005</v>
      </c>
      <c r="R6" s="91">
        <f t="shared" si="5"/>
        <v>6.3400274682826607</v>
      </c>
      <c r="S6" s="82"/>
      <c r="T6" s="82"/>
      <c r="U6" s="82"/>
      <c r="V6" s="82"/>
    </row>
    <row r="7" spans="1:22">
      <c r="A7" s="82"/>
      <c r="B7" s="88" t="s">
        <v>189</v>
      </c>
      <c r="C7" s="89">
        <v>500</v>
      </c>
      <c r="D7" s="89">
        <v>1</v>
      </c>
      <c r="E7" s="89">
        <v>1657</v>
      </c>
      <c r="F7" s="89">
        <v>67</v>
      </c>
      <c r="G7" s="87">
        <f>(E7/F7)*(10.2)*POWER(10,D7+2)</f>
        <v>252259.70149253728</v>
      </c>
      <c r="H7" s="89">
        <v>1</v>
      </c>
      <c r="I7" s="89">
        <v>1712</v>
      </c>
      <c r="J7" s="89">
        <v>67</v>
      </c>
      <c r="K7" s="87">
        <f t="shared" si="4"/>
        <v>260632.83582089547</v>
      </c>
      <c r="L7" s="89">
        <v>1</v>
      </c>
      <c r="M7" s="89">
        <v>1701</v>
      </c>
      <c r="N7" s="89">
        <v>67</v>
      </c>
      <c r="O7" s="87">
        <f t="shared" si="0"/>
        <v>258958.20895522388</v>
      </c>
      <c r="P7" s="90">
        <f t="shared" si="1"/>
        <v>257283.58208955219</v>
      </c>
      <c r="Q7" s="90">
        <f t="shared" si="2"/>
        <v>4430.6462253947329</v>
      </c>
      <c r="R7" s="91">
        <f t="shared" si="5"/>
        <v>5.410412073674765</v>
      </c>
      <c r="S7" s="95"/>
      <c r="T7" s="82"/>
      <c r="U7" s="82"/>
      <c r="V7" s="82"/>
    </row>
    <row r="8" spans="1:22">
      <c r="A8" s="82"/>
      <c r="B8" s="88" t="s">
        <v>190</v>
      </c>
      <c r="C8" s="89">
        <v>500</v>
      </c>
      <c r="D8" s="89">
        <v>1</v>
      </c>
      <c r="E8" s="89">
        <v>1582</v>
      </c>
      <c r="F8" s="89">
        <v>334</v>
      </c>
      <c r="G8" s="87">
        <f t="shared" si="3"/>
        <v>48312.574850299396</v>
      </c>
      <c r="H8" s="89">
        <v>1</v>
      </c>
      <c r="I8" s="89">
        <v>1222</v>
      </c>
      <c r="J8" s="89">
        <v>334</v>
      </c>
      <c r="K8" s="87">
        <f t="shared" si="4"/>
        <v>37318.562874251496</v>
      </c>
      <c r="L8" s="89">
        <v>1</v>
      </c>
      <c r="M8" s="89">
        <v>1331</v>
      </c>
      <c r="N8" s="89">
        <v>334</v>
      </c>
      <c r="O8" s="87">
        <f t="shared" si="0"/>
        <v>40647.305389221554</v>
      </c>
      <c r="P8" s="90">
        <f t="shared" si="1"/>
        <v>42092.814371257482</v>
      </c>
      <c r="Q8" s="90">
        <f t="shared" si="2"/>
        <v>5637.7475107733544</v>
      </c>
      <c r="R8" s="91">
        <f t="shared" si="5"/>
        <v>4.6242079641192557</v>
      </c>
      <c r="S8" s="95"/>
      <c r="T8" s="82"/>
      <c r="U8" s="82"/>
      <c r="V8" s="82"/>
    </row>
    <row r="9" spans="1:22">
      <c r="A9" s="82"/>
      <c r="B9" s="88" t="s">
        <v>191</v>
      </c>
      <c r="C9" s="89">
        <v>900</v>
      </c>
      <c r="D9" s="89">
        <v>2</v>
      </c>
      <c r="E9" s="89">
        <v>14797</v>
      </c>
      <c r="F9" s="89">
        <v>6</v>
      </c>
      <c r="G9" s="87">
        <f t="shared" si="3"/>
        <v>251548999.99999997</v>
      </c>
      <c r="H9" s="89">
        <v>2</v>
      </c>
      <c r="I9" s="89">
        <v>12831</v>
      </c>
      <c r="J9" s="89">
        <v>6</v>
      </c>
      <c r="K9" s="87">
        <f t="shared" si="4"/>
        <v>218126999.99999997</v>
      </c>
      <c r="L9" s="89">
        <v>2</v>
      </c>
      <c r="M9" s="89">
        <v>13557</v>
      </c>
      <c r="N9" s="89">
        <v>6</v>
      </c>
      <c r="O9" s="87">
        <f t="shared" si="0"/>
        <v>230468999.99999997</v>
      </c>
      <c r="P9" s="90">
        <f t="shared" si="1"/>
        <v>233381666.66666663</v>
      </c>
      <c r="Q9" s="90">
        <f t="shared" si="2"/>
        <v>16900302.995311458</v>
      </c>
      <c r="R9" s="91">
        <f t="shared" si="5"/>
        <v>8.3680667369783137</v>
      </c>
      <c r="S9" s="82"/>
      <c r="T9" s="82"/>
      <c r="U9" s="82"/>
      <c r="V9" s="82"/>
    </row>
    <row r="10" spans="1:22">
      <c r="A10" s="82"/>
      <c r="B10" s="88" t="s">
        <v>192</v>
      </c>
      <c r="C10" s="89">
        <v>900</v>
      </c>
      <c r="D10" s="89">
        <v>2</v>
      </c>
      <c r="E10" s="89">
        <v>6167</v>
      </c>
      <c r="F10" s="89">
        <v>6</v>
      </c>
      <c r="G10" s="87">
        <f t="shared" si="3"/>
        <v>104838999.99999999</v>
      </c>
      <c r="H10" s="89">
        <v>2</v>
      </c>
      <c r="I10" s="89">
        <v>6132</v>
      </c>
      <c r="J10" s="89">
        <v>6</v>
      </c>
      <c r="K10" s="87">
        <f t="shared" si="4"/>
        <v>104244000</v>
      </c>
      <c r="L10" s="89">
        <v>2</v>
      </c>
      <c r="M10" s="89">
        <v>5412</v>
      </c>
      <c r="N10" s="89">
        <v>6</v>
      </c>
      <c r="O10" s="87">
        <f t="shared" si="0"/>
        <v>92004000</v>
      </c>
      <c r="P10" s="90">
        <f t="shared" si="1"/>
        <v>100362333.33333333</v>
      </c>
      <c r="Q10" s="90">
        <f t="shared" si="2"/>
        <v>7244639.9726510411</v>
      </c>
      <c r="R10" s="91">
        <f t="shared" si="5"/>
        <v>8.0015707497132311</v>
      </c>
      <c r="S10" s="82"/>
      <c r="T10" s="82"/>
      <c r="U10" s="82"/>
      <c r="V10" s="82"/>
    </row>
    <row r="11" spans="1:22">
      <c r="A11" s="82"/>
      <c r="B11" s="88" t="s">
        <v>193</v>
      </c>
      <c r="C11" s="89">
        <v>900</v>
      </c>
      <c r="D11" s="89">
        <v>2</v>
      </c>
      <c r="E11" s="89">
        <v>2783</v>
      </c>
      <c r="F11" s="89">
        <v>6</v>
      </c>
      <c r="G11" s="87">
        <f t="shared" si="3"/>
        <v>47310999.999999993</v>
      </c>
      <c r="H11" s="89">
        <v>2</v>
      </c>
      <c r="I11" s="89">
        <v>2791</v>
      </c>
      <c r="J11" s="89">
        <v>6</v>
      </c>
      <c r="K11" s="87">
        <f t="shared" si="4"/>
        <v>47447000</v>
      </c>
      <c r="L11" s="89">
        <v>2</v>
      </c>
      <c r="M11" s="89">
        <v>2844</v>
      </c>
      <c r="N11" s="89">
        <v>6</v>
      </c>
      <c r="O11" s="87">
        <f t="shared" si="0"/>
        <v>48347999.999999993</v>
      </c>
      <c r="P11" s="90">
        <f t="shared" si="1"/>
        <v>47702000</v>
      </c>
      <c r="Q11" s="90">
        <f t="shared" si="2"/>
        <v>563569.87144452473</v>
      </c>
      <c r="R11" s="91">
        <f t="shared" si="5"/>
        <v>7.6785365880706147</v>
      </c>
      <c r="S11" s="82"/>
      <c r="T11" s="82"/>
      <c r="U11" s="82"/>
      <c r="V11" s="82"/>
    </row>
    <row r="12" spans="1:22">
      <c r="A12" s="82"/>
      <c r="B12" s="88" t="s">
        <v>194</v>
      </c>
      <c r="C12" s="89">
        <v>900</v>
      </c>
      <c r="D12" s="89">
        <v>1</v>
      </c>
      <c r="E12" s="89">
        <v>14347</v>
      </c>
      <c r="F12" s="89">
        <v>6</v>
      </c>
      <c r="G12" s="87">
        <f t="shared" si="3"/>
        <v>24389899.999999996</v>
      </c>
      <c r="H12" s="89">
        <v>1</v>
      </c>
      <c r="I12" s="89">
        <v>13548</v>
      </c>
      <c r="J12" s="89">
        <v>6</v>
      </c>
      <c r="K12" s="87">
        <f t="shared" si="4"/>
        <v>23031600</v>
      </c>
      <c r="L12" s="89">
        <v>1</v>
      </c>
      <c r="M12" s="89">
        <v>14200</v>
      </c>
      <c r="N12" s="89">
        <v>6</v>
      </c>
      <c r="O12" s="87">
        <f t="shared" si="0"/>
        <v>24139999.999999996</v>
      </c>
      <c r="P12" s="90">
        <f t="shared" si="1"/>
        <v>23853833.333333332</v>
      </c>
      <c r="Q12" s="90">
        <f t="shared" si="2"/>
        <v>722954.52369656716</v>
      </c>
      <c r="R12" s="91">
        <f t="shared" si="5"/>
        <v>7.3775581805140655</v>
      </c>
      <c r="S12" s="82"/>
      <c r="T12" s="82"/>
      <c r="U12" s="82"/>
      <c r="V12" s="82"/>
    </row>
    <row r="13" spans="1:22">
      <c r="A13" s="82"/>
      <c r="B13" s="88" t="s">
        <v>195</v>
      </c>
      <c r="C13" s="89">
        <v>900</v>
      </c>
      <c r="D13" s="89">
        <v>1</v>
      </c>
      <c r="E13" s="89">
        <v>5210</v>
      </c>
      <c r="F13" s="89">
        <v>6</v>
      </c>
      <c r="G13" s="87">
        <f t="shared" si="3"/>
        <v>8857000</v>
      </c>
      <c r="H13" s="89">
        <v>1</v>
      </c>
      <c r="I13" s="89">
        <v>5214</v>
      </c>
      <c r="J13" s="89">
        <v>6</v>
      </c>
      <c r="K13" s="87">
        <f t="shared" si="4"/>
        <v>8863800</v>
      </c>
      <c r="L13" s="89">
        <v>1</v>
      </c>
      <c r="M13" s="89">
        <v>5752</v>
      </c>
      <c r="N13" s="89">
        <v>6</v>
      </c>
      <c r="O13" s="87">
        <f t="shared" si="0"/>
        <v>9778400</v>
      </c>
      <c r="P13" s="90">
        <f t="shared" si="1"/>
        <v>9166400</v>
      </c>
      <c r="Q13" s="90">
        <f t="shared" si="2"/>
        <v>530018.4525089669</v>
      </c>
      <c r="R13" s="91">
        <f t="shared" si="5"/>
        <v>6.9621988049055377</v>
      </c>
      <c r="S13" s="82"/>
      <c r="T13" s="82"/>
      <c r="U13" s="82"/>
      <c r="V13" s="82"/>
    </row>
    <row r="14" spans="1:22">
      <c r="A14" s="82"/>
      <c r="B14" s="88" t="s">
        <v>196</v>
      </c>
      <c r="C14" s="89">
        <v>900</v>
      </c>
      <c r="D14" s="89">
        <v>1</v>
      </c>
      <c r="E14" s="89">
        <v>2620</v>
      </c>
      <c r="F14" s="89">
        <v>6</v>
      </c>
      <c r="G14" s="87">
        <f t="shared" si="3"/>
        <v>4454000</v>
      </c>
      <c r="H14" s="89">
        <v>1</v>
      </c>
      <c r="I14" s="89">
        <v>2454</v>
      </c>
      <c r="J14" s="89">
        <v>6</v>
      </c>
      <c r="K14" s="87">
        <f t="shared" si="4"/>
        <v>4171799.9999999991</v>
      </c>
      <c r="L14" s="89">
        <v>1</v>
      </c>
      <c r="M14" s="89">
        <v>2673</v>
      </c>
      <c r="N14" s="89">
        <v>6</v>
      </c>
      <c r="O14" s="87">
        <f t="shared" si="0"/>
        <v>4544099.9999999991</v>
      </c>
      <c r="P14" s="90">
        <f t="shared" si="1"/>
        <v>4389966.666666666</v>
      </c>
      <c r="Q14" s="90">
        <f t="shared" si="2"/>
        <v>194234.45454741904</v>
      </c>
      <c r="R14" s="91">
        <f t="shared" si="5"/>
        <v>6.642461222625335</v>
      </c>
      <c r="S14" s="82"/>
      <c r="T14" s="82"/>
      <c r="U14" s="82"/>
      <c r="V14" s="82"/>
    </row>
    <row r="15" spans="1:22">
      <c r="A15" s="82"/>
      <c r="B15" s="88" t="s">
        <v>197</v>
      </c>
      <c r="C15" s="89">
        <v>900</v>
      </c>
      <c r="D15" s="89">
        <v>1</v>
      </c>
      <c r="E15" s="89">
        <v>1562</v>
      </c>
      <c r="F15" s="89">
        <v>6</v>
      </c>
      <c r="G15" s="87">
        <f t="shared" si="3"/>
        <v>2655399.9999999995</v>
      </c>
      <c r="H15" s="89">
        <v>1</v>
      </c>
      <c r="I15" s="89">
        <v>1614</v>
      </c>
      <c r="J15" s="89">
        <v>6</v>
      </c>
      <c r="K15" s="87">
        <f t="shared" si="4"/>
        <v>2743799.9999999995</v>
      </c>
      <c r="L15" s="89">
        <v>1</v>
      </c>
      <c r="M15" s="89">
        <v>1660</v>
      </c>
      <c r="N15" s="89">
        <v>6</v>
      </c>
      <c r="O15" s="87">
        <f t="shared" si="0"/>
        <v>2822000</v>
      </c>
      <c r="P15" s="90">
        <f t="shared" si="1"/>
        <v>2740400</v>
      </c>
      <c r="Q15" s="90">
        <f t="shared" si="2"/>
        <v>83352.024570492809</v>
      </c>
      <c r="R15" s="91">
        <f t="shared" si="5"/>
        <v>6.4378139588473458</v>
      </c>
      <c r="S15" s="82"/>
      <c r="T15" s="82"/>
      <c r="U15" s="82"/>
      <c r="V15" s="82"/>
    </row>
    <row r="16" spans="1:22">
      <c r="A16" s="82"/>
      <c r="B16" s="88" t="s">
        <v>198</v>
      </c>
      <c r="C16" s="89">
        <v>900</v>
      </c>
      <c r="D16" s="89">
        <v>1</v>
      </c>
      <c r="E16" s="89">
        <v>2084</v>
      </c>
      <c r="F16" s="89">
        <v>13</v>
      </c>
      <c r="G16" s="87">
        <f t="shared" si="3"/>
        <v>1635138.4615384615</v>
      </c>
      <c r="H16" s="89">
        <v>1</v>
      </c>
      <c r="I16" s="89">
        <v>2144</v>
      </c>
      <c r="J16" s="89">
        <v>13</v>
      </c>
      <c r="K16" s="87">
        <f t="shared" si="4"/>
        <v>1682215.3846153847</v>
      </c>
      <c r="L16" s="89">
        <v>1</v>
      </c>
      <c r="M16" s="89">
        <v>1740</v>
      </c>
      <c r="N16" s="89">
        <v>13</v>
      </c>
      <c r="O16" s="87">
        <f t="shared" si="0"/>
        <v>1365230.769230769</v>
      </c>
      <c r="P16" s="90">
        <f t="shared" si="1"/>
        <v>1560861.5384615387</v>
      </c>
      <c r="Q16" s="90">
        <f t="shared" si="2"/>
        <v>171048.55326475156</v>
      </c>
      <c r="R16" s="91">
        <f t="shared" si="5"/>
        <v>6.1933643792000312</v>
      </c>
      <c r="S16" s="82"/>
      <c r="T16" s="82"/>
      <c r="U16" s="82"/>
      <c r="V16" s="82"/>
    </row>
    <row r="17" spans="1:22">
      <c r="A17" s="82"/>
      <c r="B17" s="88" t="s">
        <v>199</v>
      </c>
      <c r="C17" s="89">
        <v>900</v>
      </c>
      <c r="D17" s="89">
        <v>1</v>
      </c>
      <c r="E17" s="89">
        <v>2200</v>
      </c>
      <c r="F17" s="89">
        <v>26</v>
      </c>
      <c r="G17" s="87">
        <f t="shared" si="3"/>
        <v>863076.92307692301</v>
      </c>
      <c r="H17" s="89">
        <v>1</v>
      </c>
      <c r="I17" s="89">
        <v>2389</v>
      </c>
      <c r="J17" s="89">
        <v>26</v>
      </c>
      <c r="K17" s="87">
        <f t="shared" si="4"/>
        <v>937223.07692307688</v>
      </c>
      <c r="L17" s="89">
        <v>1</v>
      </c>
      <c r="M17" s="89">
        <v>2163</v>
      </c>
      <c r="N17" s="89">
        <v>26</v>
      </c>
      <c r="O17" s="87">
        <f t="shared" si="0"/>
        <v>848561.53846153838</v>
      </c>
      <c r="P17" s="90">
        <f t="shared" si="1"/>
        <v>882953.84615384601</v>
      </c>
      <c r="Q17" s="90">
        <f t="shared" si="2"/>
        <v>47555.611170987548</v>
      </c>
      <c r="R17" s="91">
        <f t="shared" si="5"/>
        <v>5.9459380026890356</v>
      </c>
      <c r="S17" s="82"/>
      <c r="T17" s="82"/>
      <c r="U17" s="82"/>
      <c r="V17" s="82"/>
    </row>
    <row r="18" spans="1:22">
      <c r="A18" s="82"/>
      <c r="B18" s="88" t="s">
        <v>200</v>
      </c>
      <c r="C18" s="89">
        <v>900</v>
      </c>
      <c r="D18" s="89">
        <v>1</v>
      </c>
      <c r="E18" s="89">
        <v>2258</v>
      </c>
      <c r="F18" s="89">
        <v>53</v>
      </c>
      <c r="G18" s="87">
        <f t="shared" si="3"/>
        <v>434558.49056603765</v>
      </c>
      <c r="H18" s="89">
        <v>1</v>
      </c>
      <c r="I18" s="89">
        <v>2364</v>
      </c>
      <c r="J18" s="89">
        <v>53</v>
      </c>
      <c r="K18" s="87">
        <f t="shared" si="4"/>
        <v>454958.49056603771</v>
      </c>
      <c r="L18" s="89">
        <v>1</v>
      </c>
      <c r="M18" s="89">
        <v>2494</v>
      </c>
      <c r="N18" s="89">
        <v>53</v>
      </c>
      <c r="O18" s="87">
        <f t="shared" si="0"/>
        <v>479977.35849056597</v>
      </c>
      <c r="P18" s="90">
        <f t="shared" si="1"/>
        <v>456498.11320754705</v>
      </c>
      <c r="Q18" s="90">
        <f t="shared" si="2"/>
        <v>22748.543234570494</v>
      </c>
      <c r="R18" s="91">
        <f t="shared" si="5"/>
        <v>5.6594389868533534</v>
      </c>
      <c r="S18" s="82"/>
      <c r="T18" s="82"/>
      <c r="U18" s="82"/>
      <c r="V18" s="82"/>
    </row>
    <row r="19" spans="1:22">
      <c r="A19" s="82"/>
      <c r="B19" s="88" t="s">
        <v>201</v>
      </c>
      <c r="C19" s="89">
        <v>900</v>
      </c>
      <c r="D19" s="89">
        <v>1</v>
      </c>
      <c r="E19" s="89">
        <v>2389</v>
      </c>
      <c r="F19" s="89">
        <v>107</v>
      </c>
      <c r="G19" s="87">
        <f t="shared" si="3"/>
        <v>227736.44859813081</v>
      </c>
      <c r="H19" s="89">
        <v>1</v>
      </c>
      <c r="I19" s="89">
        <v>2798</v>
      </c>
      <c r="J19" s="89">
        <v>107</v>
      </c>
      <c r="K19" s="87">
        <f t="shared" si="4"/>
        <v>266725.23364485975</v>
      </c>
      <c r="L19" s="89">
        <v>1</v>
      </c>
      <c r="M19" s="89">
        <v>7437</v>
      </c>
      <c r="N19" s="89">
        <v>394</v>
      </c>
      <c r="O19" s="87">
        <f t="shared" si="0"/>
        <v>192531.47208121826</v>
      </c>
      <c r="P19" s="90">
        <f t="shared" si="1"/>
        <v>228997.71810806962</v>
      </c>
      <c r="Q19" s="90">
        <f t="shared" si="2"/>
        <v>37112.958172626859</v>
      </c>
      <c r="R19" s="91">
        <f t="shared" si="5"/>
        <v>5.359831154750319</v>
      </c>
      <c r="S19" s="82"/>
      <c r="T19" s="82"/>
      <c r="U19" s="82"/>
      <c r="V19" s="82"/>
    </row>
    <row r="20" spans="1:22" ht="15" thickBo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</row>
    <row r="21" spans="1:22" ht="43" thickBot="1">
      <c r="A21" s="82"/>
      <c r="B21" s="92" t="s">
        <v>4</v>
      </c>
      <c r="C21" s="92" t="s">
        <v>202</v>
      </c>
      <c r="D21" s="92" t="s">
        <v>203</v>
      </c>
      <c r="E21" s="92" t="s">
        <v>204</v>
      </c>
      <c r="F21" s="92" t="s">
        <v>205</v>
      </c>
      <c r="G21" s="93" t="s">
        <v>206</v>
      </c>
      <c r="H21" s="94" t="s">
        <v>207</v>
      </c>
      <c r="I21" s="94" t="s">
        <v>255</v>
      </c>
      <c r="J21" s="94" t="s">
        <v>256</v>
      </c>
      <c r="K21" s="94" t="s">
        <v>257</v>
      </c>
      <c r="L21" s="94" t="s">
        <v>258</v>
      </c>
      <c r="M21" s="95" t="s">
        <v>254</v>
      </c>
      <c r="N21" s="82"/>
      <c r="O21" s="82"/>
      <c r="P21" s="82"/>
      <c r="Q21" s="82"/>
      <c r="R21" s="82"/>
      <c r="S21" s="82"/>
      <c r="T21" s="82"/>
      <c r="U21" s="82"/>
      <c r="V21" s="82"/>
    </row>
    <row r="22" spans="1:2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</row>
    <row r="23" spans="1:22">
      <c r="A23" s="82"/>
      <c r="B23" s="88" t="s">
        <v>186</v>
      </c>
      <c r="C23" s="96">
        <v>12.024166107177734</v>
      </c>
      <c r="D23" s="96">
        <v>11.937971115112305</v>
      </c>
      <c r="E23" s="96">
        <v>12.113894462585449</v>
      </c>
      <c r="F23" s="102">
        <f>AVERAGE(C23:E23)</f>
        <v>12.025343894958496</v>
      </c>
      <c r="G23" s="112">
        <f>1000/1000*200/4*1000/900</f>
        <v>55.555555555555557</v>
      </c>
      <c r="H23" s="111">
        <f>LOG(G23)/LOG(2)</f>
        <v>5.7958592832197748</v>
      </c>
      <c r="I23" s="96">
        <f>C23-H23</f>
        <v>6.2283068239579595</v>
      </c>
      <c r="J23" s="96">
        <f>D23-H23</f>
        <v>6.1421118318925298</v>
      </c>
      <c r="K23" s="96">
        <f>E23-H23</f>
        <v>6.3180351793656744</v>
      </c>
      <c r="L23" s="102">
        <f>AVERAGE(I23:K23)</f>
        <v>6.2294846117387221</v>
      </c>
      <c r="M23" s="95"/>
      <c r="N23" s="82"/>
      <c r="O23" s="82"/>
      <c r="P23" s="82"/>
      <c r="Q23" s="82"/>
      <c r="R23" s="82"/>
      <c r="S23" s="82"/>
      <c r="T23" s="82"/>
      <c r="U23" s="82"/>
      <c r="V23" s="82"/>
    </row>
    <row r="24" spans="1:22">
      <c r="A24" s="82"/>
      <c r="B24" s="88" t="s">
        <v>187</v>
      </c>
      <c r="C24" s="96">
        <v>17.587196350097656</v>
      </c>
      <c r="D24" s="96">
        <v>17.463251113891602</v>
      </c>
      <c r="E24" s="96">
        <v>17.496953964233398</v>
      </c>
      <c r="F24" s="102">
        <f t="shared" ref="F24:F38" si="6">AVERAGE(C24:E24)</f>
        <v>17.515800476074219</v>
      </c>
      <c r="G24" s="112">
        <f t="shared" ref="G24:G27" si="7">1000/1000*200/4*1000/900</f>
        <v>55.555555555555557</v>
      </c>
      <c r="H24" s="111">
        <f t="shared" ref="H24:H38" si="8">LOG(G24)/LOG(2)</f>
        <v>5.7958592832197748</v>
      </c>
      <c r="I24" s="96">
        <f>C24-H24</f>
        <v>11.791337066877881</v>
      </c>
      <c r="J24" s="96">
        <f t="shared" ref="J24:J38" si="9">D24-H24</f>
        <v>11.667391830671827</v>
      </c>
      <c r="K24" s="96">
        <f t="shared" ref="K24:K38" si="10">E24-H24</f>
        <v>11.701094681013624</v>
      </c>
      <c r="L24" s="102">
        <f t="shared" ref="L24:L38" si="11">AVERAGE(I24:K24)</f>
        <v>11.719941192854444</v>
      </c>
      <c r="M24" s="82"/>
      <c r="N24" s="82"/>
      <c r="O24" s="82"/>
      <c r="P24" s="82"/>
      <c r="Q24" s="82"/>
      <c r="R24" s="82"/>
      <c r="S24" s="82"/>
      <c r="T24" s="82"/>
      <c r="U24" s="82"/>
      <c r="V24" s="82"/>
    </row>
    <row r="25" spans="1:22">
      <c r="A25" s="82"/>
      <c r="B25" s="88" t="s">
        <v>188</v>
      </c>
      <c r="C25" s="96">
        <v>20.035877227783203</v>
      </c>
      <c r="D25" s="96">
        <v>19.974271774291992</v>
      </c>
      <c r="E25" s="96">
        <v>19.944717407226562</v>
      </c>
      <c r="F25" s="102">
        <f t="shared" si="6"/>
        <v>19.984955469767254</v>
      </c>
      <c r="G25" s="112">
        <f t="shared" si="7"/>
        <v>55.555555555555557</v>
      </c>
      <c r="H25" s="111">
        <f t="shared" si="8"/>
        <v>5.7958592832197748</v>
      </c>
      <c r="I25" s="96">
        <f>C25-H25</f>
        <v>14.240017944563428</v>
      </c>
      <c r="J25" s="96">
        <f t="shared" si="9"/>
        <v>14.178412491072217</v>
      </c>
      <c r="K25" s="96">
        <f t="shared" si="10"/>
        <v>14.148858124006788</v>
      </c>
      <c r="L25" s="102">
        <f t="shared" si="11"/>
        <v>14.189096186547479</v>
      </c>
      <c r="M25" s="82"/>
      <c r="N25" s="82"/>
      <c r="O25" s="82"/>
      <c r="P25" s="82"/>
      <c r="Q25" s="82"/>
      <c r="R25" s="82"/>
      <c r="S25" s="82"/>
      <c r="T25" s="82"/>
      <c r="U25" s="82"/>
      <c r="V25" s="82"/>
    </row>
    <row r="26" spans="1:22">
      <c r="A26" s="82"/>
      <c r="B26" s="88" t="s">
        <v>189</v>
      </c>
      <c r="C26" s="96">
        <v>24.500289916992188</v>
      </c>
      <c r="D26" s="96">
        <v>24.458871841430664</v>
      </c>
      <c r="E26" s="96">
        <v>24.548263549804688</v>
      </c>
      <c r="F26" s="102">
        <f t="shared" si="6"/>
        <v>24.502475102742512</v>
      </c>
      <c r="G26" s="112">
        <f t="shared" si="7"/>
        <v>55.555555555555557</v>
      </c>
      <c r="H26" s="111">
        <f t="shared" si="8"/>
        <v>5.7958592832197748</v>
      </c>
      <c r="I26" s="96">
        <f>C26-H26</f>
        <v>18.704430633772411</v>
      </c>
      <c r="J26" s="96">
        <f t="shared" si="9"/>
        <v>18.663012558210887</v>
      </c>
      <c r="K26" s="96">
        <f t="shared" si="10"/>
        <v>18.752404266584911</v>
      </c>
      <c r="L26" s="102">
        <f t="shared" si="11"/>
        <v>18.706615819522735</v>
      </c>
      <c r="M26" s="95"/>
      <c r="N26" s="82"/>
      <c r="O26" s="82"/>
      <c r="P26" s="82"/>
      <c r="Q26" s="82"/>
      <c r="R26" s="82"/>
      <c r="S26" s="82"/>
      <c r="T26" s="82"/>
      <c r="U26" s="82"/>
      <c r="V26" s="82"/>
    </row>
    <row r="27" spans="1:22">
      <c r="A27" s="82"/>
      <c r="B27" s="88" t="s">
        <v>190</v>
      </c>
      <c r="C27" s="96">
        <v>27.966335296630859</v>
      </c>
      <c r="D27" s="96">
        <v>27.953102111816406</v>
      </c>
      <c r="E27" s="96">
        <v>27.858415603637695</v>
      </c>
      <c r="F27" s="102">
        <f>AVERAGE(C27:E27)</f>
        <v>27.92595100402832</v>
      </c>
      <c r="G27" s="112">
        <f t="shared" si="7"/>
        <v>55.555555555555557</v>
      </c>
      <c r="H27" s="111">
        <f t="shared" si="8"/>
        <v>5.7958592832197748</v>
      </c>
      <c r="I27" s="96">
        <f>C27-H27</f>
        <v>22.170476013411083</v>
      </c>
      <c r="J27" s="96">
        <f>D27-H27</f>
        <v>22.15724282859663</v>
      </c>
      <c r="K27" s="96">
        <f>E27-H27</f>
        <v>22.062556320417919</v>
      </c>
      <c r="L27" s="102">
        <f t="shared" si="11"/>
        <v>22.130091720808547</v>
      </c>
      <c r="M27" s="95"/>
      <c r="N27" s="82"/>
      <c r="O27" s="82"/>
      <c r="P27" s="82"/>
      <c r="Q27" s="82"/>
      <c r="R27" s="82"/>
      <c r="S27" s="82"/>
      <c r="T27" s="82"/>
      <c r="U27" s="82"/>
      <c r="V27" s="82"/>
    </row>
    <row r="28" spans="1:22">
      <c r="A28" s="82"/>
      <c r="B28" s="88" t="s">
        <v>191</v>
      </c>
      <c r="C28" s="96">
        <v>13.96388053894043</v>
      </c>
      <c r="D28" s="96">
        <v>13.646139144897461</v>
      </c>
      <c r="E28" s="96">
        <v>13.680848121643066</v>
      </c>
      <c r="F28" s="102">
        <f t="shared" si="6"/>
        <v>13.763622601826986</v>
      </c>
      <c r="G28" s="82">
        <f>1000/1000*200/4*1000/500</f>
        <v>100</v>
      </c>
      <c r="H28" s="111">
        <f t="shared" si="8"/>
        <v>6.6438561897747244</v>
      </c>
      <c r="I28" s="96">
        <f t="shared" ref="I28:I38" si="12">C28-H28</f>
        <v>7.3200243491657053</v>
      </c>
      <c r="J28" s="96">
        <f t="shared" si="9"/>
        <v>7.0022829551227366</v>
      </c>
      <c r="K28" s="96">
        <f t="shared" si="10"/>
        <v>7.036991931868342</v>
      </c>
      <c r="L28" s="102">
        <f t="shared" si="11"/>
        <v>7.119766412052261</v>
      </c>
      <c r="M28" s="82"/>
      <c r="N28" s="82"/>
      <c r="O28" s="82"/>
      <c r="P28" s="82"/>
      <c r="Q28" s="82"/>
      <c r="R28" s="82"/>
      <c r="S28" s="82"/>
      <c r="T28" s="82"/>
      <c r="U28" s="82"/>
      <c r="V28" s="82"/>
    </row>
    <row r="29" spans="1:22">
      <c r="A29" s="82"/>
      <c r="B29" s="88" t="s">
        <v>192</v>
      </c>
      <c r="C29" s="96">
        <v>15.15186882019043</v>
      </c>
      <c r="D29" s="96">
        <v>15.517631530761719</v>
      </c>
      <c r="E29" s="96">
        <v>15.663459777832031</v>
      </c>
      <c r="F29" s="102">
        <f t="shared" si="6"/>
        <v>15.44432004292806</v>
      </c>
      <c r="G29" s="82">
        <f t="shared" ref="G29:G38" si="13">1000/1000*200/4*1000/500</f>
        <v>100</v>
      </c>
      <c r="H29" s="111">
        <f t="shared" si="8"/>
        <v>6.6438561897747244</v>
      </c>
      <c r="I29" s="96">
        <f t="shared" si="12"/>
        <v>8.5080126304157062</v>
      </c>
      <c r="J29" s="96">
        <f t="shared" si="9"/>
        <v>8.8737753409869953</v>
      </c>
      <c r="K29" s="96">
        <f t="shared" si="10"/>
        <v>9.0196035880573078</v>
      </c>
      <c r="L29" s="102">
        <f t="shared" si="11"/>
        <v>8.800463853153337</v>
      </c>
      <c r="M29" s="82"/>
      <c r="N29" s="82"/>
      <c r="O29" s="82"/>
      <c r="P29" s="82"/>
      <c r="Q29" s="82"/>
      <c r="R29" s="82"/>
      <c r="S29" s="82"/>
      <c r="T29" s="82"/>
      <c r="U29" s="82"/>
      <c r="V29" s="82"/>
    </row>
    <row r="30" spans="1:22">
      <c r="A30" s="82"/>
      <c r="B30" s="88" t="s">
        <v>193</v>
      </c>
      <c r="C30" s="96">
        <v>16.251581192016602</v>
      </c>
      <c r="D30" s="96">
        <v>16.335042953491211</v>
      </c>
      <c r="E30" s="96">
        <v>16.212072372436523</v>
      </c>
      <c r="F30" s="102">
        <f t="shared" si="6"/>
        <v>16.266232172648113</v>
      </c>
      <c r="G30" s="82">
        <f t="shared" si="13"/>
        <v>100</v>
      </c>
      <c r="H30" s="111">
        <f t="shared" si="8"/>
        <v>6.6438561897747244</v>
      </c>
      <c r="I30" s="96">
        <f t="shared" si="12"/>
        <v>9.6077250022418781</v>
      </c>
      <c r="J30" s="96">
        <f t="shared" si="9"/>
        <v>9.6911867637164875</v>
      </c>
      <c r="K30" s="96">
        <f t="shared" si="10"/>
        <v>9.5682161826618</v>
      </c>
      <c r="L30" s="102">
        <f t="shared" si="11"/>
        <v>9.6223759828733879</v>
      </c>
      <c r="M30" s="82"/>
      <c r="N30" s="82"/>
      <c r="O30" s="82"/>
      <c r="P30" s="82"/>
      <c r="Q30" s="82"/>
      <c r="R30" s="82"/>
      <c r="S30" s="82"/>
      <c r="T30" s="82"/>
      <c r="U30" s="82"/>
      <c r="V30" s="82"/>
    </row>
    <row r="31" spans="1:22">
      <c r="A31" s="82"/>
      <c r="B31" s="88" t="s">
        <v>194</v>
      </c>
      <c r="C31" s="96">
        <v>18.410284042358398</v>
      </c>
      <c r="D31" s="96">
        <v>18.640316009521484</v>
      </c>
      <c r="E31" s="96">
        <v>18.454940795898438</v>
      </c>
      <c r="F31" s="102">
        <f t="shared" si="6"/>
        <v>18.501846949259441</v>
      </c>
      <c r="G31" s="82">
        <f t="shared" si="13"/>
        <v>100</v>
      </c>
      <c r="H31" s="111">
        <f t="shared" si="8"/>
        <v>6.6438561897747244</v>
      </c>
      <c r="I31" s="96">
        <f t="shared" si="12"/>
        <v>11.766427852583675</v>
      </c>
      <c r="J31" s="96">
        <f t="shared" si="9"/>
        <v>11.996459819746761</v>
      </c>
      <c r="K31" s="96">
        <f t="shared" si="10"/>
        <v>11.811084606123714</v>
      </c>
      <c r="L31" s="102">
        <f t="shared" si="11"/>
        <v>11.857990759484716</v>
      </c>
      <c r="M31" s="82"/>
      <c r="N31" s="82"/>
      <c r="O31" s="82"/>
      <c r="P31" s="82"/>
      <c r="Q31" s="82"/>
      <c r="R31" s="82"/>
      <c r="S31" s="82"/>
      <c r="T31" s="82"/>
      <c r="U31" s="82"/>
      <c r="V31" s="82"/>
    </row>
    <row r="32" spans="1:22">
      <c r="A32" s="82"/>
      <c r="B32" s="88" t="s">
        <v>195</v>
      </c>
      <c r="C32" s="96">
        <v>18.648725509643555</v>
      </c>
      <c r="D32" s="96">
        <v>18.836643218994141</v>
      </c>
      <c r="E32" s="96">
        <v>18.618749618530273</v>
      </c>
      <c r="F32" s="102">
        <f t="shared" si="6"/>
        <v>18.701372782389324</v>
      </c>
      <c r="G32" s="82">
        <f t="shared" si="13"/>
        <v>100</v>
      </c>
      <c r="H32" s="111">
        <f t="shared" si="8"/>
        <v>6.6438561897747244</v>
      </c>
      <c r="I32" s="96">
        <f t="shared" si="12"/>
        <v>12.004869319868831</v>
      </c>
      <c r="J32" s="96">
        <f t="shared" si="9"/>
        <v>12.192787029219417</v>
      </c>
      <c r="K32" s="96">
        <f t="shared" si="10"/>
        <v>11.97489342875555</v>
      </c>
      <c r="L32" s="102">
        <f t="shared" si="11"/>
        <v>12.057516592614599</v>
      </c>
      <c r="M32" s="82"/>
      <c r="N32" s="82"/>
      <c r="O32" s="82"/>
      <c r="P32" s="82"/>
      <c r="Q32" s="82"/>
      <c r="R32" s="82"/>
      <c r="S32" s="82"/>
      <c r="T32" s="82"/>
      <c r="U32" s="82"/>
      <c r="V32" s="82"/>
    </row>
    <row r="33" spans="1:22">
      <c r="A33" s="82"/>
      <c r="B33" s="88" t="s">
        <v>196</v>
      </c>
      <c r="C33" s="96">
        <v>19.173038482666016</v>
      </c>
      <c r="D33" s="96">
        <v>19.267778396606445</v>
      </c>
      <c r="E33" s="96">
        <v>19.15654182434082</v>
      </c>
      <c r="F33" s="102">
        <f t="shared" si="6"/>
        <v>19.199119567871094</v>
      </c>
      <c r="G33" s="82">
        <f t="shared" si="13"/>
        <v>100</v>
      </c>
      <c r="H33" s="111">
        <f t="shared" si="8"/>
        <v>6.6438561897747244</v>
      </c>
      <c r="I33" s="96">
        <f t="shared" si="12"/>
        <v>12.529182292891292</v>
      </c>
      <c r="J33" s="96">
        <f t="shared" si="9"/>
        <v>12.623922206831722</v>
      </c>
      <c r="K33" s="96">
        <f t="shared" si="10"/>
        <v>12.512685634566097</v>
      </c>
      <c r="L33" s="102">
        <f t="shared" si="11"/>
        <v>12.55526337809637</v>
      </c>
      <c r="M33" s="82"/>
      <c r="N33" s="82"/>
      <c r="O33" s="82"/>
      <c r="P33" s="82"/>
      <c r="Q33" s="82"/>
      <c r="R33" s="82"/>
      <c r="S33" s="82"/>
      <c r="T33" s="82"/>
      <c r="U33" s="82"/>
      <c r="V33" s="82"/>
    </row>
    <row r="34" spans="1:22">
      <c r="A34" s="82"/>
      <c r="B34" s="88" t="s">
        <v>197</v>
      </c>
      <c r="C34" s="96">
        <v>20.283313751220703</v>
      </c>
      <c r="D34" s="96">
        <v>20.449991226196289</v>
      </c>
      <c r="E34" s="96">
        <v>20.311237335205078</v>
      </c>
      <c r="F34" s="102">
        <f t="shared" si="6"/>
        <v>20.348180770874023</v>
      </c>
      <c r="G34" s="82">
        <f t="shared" si="13"/>
        <v>100</v>
      </c>
      <c r="H34" s="111">
        <f t="shared" si="8"/>
        <v>6.6438561897747244</v>
      </c>
      <c r="I34" s="96">
        <f t="shared" si="12"/>
        <v>13.63945756144598</v>
      </c>
      <c r="J34" s="96">
        <f t="shared" si="9"/>
        <v>13.806135036421566</v>
      </c>
      <c r="K34" s="96">
        <f t="shared" si="10"/>
        <v>13.667381145430355</v>
      </c>
      <c r="L34" s="102">
        <f t="shared" si="11"/>
        <v>13.7043245810993</v>
      </c>
      <c r="M34" s="82"/>
      <c r="N34" s="82"/>
      <c r="O34" s="82"/>
      <c r="P34" s="82"/>
      <c r="Q34" s="82"/>
      <c r="R34" s="82"/>
      <c r="S34" s="82"/>
      <c r="T34" s="82"/>
      <c r="U34" s="82"/>
      <c r="V34" s="82"/>
    </row>
    <row r="35" spans="1:22">
      <c r="A35" s="82"/>
      <c r="B35" s="88" t="s">
        <v>198</v>
      </c>
      <c r="C35" s="96">
        <v>21.243825912475586</v>
      </c>
      <c r="D35" s="96">
        <v>21.539775848388672</v>
      </c>
      <c r="E35" s="96">
        <v>21.392797470092773</v>
      </c>
      <c r="F35" s="102">
        <f t="shared" si="6"/>
        <v>21.392133076985676</v>
      </c>
      <c r="G35" s="82">
        <f t="shared" si="13"/>
        <v>100</v>
      </c>
      <c r="H35" s="111">
        <f t="shared" si="8"/>
        <v>6.6438561897747244</v>
      </c>
      <c r="I35" s="96">
        <f t="shared" si="12"/>
        <v>14.599969722700862</v>
      </c>
      <c r="J35" s="96">
        <f t="shared" si="9"/>
        <v>14.895919658613948</v>
      </c>
      <c r="K35" s="96">
        <f t="shared" si="10"/>
        <v>14.74894128031805</v>
      </c>
      <c r="L35" s="102">
        <f t="shared" si="11"/>
        <v>14.748276887210954</v>
      </c>
      <c r="M35" s="82"/>
      <c r="N35" s="82"/>
      <c r="O35" s="82"/>
      <c r="P35" s="82"/>
      <c r="Q35" s="82"/>
      <c r="R35" s="82"/>
      <c r="S35" s="82"/>
      <c r="T35" s="82"/>
      <c r="U35" s="82"/>
      <c r="V35" s="82"/>
    </row>
    <row r="36" spans="1:22">
      <c r="A36" s="82"/>
      <c r="B36" s="88" t="s">
        <v>199</v>
      </c>
      <c r="C36" s="96">
        <v>22.513101577758789</v>
      </c>
      <c r="D36" s="96">
        <v>22.496644973754883</v>
      </c>
      <c r="E36" s="96">
        <v>22.572574615478516</v>
      </c>
      <c r="F36" s="102">
        <f t="shared" si="6"/>
        <v>22.527440388997395</v>
      </c>
      <c r="G36" s="82">
        <f t="shared" si="13"/>
        <v>100</v>
      </c>
      <c r="H36" s="111">
        <f t="shared" si="8"/>
        <v>6.6438561897747244</v>
      </c>
      <c r="I36" s="96">
        <f t="shared" si="12"/>
        <v>15.869245387984066</v>
      </c>
      <c r="J36" s="96">
        <f t="shared" si="9"/>
        <v>15.852788783980159</v>
      </c>
      <c r="K36" s="96">
        <f t="shared" si="10"/>
        <v>15.928718425703792</v>
      </c>
      <c r="L36" s="102">
        <f t="shared" si="11"/>
        <v>15.883584199222673</v>
      </c>
      <c r="M36" s="82"/>
      <c r="N36" s="82"/>
      <c r="O36" s="82"/>
      <c r="P36" s="82"/>
      <c r="Q36" s="82"/>
      <c r="R36" s="82"/>
      <c r="S36" s="82"/>
      <c r="T36" s="82"/>
      <c r="U36" s="82"/>
      <c r="V36" s="82"/>
    </row>
    <row r="37" spans="1:22">
      <c r="A37" s="82"/>
      <c r="B37" s="88" t="s">
        <v>200</v>
      </c>
      <c r="C37" s="96">
        <v>25.11761474609375</v>
      </c>
      <c r="D37" s="96">
        <v>25.00200080871582</v>
      </c>
      <c r="E37" s="96">
        <v>25.069990158081055</v>
      </c>
      <c r="F37" s="102">
        <f t="shared" si="6"/>
        <v>25.063201904296875</v>
      </c>
      <c r="G37" s="82">
        <f t="shared" si="13"/>
        <v>100</v>
      </c>
      <c r="H37" s="111">
        <f t="shared" si="8"/>
        <v>6.6438561897747244</v>
      </c>
      <c r="I37" s="96">
        <f t="shared" si="12"/>
        <v>18.473758556319027</v>
      </c>
      <c r="J37" s="96">
        <f t="shared" si="9"/>
        <v>18.358144618941097</v>
      </c>
      <c r="K37" s="96">
        <f t="shared" si="10"/>
        <v>18.426133968306331</v>
      </c>
      <c r="L37" s="102">
        <f t="shared" si="11"/>
        <v>18.419345714522152</v>
      </c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 spans="1:22">
      <c r="A38" s="82"/>
      <c r="B38" s="88" t="s">
        <v>201</v>
      </c>
      <c r="C38" s="96">
        <v>25.78911018371582</v>
      </c>
      <c r="D38" s="96">
        <v>25.811565399169922</v>
      </c>
      <c r="E38" s="96">
        <v>25.885698318481445</v>
      </c>
      <c r="F38" s="102">
        <f t="shared" si="6"/>
        <v>25.82879130045573</v>
      </c>
      <c r="G38" s="82">
        <f t="shared" si="13"/>
        <v>100</v>
      </c>
      <c r="H38" s="111">
        <f t="shared" si="8"/>
        <v>6.6438561897747244</v>
      </c>
      <c r="I38" s="96">
        <f t="shared" si="12"/>
        <v>19.145253993941097</v>
      </c>
      <c r="J38" s="96">
        <f t="shared" si="9"/>
        <v>19.167709209395198</v>
      </c>
      <c r="K38" s="96">
        <f t="shared" si="10"/>
        <v>19.241842128706722</v>
      </c>
      <c r="L38" s="102">
        <f t="shared" si="11"/>
        <v>19.184935110681007</v>
      </c>
      <c r="M38" s="82"/>
      <c r="N38" s="82"/>
      <c r="O38" s="82"/>
      <c r="P38" s="82"/>
      <c r="Q38" s="82"/>
      <c r="R38" s="82"/>
      <c r="S38" s="82"/>
      <c r="T38" s="82"/>
      <c r="U38" s="82"/>
      <c r="V38" s="82"/>
    </row>
    <row r="39" spans="1:22">
      <c r="A39" s="82"/>
      <c r="B39" s="82"/>
      <c r="C39" s="82"/>
      <c r="D39" s="82"/>
      <c r="E39" s="82"/>
      <c r="F39" s="111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</row>
    <row r="40" spans="1:22">
      <c r="A40" s="82"/>
      <c r="B40" s="88" t="s">
        <v>259</v>
      </c>
      <c r="C40" s="96">
        <v>10.746070861816406</v>
      </c>
      <c r="D40" s="96">
        <v>10.822755813598633</v>
      </c>
      <c r="E40" s="96">
        <v>10.731834411621094</v>
      </c>
      <c r="F40" s="102">
        <f>AVERAGE(C40:E40)</f>
        <v>10.766887029012045</v>
      </c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</row>
    <row r="41" spans="1:22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</row>
    <row r="42" spans="1:22">
      <c r="A42" s="82"/>
      <c r="B42" s="95" t="s">
        <v>214</v>
      </c>
      <c r="C42" s="82" t="s">
        <v>215</v>
      </c>
      <c r="D42" s="82"/>
      <c r="E42" s="82"/>
      <c r="F42" t="s">
        <v>260</v>
      </c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</row>
    <row r="43" spans="1:22">
      <c r="A43" s="82"/>
      <c r="B43" s="82" t="s">
        <v>261</v>
      </c>
      <c r="C43" s="82" t="s">
        <v>215</v>
      </c>
      <c r="D43" s="82"/>
      <c r="E43" s="82"/>
      <c r="F43">
        <v>0.34642903804779052</v>
      </c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</row>
    <row r="44" spans="1:22">
      <c r="A44" s="82"/>
      <c r="B44" s="82"/>
      <c r="C44" s="99" t="s">
        <v>217</v>
      </c>
      <c r="D44" s="97">
        <v>-3.9893000000000001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</row>
    <row r="45" spans="1:22">
      <c r="A45" s="82"/>
      <c r="B45" s="82"/>
      <c r="C45" s="99" t="s">
        <v>218</v>
      </c>
      <c r="D45" s="97">
        <v>40.134999999999998</v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</row>
    <row r="46" spans="1:22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</row>
    <row r="47" spans="1:22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</row>
    <row r="48" spans="1:22">
      <c r="A48" s="82"/>
      <c r="B48" s="95" t="s">
        <v>219</v>
      </c>
      <c r="C48" s="82"/>
      <c r="D48" s="82">
        <f>-1+ POWER(10,-(1/D44))</f>
        <v>0.78102716558460528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</row>
    <row r="49" spans="1:22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</row>
    <row r="50" spans="1:22">
      <c r="A50" s="82"/>
      <c r="B50" s="95" t="s">
        <v>262</v>
      </c>
      <c r="C50" s="113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</row>
    <row r="51" spans="1:22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</row>
    <row r="52" spans="1:2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</row>
    <row r="53" spans="1:22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</row>
    <row r="54" spans="1:22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</row>
    <row r="55" spans="1:22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56" workbookViewId="0">
      <selection activeCell="H68" sqref="H68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0" t="s">
        <v>263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</row>
    <row r="2" spans="1:29">
      <c r="A2" s="128" t="s">
        <v>4</v>
      </c>
      <c r="B2" s="128" t="s">
        <v>117</v>
      </c>
      <c r="C2" s="128" t="s">
        <v>117</v>
      </c>
      <c r="D2" s="128" t="s">
        <v>5</v>
      </c>
      <c r="E2" s="140" t="s">
        <v>221</v>
      </c>
      <c r="F2" s="140" t="s">
        <v>222</v>
      </c>
      <c r="G2" s="140" t="s">
        <v>223</v>
      </c>
      <c r="H2" s="142" t="s">
        <v>224</v>
      </c>
      <c r="I2" s="142" t="s">
        <v>225</v>
      </c>
      <c r="J2" s="142" t="s">
        <v>226</v>
      </c>
      <c r="K2" s="140" t="s">
        <v>227</v>
      </c>
      <c r="L2" s="140" t="s">
        <v>228</v>
      </c>
      <c r="M2" s="140" t="s">
        <v>229</v>
      </c>
      <c r="N2" s="140" t="s">
        <v>230</v>
      </c>
      <c r="O2" s="140" t="s">
        <v>231</v>
      </c>
      <c r="P2" s="142" t="s">
        <v>232</v>
      </c>
      <c r="Q2" s="142" t="s">
        <v>264</v>
      </c>
      <c r="R2" s="142" t="s">
        <v>234</v>
      </c>
      <c r="S2" s="142" t="s">
        <v>235</v>
      </c>
      <c r="T2" s="82"/>
      <c r="U2" s="82"/>
      <c r="V2" s="82"/>
      <c r="W2" s="82"/>
      <c r="X2" s="82"/>
      <c r="Y2" s="82"/>
      <c r="Z2" s="82"/>
      <c r="AA2" s="82"/>
      <c r="AB2" s="82"/>
      <c r="AC2" s="82"/>
    </row>
    <row r="3" spans="1:29">
      <c r="A3" s="129"/>
      <c r="B3" s="129"/>
      <c r="C3" s="129"/>
      <c r="D3" s="129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82"/>
      <c r="U3" s="82"/>
      <c r="V3" s="82"/>
      <c r="W3" s="82"/>
      <c r="X3" s="82"/>
      <c r="Y3" s="82"/>
      <c r="Z3" s="82"/>
      <c r="AA3" s="82"/>
      <c r="AB3" s="82"/>
      <c r="AC3" s="82"/>
    </row>
    <row r="4" spans="1:29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96">
        <v>25.157546997070312</v>
      </c>
      <c r="F4" s="96">
        <v>25.547880172729492</v>
      </c>
      <c r="G4" s="102">
        <v>25.769170761108398</v>
      </c>
      <c r="H4" s="108">
        <f>(E4-$H$59)+$H$67</f>
        <v>25.136245698195239</v>
      </c>
      <c r="I4" s="108">
        <f>(F4-$H$59)+$H$67</f>
        <v>25.526578873854419</v>
      </c>
      <c r="J4" s="108">
        <f>(G4-$H$59)+$H$67</f>
        <v>25.747869462233325</v>
      </c>
      <c r="K4" s="102">
        <f>((H4-'CalibrationB. hydrogenotrophica'!$D$45)/('CalibrationB. hydrogenotrophica'!$D$44))+$B$24</f>
        <v>7.4129584094975902</v>
      </c>
      <c r="L4" s="102">
        <f>((I4-'CalibrationB. hydrogenotrophica'!$D$45)/('CalibrationB. hydrogenotrophica'!$D$44))+$B$24</f>
        <v>7.315113380129235</v>
      </c>
      <c r="M4" s="102">
        <f>((J4-'CalibrationB. hydrogenotrophica'!$D$45)/('CalibrationB. hydrogenotrophica'!$D$44))+$B$24</f>
        <v>7.2596423480236254</v>
      </c>
      <c r="N4" s="103">
        <f>AVERAGE(K4:M4)</f>
        <v>7.3292380458834829</v>
      </c>
      <c r="O4" s="103">
        <f>STDEV(K4:M4)</f>
        <v>7.7627851403179196E-2</v>
      </c>
      <c r="P4" s="104">
        <f>(AVERAGE(POWER(10,K4),POWER(10,L4),POWER(10,M4)))*Calculation!$I4/Calculation!$K3</f>
        <v>21587082.956674192</v>
      </c>
      <c r="Q4" s="104">
        <f>(STDEV(POWER(10,K4),POWER(10,L4),POWER(10,M4)))*Calculation!$I4/Calculation!$K3</f>
        <v>3931889.1314483099</v>
      </c>
      <c r="R4" s="103">
        <f>LOG(P4)</f>
        <v>7.3341939604717679</v>
      </c>
      <c r="S4" s="103">
        <f>O4*Calculation!$I4/Calculation!$K3</f>
        <v>7.7676278010417613E-2</v>
      </c>
      <c r="T4" s="82"/>
      <c r="U4" s="82"/>
      <c r="V4" s="82"/>
      <c r="W4" s="82"/>
      <c r="X4" s="82"/>
      <c r="Y4" s="82"/>
      <c r="Z4" s="82"/>
      <c r="AA4" s="82"/>
      <c r="AB4" s="82"/>
      <c r="AC4" s="82"/>
    </row>
    <row r="5" spans="1:29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96">
        <v>23.558246612548828</v>
      </c>
      <c r="F5" s="96">
        <v>24.539831161499023</v>
      </c>
      <c r="G5" s="102">
        <v>24.908348083496094</v>
      </c>
      <c r="H5" s="108">
        <f>(E5-$H$59)+$H$67</f>
        <v>23.536945313673755</v>
      </c>
      <c r="I5" s="108">
        <f>(F5-$H$59)+$H$67</f>
        <v>24.51852986262395</v>
      </c>
      <c r="J5" s="108">
        <f>(G5-$H$59)+$H$67</f>
        <v>24.88704678462102</v>
      </c>
      <c r="K5" s="102">
        <f>((H5-'CalibrationB. hydrogenotrophica'!$D$45)/('CalibrationB. hydrogenotrophica'!$D$44))+$B$24</f>
        <v>7.813855906432261</v>
      </c>
      <c r="L5" s="102">
        <f>((I5-'CalibrationB. hydrogenotrophica'!$D$45)/('CalibrationB. hydrogenotrophica'!$D$44))+$B$24</f>
        <v>7.5678015738550686</v>
      </c>
      <c r="M5" s="102">
        <f>((J5-'CalibrationB. hydrogenotrophica'!$D$45)/('CalibrationB. hydrogenotrophica'!$D$44))+$B$24</f>
        <v>7.4754252366537877</v>
      </c>
      <c r="N5" s="103">
        <f t="shared" ref="N5:N20" si="1">AVERAGE(K5:M5)</f>
        <v>7.6190275723137058</v>
      </c>
      <c r="O5" s="103">
        <f t="shared" ref="O5:O20" si="2">STDEV(K5:M5)</f>
        <v>0.17493400684326574</v>
      </c>
      <c r="P5" s="104">
        <f>(AVERAGE(POWER(10,K5),POWER(10,L5),POWER(10,M5)))*Calculation!$I5/Calculation!$K4</f>
        <v>44080736.21262157</v>
      </c>
      <c r="Q5" s="104">
        <f>(STDEV(POWER(10,K5),POWER(10,L5),POWER(10,M5)))*Calculation!$I5/Calculation!$K4</f>
        <v>18686574.674732547</v>
      </c>
      <c r="R5" s="103">
        <f t="shared" ref="R5:R19" si="3">LOG(P5)</f>
        <v>7.644248839255912</v>
      </c>
      <c r="S5" s="103">
        <f>O5*Calculation!$I5/Calculation!$K4</f>
        <v>0.17526798265475926</v>
      </c>
      <c r="T5" s="82"/>
      <c r="U5" s="82"/>
      <c r="V5" s="82"/>
      <c r="W5" s="82"/>
      <c r="X5" s="82"/>
      <c r="Y5" s="82"/>
      <c r="Z5" s="82"/>
      <c r="AA5" s="82"/>
      <c r="AB5" s="82"/>
      <c r="AC5" s="82"/>
    </row>
    <row r="6" spans="1:29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96">
        <v>22.905523300170898</v>
      </c>
      <c r="F6" s="96">
        <v>23.084491729736328</v>
      </c>
      <c r="G6" s="102">
        <v>22.902679443359375</v>
      </c>
      <c r="H6" s="108">
        <f>(E6-$H$59)+$H$67</f>
        <v>22.884222001295825</v>
      </c>
      <c r="I6" s="108">
        <f>(F6-$H$59)+$H$67</f>
        <v>23.063190430861255</v>
      </c>
      <c r="J6" s="108">
        <f>(G6-$H$59)+$H$67</f>
        <v>22.881378144484302</v>
      </c>
      <c r="K6" s="102">
        <f>((H6-'CalibrationB. hydrogenotrophica'!$D$45)/('CalibrationB. hydrogenotrophica'!$D$44))+$B$24</f>
        <v>7.9774744140345799</v>
      </c>
      <c r="L6" s="102">
        <f>((I6-'CalibrationB. hydrogenotrophica'!$D$45)/('CalibrationB. hydrogenotrophica'!$D$44))+$B$24</f>
        <v>7.93261230048949</v>
      </c>
      <c r="M6" s="102">
        <f>((J6-'CalibrationB. hydrogenotrophica'!$D$45)/('CalibrationB. hydrogenotrophica'!$D$44))+$B$24</f>
        <v>7.978187285167742</v>
      </c>
      <c r="N6" s="103">
        <f t="shared" si="1"/>
        <v>7.9627579998972706</v>
      </c>
      <c r="O6" s="103">
        <f t="shared" si="2"/>
        <v>2.610937457890029E-2</v>
      </c>
      <c r="P6" s="104">
        <f>(AVERAGE(POWER(10,K6),POWER(10,L6),POWER(10,M6)))*Calculation!$I6/Calculation!$K5</f>
        <v>92127718.086436734</v>
      </c>
      <c r="Q6" s="104">
        <f>(STDEV(POWER(10,K6),POWER(10,L6),POWER(10,M6)))*Calculation!$I6/Calculation!$K5</f>
        <v>5439400.7611717768</v>
      </c>
      <c r="R6" s="103">
        <f t="shared" si="3"/>
        <v>7.9643903142459624</v>
      </c>
      <c r="S6" s="103">
        <f>O6*Calculation!$I6/Calculation!$K5</f>
        <v>2.617651101120597E-2</v>
      </c>
      <c r="T6" s="82"/>
      <c r="U6" s="82"/>
      <c r="V6" s="82"/>
      <c r="W6" s="82"/>
      <c r="X6" s="82"/>
      <c r="Y6" s="82"/>
      <c r="Z6" s="82"/>
      <c r="AA6" s="82"/>
      <c r="AB6" s="82"/>
      <c r="AC6" s="82"/>
    </row>
    <row r="7" spans="1:29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96">
        <v>21.344894409179688</v>
      </c>
      <c r="F7" s="96">
        <v>21.391727447509766</v>
      </c>
      <c r="G7" s="102">
        <v>21.314729690551758</v>
      </c>
      <c r="H7" s="108">
        <f>(E7-$H$59)+$H$67</f>
        <v>21.323593110304614</v>
      </c>
      <c r="I7" s="108">
        <f>(F7-$H$59)+$H$67</f>
        <v>21.370426148634692</v>
      </c>
      <c r="J7" s="108">
        <f>(G7-$H$59)+$H$67</f>
        <v>21.293428391676684</v>
      </c>
      <c r="K7" s="102">
        <f>((H7-'CalibrationB. hydrogenotrophica'!$D$45)/('CalibrationB. hydrogenotrophica'!$D$44))+$B$24</f>
        <v>8.3686781066601554</v>
      </c>
      <c r="L7" s="102">
        <f>((I7-'CalibrationB. hydrogenotrophica'!$D$45)/('CalibrationB. hydrogenotrophica'!$D$44))+$B$24</f>
        <v>8.3569384434786258</v>
      </c>
      <c r="M7" s="102">
        <f>((J7-'CalibrationB. hydrogenotrophica'!$D$45)/('CalibrationB. hydrogenotrophica'!$D$44))+$B$24</f>
        <v>8.3762395130793106</v>
      </c>
      <c r="N7" s="103">
        <f t="shared" si="1"/>
        <v>8.3672853544060306</v>
      </c>
      <c r="O7" s="103">
        <f t="shared" si="2"/>
        <v>9.7256177728536567E-3</v>
      </c>
      <c r="P7" s="104">
        <f>(AVERAGE(POWER(10,K7),POWER(10,L7),POWER(10,M7)))*Calculation!$I7/Calculation!$K6</f>
        <v>233917762.71746704</v>
      </c>
      <c r="Q7" s="104">
        <f>(STDEV(POWER(10,K7),POWER(10,L7),POWER(10,M7)))*Calculation!$I7/Calculation!$K6</f>
        <v>5225687.9827434169</v>
      </c>
      <c r="R7" s="103">
        <f t="shared" si="3"/>
        <v>8.3690632015324464</v>
      </c>
      <c r="S7" s="103">
        <f>O7*Calculation!$I7/Calculation!$K6</f>
        <v>9.7638829134310424E-3</v>
      </c>
      <c r="T7" s="82"/>
      <c r="U7" s="82"/>
      <c r="V7" s="82"/>
      <c r="W7" s="82"/>
      <c r="X7" s="82"/>
      <c r="Y7" s="82"/>
      <c r="Z7" s="82"/>
      <c r="AA7" s="82"/>
      <c r="AB7" s="82"/>
      <c r="AC7" s="82"/>
    </row>
    <row r="8" spans="1:29">
      <c r="A8" s="39">
        <v>4</v>
      </c>
      <c r="B8" s="31">
        <v>80</v>
      </c>
      <c r="C8" s="31">
        <f t="shared" ref="C8:C18" si="4">C7+B8</f>
        <v>360</v>
      </c>
      <c r="D8" s="13">
        <f t="shared" si="0"/>
        <v>6</v>
      </c>
      <c r="E8" s="96">
        <v>20.77369499206543</v>
      </c>
      <c r="F8" s="96">
        <v>20.514680862426758</v>
      </c>
      <c r="G8" s="102">
        <v>21.000675201416016</v>
      </c>
      <c r="H8" s="108">
        <f>(E8-$H$59)+$H$67</f>
        <v>20.752393693190356</v>
      </c>
      <c r="I8" s="108">
        <f>(F8-$H$59)+$H$67</f>
        <v>20.493379563551684</v>
      </c>
      <c r="J8" s="108">
        <f>(G8-$H$59)+$H$67</f>
        <v>20.979373902540942</v>
      </c>
      <c r="K8" s="102">
        <f>((H8-'CalibrationB. hydrogenotrophica'!$D$45)/('CalibrationB. hydrogenotrophica'!$D$44))+$B$24</f>
        <v>8.5118609751118282</v>
      </c>
      <c r="L8" s="102">
        <f>((I8-'CalibrationB. hydrogenotrophica'!$D$45)/('CalibrationB. hydrogenotrophica'!$D$44))+$B$24</f>
        <v>8.5767881878154792</v>
      </c>
      <c r="M8" s="102">
        <f>((J8-'CalibrationB. hydrogenotrophica'!$D$45)/('CalibrationB. hydrogenotrophica'!$D$44))+$B$24</f>
        <v>8.454963722623777</v>
      </c>
      <c r="N8" s="103">
        <f t="shared" si="1"/>
        <v>8.5145376285170276</v>
      </c>
      <c r="O8" s="103">
        <f t="shared" si="2"/>
        <v>6.0956323994313687E-2</v>
      </c>
      <c r="P8" s="104">
        <f>(AVERAGE(POWER(10,K8),POWER(10,L8),POWER(10,M8)))*Calculation!$I8/Calculation!$K7</f>
        <v>331369780.52126831</v>
      </c>
      <c r="Q8" s="104">
        <f>(STDEV(POWER(10,K8),POWER(10,L8),POWER(10,M8)))*Calculation!$I8/Calculation!$K7</f>
        <v>46608118.32497029</v>
      </c>
      <c r="R8" s="103">
        <f t="shared" si="3"/>
        <v>8.5203129001265481</v>
      </c>
      <c r="S8" s="103">
        <f>O8*Calculation!$I8/Calculation!$K7</f>
        <v>6.136745259876647E-2</v>
      </c>
      <c r="T8" s="82"/>
      <c r="U8" s="82"/>
      <c r="V8" s="82"/>
      <c r="W8" s="82"/>
      <c r="X8" s="82"/>
      <c r="Y8" s="82"/>
      <c r="Z8" s="82"/>
      <c r="AA8" s="82"/>
      <c r="AB8" s="82"/>
      <c r="AC8" s="82"/>
    </row>
    <row r="9" spans="1:29">
      <c r="A9" s="39">
        <v>5</v>
      </c>
      <c r="B9" s="31">
        <v>80</v>
      </c>
      <c r="C9" s="31">
        <f t="shared" si="4"/>
        <v>440</v>
      </c>
      <c r="D9" s="13">
        <f t="shared" si="0"/>
        <v>7.333333333333333</v>
      </c>
      <c r="E9" s="96">
        <v>20.67779541015625</v>
      </c>
      <c r="F9" s="96">
        <v>20.23820686340332</v>
      </c>
      <c r="G9" s="102">
        <v>20.073772430419922</v>
      </c>
      <c r="H9" s="108">
        <f>(E9-$H$59)+$H$67</f>
        <v>20.656494111281177</v>
      </c>
      <c r="I9" s="108">
        <f>(F9-$H$59)+$H$67</f>
        <v>20.216905564528247</v>
      </c>
      <c r="J9" s="108">
        <f>(G9-$H$59)+$H$67</f>
        <v>20.052471131544849</v>
      </c>
      <c r="K9" s="102">
        <f>((H9-'CalibrationB. hydrogenotrophica'!$D$45)/('CalibrationB. hydrogenotrophica'!$D$44))+$B$24</f>
        <v>8.5359001754500294</v>
      </c>
      <c r="L9" s="102">
        <f>((I9-'CalibrationB. hydrogenotrophica'!$D$45)/('CalibrationB. hydrogenotrophica'!$D$44))+$B$24</f>
        <v>8.6460920754708166</v>
      </c>
      <c r="M9" s="102">
        <f>((J9-'CalibrationB. hydrogenotrophica'!$D$45)/('CalibrationB. hydrogenotrophica'!$D$44))+$B$24</f>
        <v>8.6873109441904912</v>
      </c>
      <c r="N9" s="103">
        <f t="shared" si="1"/>
        <v>8.6231010650371118</v>
      </c>
      <c r="O9" s="103">
        <f t="shared" si="2"/>
        <v>7.8279915324535321E-2</v>
      </c>
      <c r="P9" s="104">
        <f>(AVERAGE(POWER(10,K9),POWER(10,L9),POWER(10,M9)))*Calculation!$I9/Calculation!$K8</f>
        <v>429012601.93286759</v>
      </c>
      <c r="Q9" s="104">
        <f>(STDEV(POWER(10,K9),POWER(10,L9),POWER(10,M9)))*Calculation!$I9/Calculation!$K8</f>
        <v>74198834.605790257</v>
      </c>
      <c r="R9" s="103">
        <f t="shared" si="3"/>
        <v>8.6324700494563391</v>
      </c>
      <c r="S9" s="103">
        <f>O9*Calculation!$I9/Calculation!$K8</f>
        <v>7.9148308187682676E-2</v>
      </c>
      <c r="T9" s="82"/>
      <c r="U9" s="82"/>
      <c r="V9" s="82"/>
      <c r="W9" s="82"/>
      <c r="X9" s="82"/>
      <c r="Y9" s="82"/>
      <c r="Z9" s="82"/>
      <c r="AA9" s="82"/>
      <c r="AB9" s="82"/>
      <c r="AC9" s="82"/>
    </row>
    <row r="10" spans="1:29">
      <c r="A10" s="39">
        <v>6</v>
      </c>
      <c r="B10" s="31">
        <v>80</v>
      </c>
      <c r="C10" s="31">
        <f t="shared" si="4"/>
        <v>520</v>
      </c>
      <c r="D10" s="13">
        <f t="shared" si="0"/>
        <v>8.6666666666666661</v>
      </c>
      <c r="E10" s="96">
        <v>19.871837615966797</v>
      </c>
      <c r="F10" s="96">
        <v>18.803142547607422</v>
      </c>
      <c r="G10" s="102">
        <v>19.375593185424805</v>
      </c>
      <c r="H10" s="108">
        <f>(E10-$H$59)+$H$67</f>
        <v>19.850536317091724</v>
      </c>
      <c r="I10" s="108">
        <f>(F10-$H$59)+$H$67</f>
        <v>18.781841248732349</v>
      </c>
      <c r="J10" s="108">
        <f>(G10-$H$59)+$H$67</f>
        <v>19.354291886549731</v>
      </c>
      <c r="K10" s="102">
        <f>((H10-'CalibrationB. hydrogenotrophica'!$D$45)/('CalibrationB. hydrogenotrophica'!$D$44))+$B$24</f>
        <v>8.7379300539223053</v>
      </c>
      <c r="L10" s="102">
        <f>((I10-'CalibrationB. hydrogenotrophica'!$D$45)/('CalibrationB. hydrogenotrophica'!$D$44))+$B$24</f>
        <v>9.0058204277621705</v>
      </c>
      <c r="M10" s="102">
        <f>((J10-'CalibrationB. hydrogenotrophica'!$D$45)/('CalibrationB. hydrogenotrophica'!$D$44))+$B$24</f>
        <v>8.8623239151365514</v>
      </c>
      <c r="N10" s="103">
        <f t="shared" si="1"/>
        <v>8.8686914656070091</v>
      </c>
      <c r="O10" s="103">
        <f t="shared" si="2"/>
        <v>0.13405865273551371</v>
      </c>
      <c r="P10" s="104">
        <f>(AVERAGE(POWER(10,K10),POWER(10,L10),POWER(10,M10)))*Calculation!$I10/Calculation!$K9</f>
        <v>777649008.83934331</v>
      </c>
      <c r="Q10" s="104">
        <f>(STDEV(POWER(10,K10),POWER(10,L10),POWER(10,M10)))*Calculation!$I10/Calculation!$K9</f>
        <v>239740343.44933465</v>
      </c>
      <c r="R10" s="103">
        <f t="shared" si="3"/>
        <v>8.89078362280015</v>
      </c>
      <c r="S10" s="103">
        <f>O10*Calculation!$I10/Calculation!$K9</f>
        <v>0.13664782175288517</v>
      </c>
      <c r="T10" s="82"/>
      <c r="U10" s="82"/>
      <c r="V10" s="82"/>
      <c r="W10" s="82"/>
      <c r="X10" s="82"/>
      <c r="Y10" s="82"/>
      <c r="Z10" s="82"/>
      <c r="AA10" s="82"/>
      <c r="AB10" s="82"/>
      <c r="AC10" s="82"/>
    </row>
    <row r="11" spans="1:29">
      <c r="A11" s="39">
        <v>7</v>
      </c>
      <c r="B11" s="31">
        <v>80</v>
      </c>
      <c r="C11" s="31">
        <f t="shared" si="4"/>
        <v>600</v>
      </c>
      <c r="D11" s="13">
        <f t="shared" si="0"/>
        <v>10</v>
      </c>
      <c r="E11" s="96">
        <v>18.539047241210938</v>
      </c>
      <c r="F11" s="96">
        <v>17.687572479248047</v>
      </c>
      <c r="G11" s="102">
        <v>18.264495849609375</v>
      </c>
      <c r="H11" s="108">
        <f>(E11-$H$59)+$H$67</f>
        <v>18.517745942335864</v>
      </c>
      <c r="I11" s="108">
        <f>(F11-$H$59)+$H$67</f>
        <v>17.666271180372974</v>
      </c>
      <c r="J11" s="108">
        <f>(G11-$H$59)+$H$67</f>
        <v>18.243194550734302</v>
      </c>
      <c r="K11" s="102">
        <f>((H11-'CalibrationB. hydrogenotrophica'!$D$45)/('CalibrationB. hydrogenotrophica'!$D$44))+$B$24</f>
        <v>9.0720213418063604</v>
      </c>
      <c r="L11" s="102">
        <f>((I11-'CalibrationB. hydrogenotrophica'!$D$45)/('CalibrationB. hydrogenotrophica'!$D$44))+$B$24</f>
        <v>9.2854609833381794</v>
      </c>
      <c r="M11" s="102">
        <f>((J11-'CalibrationB. hydrogenotrophica'!$D$45)/('CalibrationB. hydrogenotrophica'!$D$44))+$B$24</f>
        <v>9.1408432884139259</v>
      </c>
      <c r="N11" s="103">
        <f t="shared" si="1"/>
        <v>9.1661085378528213</v>
      </c>
      <c r="O11" s="103">
        <f t="shared" si="2"/>
        <v>0.10893975291974491</v>
      </c>
      <c r="P11" s="104">
        <f>(AVERAGE(POWER(10,K11),POWER(10,L11),POWER(10,M11)))*Calculation!$I11/Calculation!$K10</f>
        <v>1545074443.1523776</v>
      </c>
      <c r="Q11" s="104">
        <f>(STDEV(POWER(10,K11),POWER(10,L11),POWER(10,M11)))*Calculation!$I11/Calculation!$K10</f>
        <v>399787412.64684689</v>
      </c>
      <c r="R11" s="103">
        <f t="shared" si="3"/>
        <v>9.1889494089850796</v>
      </c>
      <c r="S11" s="103">
        <f>O11*Calculation!$I11/Calculation!$K10</f>
        <v>0.11238773192553164</v>
      </c>
      <c r="T11" s="82"/>
      <c r="U11" s="82"/>
      <c r="V11" s="82"/>
      <c r="W11" s="82"/>
      <c r="X11" s="82"/>
      <c r="Y11" s="82"/>
      <c r="Z11" s="82"/>
      <c r="AA11" s="82"/>
      <c r="AB11" s="82"/>
      <c r="AC11" s="82"/>
    </row>
    <row r="12" spans="1:29">
      <c r="A12" s="39">
        <v>8</v>
      </c>
      <c r="B12" s="31">
        <v>80</v>
      </c>
      <c r="C12" s="31">
        <f t="shared" si="4"/>
        <v>680</v>
      </c>
      <c r="D12" s="13">
        <f t="shared" si="0"/>
        <v>11.333333333333334</v>
      </c>
      <c r="E12" s="96">
        <v>17.549554824829102</v>
      </c>
      <c r="F12" s="96">
        <v>17.04045295715332</v>
      </c>
      <c r="G12" s="102">
        <v>17.418001174926758</v>
      </c>
      <c r="H12" s="108">
        <f>(E12-$H$59)+$H$67</f>
        <v>17.528253525954028</v>
      </c>
      <c r="I12" s="108">
        <f>(F12-$H$59)+$H$67</f>
        <v>17.019151658278247</v>
      </c>
      <c r="J12" s="108">
        <f>(G12-$H$59)+$H$67</f>
        <v>17.396699876051684</v>
      </c>
      <c r="K12" s="102">
        <f>((H12-'CalibrationB. hydrogenotrophica'!$D$45)/('CalibrationB. hydrogenotrophica'!$D$44))+$B$24</f>
        <v>9.3200579438121842</v>
      </c>
      <c r="L12" s="102">
        <f>((I12-'CalibrationB. hydrogenotrophica'!$D$45)/('CalibrationB. hydrogenotrophica'!$D$44))+$B$24</f>
        <v>9.447674785783402</v>
      </c>
      <c r="M12" s="102">
        <f>((J12-'CalibrationB. hydrogenotrophica'!$D$45)/('CalibrationB. hydrogenotrophica'!$D$44))+$B$24</f>
        <v>9.3530345687595045</v>
      </c>
      <c r="N12" s="103">
        <f>AVERAGE(K12:M12)</f>
        <v>9.3735890994516975</v>
      </c>
      <c r="O12" s="103">
        <f>STDEV(K12:M12)</f>
        <v>6.6244857443117089E-2</v>
      </c>
      <c r="P12" s="104">
        <f>(AVERAGE(POWER(10,K12),POWER(10,L12),POWER(10,M12)))*Calculation!$I12/Calculation!$K11</f>
        <v>2501567889.1587291</v>
      </c>
      <c r="Q12" s="104">
        <f>(STDEV(POWER(10,K12),POWER(10,L12),POWER(10,M12)))*Calculation!$I12/Calculation!$K11</f>
        <v>392390791.52533782</v>
      </c>
      <c r="R12" s="103">
        <f>LOG(P12)</f>
        <v>9.3982122935424091</v>
      </c>
      <c r="S12" s="103">
        <f>O12*Calculation!$I12/Calculation!$K11</f>
        <v>6.9557194214881324E-2</v>
      </c>
      <c r="T12" s="82"/>
      <c r="U12" s="82"/>
      <c r="V12" s="82"/>
      <c r="W12" s="82"/>
      <c r="X12" s="82"/>
      <c r="Y12" s="82"/>
      <c r="Z12" s="82"/>
      <c r="AA12" s="82"/>
      <c r="AB12" s="82"/>
      <c r="AC12" s="82"/>
    </row>
    <row r="13" spans="1:29">
      <c r="A13" s="39">
        <v>9</v>
      </c>
      <c r="B13" s="31">
        <v>80</v>
      </c>
      <c r="C13" s="31">
        <f t="shared" si="4"/>
        <v>760</v>
      </c>
      <c r="D13" s="13">
        <f t="shared" si="0"/>
        <v>12.666666666666666</v>
      </c>
      <c r="E13" s="96">
        <v>15.691075325012207</v>
      </c>
      <c r="F13" s="96">
        <v>15.503924369812012</v>
      </c>
      <c r="G13" s="102">
        <v>15.778366088867188</v>
      </c>
      <c r="H13" s="108">
        <f>(E13-$H$59)+$H$67</f>
        <v>15.669774026137132</v>
      </c>
      <c r="I13" s="108">
        <f>(F13-$H$59)+$H$67</f>
        <v>15.482623070936937</v>
      </c>
      <c r="J13" s="108">
        <f>(G13-$H$59)+$H$67</f>
        <v>15.757064789992112</v>
      </c>
      <c r="K13" s="102">
        <f>((H13-'CalibrationB. hydrogenotrophica'!$D$45)/('CalibrationB. hydrogenotrophica'!$D$44))+$B$24</f>
        <v>9.7859240104947833</v>
      </c>
      <c r="L13" s="102">
        <f>((I13-'CalibrationB. hydrogenotrophica'!$D$45)/('CalibrationB. hydrogenotrophica'!$D$44))+$B$24</f>
        <v>9.8328372421896173</v>
      </c>
      <c r="M13" s="102">
        <f>((J13-'CalibrationB. hydrogenotrophica'!$D$45)/('CalibrationB. hydrogenotrophica'!$D$44))+$B$24</f>
        <v>9.764042787258882</v>
      </c>
      <c r="N13" s="103">
        <f t="shared" si="1"/>
        <v>9.7942680133144275</v>
      </c>
      <c r="O13" s="103">
        <f t="shared" si="2"/>
        <v>3.5148058902234082E-2</v>
      </c>
      <c r="P13" s="104">
        <f>(AVERAGE(POWER(10,K13),POWER(10,L13),POWER(10,M13)))*Calculation!$I13/Calculation!$K12</f>
        <v>6588554438.4194117</v>
      </c>
      <c r="Q13" s="104">
        <f>(STDEV(POWER(10,K13),POWER(10,L13),POWER(10,M13)))*Calculation!$I13/Calculation!$K12</f>
        <v>539964967.48727214</v>
      </c>
      <c r="R13" s="103">
        <f t="shared" si="3"/>
        <v>9.8187901386784073</v>
      </c>
      <c r="S13" s="103">
        <f>O13*Calculation!$I13/Calculation!$K12</f>
        <v>3.7107971371915079E-2</v>
      </c>
      <c r="T13" s="82"/>
      <c r="U13" s="82"/>
      <c r="V13" s="82"/>
      <c r="W13" s="82"/>
      <c r="X13" s="82"/>
      <c r="Y13" s="82"/>
      <c r="Z13" s="82"/>
      <c r="AA13" s="82"/>
      <c r="AB13" s="82"/>
      <c r="AC13" s="82"/>
    </row>
    <row r="14" spans="1:29">
      <c r="A14" s="39">
        <v>10</v>
      </c>
      <c r="B14" s="31">
        <v>80</v>
      </c>
      <c r="C14" s="31">
        <f t="shared" si="4"/>
        <v>840</v>
      </c>
      <c r="D14" s="13">
        <f t="shared" si="0"/>
        <v>14</v>
      </c>
      <c r="E14" s="96">
        <v>16.236181259155273</v>
      </c>
      <c r="F14" s="96">
        <v>16.059169769287109</v>
      </c>
      <c r="G14" s="102">
        <v>16.179655075073242</v>
      </c>
      <c r="H14" s="108">
        <f>(E14-$H$59)+$H$67</f>
        <v>16.2148799602802</v>
      </c>
      <c r="I14" s="108">
        <f>(F14-$H$59)+$H$67</f>
        <v>16.037868470412036</v>
      </c>
      <c r="J14" s="108">
        <f>(G14-$H$59)+$H$67</f>
        <v>16.158353776198169</v>
      </c>
      <c r="K14" s="102">
        <f>((H14-'CalibrationB. hydrogenotrophica'!$D$45)/('CalibrationB. hydrogenotrophica'!$D$44))+$B$24</f>
        <v>9.6492820096066421</v>
      </c>
      <c r="L14" s="102">
        <f>((I14-'CalibrationB. hydrogenotrophica'!$D$45)/('CalibrationB. hydrogenotrophica'!$D$44))+$B$24</f>
        <v>9.6936535760138227</v>
      </c>
      <c r="M14" s="102">
        <f>((J14-'CalibrationB. hydrogenotrophica'!$D$45)/('CalibrationB. hydrogenotrophica'!$D$44))+$B$24</f>
        <v>9.6634514589040208</v>
      </c>
      <c r="N14" s="103">
        <f t="shared" si="1"/>
        <v>9.668795681508163</v>
      </c>
      <c r="O14" s="103">
        <f t="shared" si="2"/>
        <v>2.2663395879449967E-2</v>
      </c>
      <c r="P14" s="104">
        <f>(AVERAGE(POWER(10,K14),POWER(10,L14),POWER(10,M14)))*Calculation!$I14/Calculation!$K13</f>
        <v>4932968617.2831821</v>
      </c>
      <c r="Q14" s="104">
        <f>(STDEV(POWER(10,K14),POWER(10,L14),POWER(10,M14)))*Calculation!$I14/Calculation!$K13</f>
        <v>259567613.62033546</v>
      </c>
      <c r="R14" s="103">
        <f t="shared" si="3"/>
        <v>9.6931083525624668</v>
      </c>
      <c r="S14" s="103">
        <f>O14*Calculation!$I14/Calculation!$K13</f>
        <v>2.3946455054445655E-2</v>
      </c>
      <c r="T14" s="82"/>
      <c r="U14" s="82"/>
      <c r="V14" s="82"/>
      <c r="W14" s="82"/>
      <c r="X14" s="82"/>
      <c r="Y14" s="82"/>
      <c r="Z14" s="82"/>
      <c r="AA14" s="82"/>
      <c r="AB14" s="82"/>
      <c r="AC14" s="82"/>
    </row>
    <row r="15" spans="1:29">
      <c r="A15" s="39">
        <v>11</v>
      </c>
      <c r="B15" s="31">
        <v>80</v>
      </c>
      <c r="C15" s="31">
        <f t="shared" si="4"/>
        <v>920</v>
      </c>
      <c r="D15" s="13">
        <f t="shared" si="0"/>
        <v>15.333333333333334</v>
      </c>
      <c r="E15" s="96">
        <v>16.008750915527344</v>
      </c>
      <c r="F15" s="96">
        <v>15.73411750793457</v>
      </c>
      <c r="G15" s="102">
        <v>16.062715530395508</v>
      </c>
      <c r="H15" s="108">
        <f>(E15-$H$59)+$H$67</f>
        <v>15.987449616652269</v>
      </c>
      <c r="I15" s="108">
        <f>(F15-$H$59)+$H$67</f>
        <v>15.712816209059495</v>
      </c>
      <c r="J15" s="108">
        <f>(G15-$H$59)+$H$67</f>
        <v>16.041414231520434</v>
      </c>
      <c r="K15" s="102">
        <f>((H15-'CalibrationB. hydrogenotrophica'!$D$45)/('CalibrationB. hydrogenotrophica'!$D$44))+$B$24</f>
        <v>9.7062920974987357</v>
      </c>
      <c r="L15" s="102">
        <f>((I15-'CalibrationB. hydrogenotrophica'!$D$45)/('CalibrationB. hydrogenotrophica'!$D$44))+$B$24</f>
        <v>9.77513460309941</v>
      </c>
      <c r="M15" s="102">
        <f>((J15-'CalibrationB. hydrogenotrophica'!$D$45)/('CalibrationB. hydrogenotrophica'!$D$44))+$B$24</f>
        <v>9.6927647581489342</v>
      </c>
      <c r="N15" s="103">
        <f t="shared" si="1"/>
        <v>9.7247304862490278</v>
      </c>
      <c r="O15" s="103">
        <f t="shared" si="2"/>
        <v>4.4172145907477645E-2</v>
      </c>
      <c r="P15" s="104">
        <f>(AVERAGE(POWER(10,K15),POWER(10,L15),POWER(10,M15)))*Calculation!$I15/Calculation!$K14</f>
        <v>5635067439.6887312</v>
      </c>
      <c r="Q15" s="104">
        <f>(STDEV(POWER(10,K15),POWER(10,L15),POWER(10,M15)))*Calculation!$I15/Calculation!$K14</f>
        <v>587209503.7836045</v>
      </c>
      <c r="R15" s="103">
        <f t="shared" si="3"/>
        <v>9.7508991179880553</v>
      </c>
      <c r="S15" s="103">
        <f>O15*Calculation!$I15/Calculation!$K14</f>
        <v>4.6751403273251911E-2</v>
      </c>
      <c r="T15" s="82"/>
      <c r="U15" s="82"/>
      <c r="V15" s="82"/>
      <c r="W15" s="82"/>
      <c r="X15" s="82"/>
      <c r="Y15" s="82"/>
      <c r="Z15" s="82"/>
      <c r="AA15" s="82"/>
      <c r="AB15" s="82"/>
      <c r="AC15" s="82"/>
    </row>
    <row r="16" spans="1:29">
      <c r="A16" s="39">
        <v>12</v>
      </c>
      <c r="B16" s="31">
        <v>80</v>
      </c>
      <c r="C16" s="31">
        <f t="shared" si="4"/>
        <v>1000</v>
      </c>
      <c r="D16" s="13">
        <f t="shared" si="0"/>
        <v>16.666666666666668</v>
      </c>
      <c r="E16" s="96">
        <v>15.964634895324707</v>
      </c>
      <c r="F16" s="96">
        <v>15.790670394897461</v>
      </c>
      <c r="G16" s="102">
        <v>15.560566902160645</v>
      </c>
      <c r="H16" s="108">
        <f>(E16-$H$59)+$H$67</f>
        <v>15.943333596449632</v>
      </c>
      <c r="I16" s="108">
        <f>(F16-$H$59)+$H$67</f>
        <v>15.769369096022386</v>
      </c>
      <c r="J16" s="108">
        <f>(G16-$H$59)+$H$67</f>
        <v>15.539265603285569</v>
      </c>
      <c r="K16" s="102">
        <f>((H16-'CalibrationB. hydrogenotrophica'!$D$45)/('CalibrationB. hydrogenotrophica'!$D$44))+$B$24</f>
        <v>9.7173506842690056</v>
      </c>
      <c r="L16" s="102">
        <f>((I16-'CalibrationB. hydrogenotrophica'!$D$45)/('CalibrationB. hydrogenotrophica'!$D$44))+$B$24</f>
        <v>9.7609584601763686</v>
      </c>
      <c r="M16" s="102">
        <f>((J16-'CalibrationB. hydrogenotrophica'!$D$45)/('CalibrationB. hydrogenotrophica'!$D$44))+$B$24</f>
        <v>9.8186386278089905</v>
      </c>
      <c r="N16" s="103">
        <f t="shared" si="1"/>
        <v>9.7656492574181222</v>
      </c>
      <c r="O16" s="103">
        <f t="shared" si="2"/>
        <v>5.0806638943274154E-2</v>
      </c>
      <c r="P16" s="104">
        <f>(AVERAGE(POWER(10,K16),POWER(10,L16),POWER(10,M16)))*Calculation!$I16/Calculation!$K15</f>
        <v>6203885300.1214781</v>
      </c>
      <c r="Q16" s="104">
        <f>(STDEV(POWER(10,K16),POWER(10,L16),POWER(10,M16)))*Calculation!$I16/Calculation!$K15</f>
        <v>730302346.54288208</v>
      </c>
      <c r="R16" s="103">
        <f t="shared" si="3"/>
        <v>9.7926637598081054</v>
      </c>
      <c r="S16" s="103">
        <f>O16*Calculation!$I16/Calculation!$K15</f>
        <v>5.3820213824025638E-2</v>
      </c>
      <c r="T16" s="82"/>
      <c r="U16" s="82"/>
      <c r="V16" s="82"/>
      <c r="W16" s="82"/>
      <c r="X16" s="82"/>
      <c r="Y16" s="82"/>
      <c r="Z16" s="82"/>
      <c r="AA16" s="82"/>
      <c r="AB16" s="82"/>
      <c r="AC16" s="82"/>
    </row>
    <row r="17" spans="1:29">
      <c r="A17" s="39">
        <v>13</v>
      </c>
      <c r="B17" s="31">
        <v>80</v>
      </c>
      <c r="C17" s="31">
        <f t="shared" si="4"/>
        <v>1080</v>
      </c>
      <c r="D17" s="13">
        <f t="shared" si="0"/>
        <v>18</v>
      </c>
      <c r="E17" s="96">
        <v>15.824589729309082</v>
      </c>
      <c r="F17" s="96">
        <v>15.528957366943359</v>
      </c>
      <c r="G17" s="102">
        <v>15.756662368774414</v>
      </c>
      <c r="H17" s="108">
        <f>(E17-$H$59)+$H$67</f>
        <v>15.803288430434007</v>
      </c>
      <c r="I17" s="108">
        <f>(F17-$H$59)+$H$67</f>
        <v>15.507656068068284</v>
      </c>
      <c r="J17" s="108">
        <f>(G17-$H$59)+$H$67</f>
        <v>15.735361069899339</v>
      </c>
      <c r="K17" s="102">
        <f>((H17-'CalibrationB. hydrogenotrophica'!$D$45)/('CalibrationB. hydrogenotrophica'!$D$44))+$B$24</f>
        <v>9.7524558821773155</v>
      </c>
      <c r="L17" s="102">
        <f>((I17-'CalibrationB. hydrogenotrophica'!$D$45)/('CalibrationB. hydrogenotrophica'!$D$44))+$B$24</f>
        <v>9.8265622071881502</v>
      </c>
      <c r="M17" s="102">
        <f>((J17-'CalibrationB. hydrogenotrophica'!$D$45)/('CalibrationB. hydrogenotrophica'!$D$44))+$B$24</f>
        <v>9.7694832705749466</v>
      </c>
      <c r="N17" s="103">
        <f t="shared" si="1"/>
        <v>9.7828337866468047</v>
      </c>
      <c r="O17" s="103">
        <f t="shared" si="2"/>
        <v>3.8815126705854776E-2</v>
      </c>
      <c r="P17" s="104">
        <f>(AVERAGE(POWER(10,K17),POWER(10,L17),POWER(10,M17)))*Calculation!$I17/Calculation!$K16</f>
        <v>6442137345.6777582</v>
      </c>
      <c r="Q17" s="104">
        <f>(STDEV(POWER(10,K17),POWER(10,L17),POWER(10,M17)))*Calculation!$I17/Calculation!$K16</f>
        <v>586737655.14264762</v>
      </c>
      <c r="R17" s="103">
        <f t="shared" si="3"/>
        <v>9.8090299796941824</v>
      </c>
      <c r="S17" s="103">
        <f>O17*Calculation!$I17/Calculation!$K16</f>
        <v>4.1117429973042963E-2</v>
      </c>
      <c r="T17" s="82"/>
      <c r="U17" s="82"/>
      <c r="V17" s="82"/>
      <c r="W17" s="82"/>
      <c r="X17" s="82"/>
      <c r="Y17" s="82"/>
      <c r="Z17" s="82"/>
      <c r="AA17" s="82"/>
      <c r="AB17" s="82"/>
      <c r="AC17" s="82"/>
    </row>
    <row r="18" spans="1:29">
      <c r="A18" s="39">
        <v>14</v>
      </c>
      <c r="B18" s="31">
        <v>360</v>
      </c>
      <c r="C18" s="31">
        <f t="shared" si="4"/>
        <v>1440</v>
      </c>
      <c r="D18" s="13">
        <f t="shared" si="0"/>
        <v>24</v>
      </c>
      <c r="E18" s="96">
        <v>14.699878692626953</v>
      </c>
      <c r="F18" s="96">
        <v>14.494550704956055</v>
      </c>
      <c r="G18" s="102">
        <v>14.883625984191895</v>
      </c>
      <c r="H18" s="108">
        <f>(E18-$H$59)+$H$67</f>
        <v>14.678577393751878</v>
      </c>
      <c r="I18" s="108">
        <f>(F18-$H$59)+$H$67</f>
        <v>14.47324940608098</v>
      </c>
      <c r="J18" s="108">
        <f>(G18-$H$59)+$H$67</f>
        <v>14.862324685316819</v>
      </c>
      <c r="K18" s="102">
        <f>((H18-'CalibrationB. hydrogenotrophica'!$D$45)/('CalibrationB. hydrogenotrophica'!$D$44))+$B$24</f>
        <v>10.034387809252776</v>
      </c>
      <c r="L18" s="102">
        <f>((I18-'CalibrationB. hydrogenotrophica'!$D$45)/('CalibrationB. hydrogenotrophica'!$D$44))+$B$24</f>
        <v>10.085857487559972</v>
      </c>
      <c r="M18" s="102">
        <f>((J18-'CalibrationB. hydrogenotrophica'!$D$45)/('CalibrationB. hydrogenotrophica'!$D$44))+$B$24</f>
        <v>9.9883277757719782</v>
      </c>
      <c r="N18" s="103">
        <f t="shared" si="1"/>
        <v>10.036191024194908</v>
      </c>
      <c r="O18" s="103">
        <f t="shared" si="2"/>
        <v>4.8789854052435175E-2</v>
      </c>
      <c r="P18" s="104">
        <f>(AVERAGE(POWER(10,K18),POWER(10,L18),POWER(10,M18)))*Calculation!$I18/Calculation!$K17</f>
        <v>11573235838.123135</v>
      </c>
      <c r="Q18" s="104">
        <f>(STDEV(POWER(10,K18),POWER(10,L18),POWER(10,M18)))*Calculation!$I18/Calculation!$K17</f>
        <v>1302136553.3026886</v>
      </c>
      <c r="R18" s="103">
        <f t="shared" si="3"/>
        <v>10.063454803218248</v>
      </c>
      <c r="S18" s="103">
        <f>O18*Calculation!$I18/Calculation!$K17</f>
        <v>5.1732608514998293E-2</v>
      </c>
      <c r="T18" s="82"/>
      <c r="U18" s="82"/>
      <c r="V18" s="82"/>
      <c r="W18" s="82"/>
      <c r="X18" s="82"/>
      <c r="Y18" s="82"/>
      <c r="Z18" s="82"/>
      <c r="AA18" s="82"/>
      <c r="AB18" s="82"/>
      <c r="AC18" s="82"/>
    </row>
    <row r="19" spans="1:29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E19" s="96">
        <v>15.02776050567627</v>
      </c>
      <c r="F19" s="96">
        <v>14.951029777526855</v>
      </c>
      <c r="G19" s="102">
        <v>15.058159828186035</v>
      </c>
      <c r="H19" s="108">
        <f>(E19-$H$59)+$H$67</f>
        <v>15.006459206801194</v>
      </c>
      <c r="I19" s="108">
        <f>(F19-$H$59)+$H$67</f>
        <v>14.92972847865178</v>
      </c>
      <c r="J19" s="108">
        <f>(G19-$H$59)+$H$67</f>
        <v>15.03685852931096</v>
      </c>
      <c r="K19" s="102">
        <f>((H19-'CalibrationB. hydrogenotrophica'!$D$45)/('CalibrationB. hydrogenotrophica'!$D$44))+$B$24</f>
        <v>9.9521974969049154</v>
      </c>
      <c r="L19" s="102">
        <f>((I19-'CalibrationB. hydrogenotrophica'!$D$45)/('CalibrationB. hydrogenotrophica'!$D$44))+$B$24</f>
        <v>9.971431630248965</v>
      </c>
      <c r="M19" s="102">
        <f>((J19-'CalibrationB. hydrogenotrophica'!$D$45)/('CalibrationB. hydrogenotrophica'!$D$44))+$B$24</f>
        <v>9.9445772822031469</v>
      </c>
      <c r="N19" s="103">
        <f t="shared" si="1"/>
        <v>9.9560688031190097</v>
      </c>
      <c r="O19" s="103">
        <f t="shared" si="2"/>
        <v>1.3839409709013741E-2</v>
      </c>
      <c r="P19" s="104">
        <f>(AVERAGE(POWER(10,K19),POWER(10,L19),POWER(10,M19)))*Calculation!$I19/Calculation!$K18</f>
        <v>9586305320.7555084</v>
      </c>
      <c r="Q19" s="104">
        <f>(STDEV(POWER(10,K19),POWER(10,L19),POWER(10,M19)))*Calculation!$I19/Calculation!$K18</f>
        <v>307318296.9516477</v>
      </c>
      <c r="R19" s="103">
        <f t="shared" si="3"/>
        <v>9.9816512570162619</v>
      </c>
      <c r="S19" s="103">
        <f>O19*Calculation!$I19/Calculation!$K18</f>
        <v>1.4674132121519233E-2</v>
      </c>
      <c r="T19" s="82"/>
      <c r="U19" s="82"/>
      <c r="V19" s="82"/>
      <c r="W19" s="82"/>
      <c r="X19" s="82"/>
      <c r="Y19" s="82"/>
      <c r="Z19" s="82"/>
      <c r="AA19" s="82"/>
      <c r="AB19" s="82"/>
      <c r="AC19" s="82"/>
    </row>
    <row r="20" spans="1:29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96">
        <v>16.461223602294922</v>
      </c>
      <c r="F20" s="96">
        <v>16.661108016967773</v>
      </c>
      <c r="G20" s="102">
        <v>16.692548751831055</v>
      </c>
      <c r="H20" s="108">
        <f>(E20-$H$59)+$H$67</f>
        <v>16.439922303419849</v>
      </c>
      <c r="I20" s="108">
        <f>(F20-$H$59)+$H$67</f>
        <v>16.6398067180927</v>
      </c>
      <c r="J20" s="108">
        <f>(G20-$H$59)+$H$67</f>
        <v>16.671247452955981</v>
      </c>
      <c r="K20" s="102">
        <f>((H20-'CalibrationB. hydrogenotrophica'!$D$45)/('CalibrationB. hydrogenotrophica'!$D$44))+$B$24</f>
        <v>9.5928705230953124</v>
      </c>
      <c r="L20" s="102">
        <f>((I20-'CalibrationB. hydrogenotrophica'!$D$45)/('CalibrationB. hydrogenotrophica'!$D$44))+$B$24</f>
        <v>9.5427653881912295</v>
      </c>
      <c r="M20" s="102">
        <f>((J20-'CalibrationB. hydrogenotrophica'!$D$45)/('CalibrationB. hydrogenotrophica'!$D$44))+$B$24</f>
        <v>9.5348841220885863</v>
      </c>
      <c r="N20" s="103">
        <f t="shared" si="1"/>
        <v>9.5568400111250416</v>
      </c>
      <c r="O20" s="103">
        <f t="shared" si="2"/>
        <v>3.145118333982011E-2</v>
      </c>
      <c r="P20" s="104">
        <f>(AVERAGE(POWER(10,K20),POWER(10,L20),POWER(10,M20)))*Calculation!$I20/Calculation!$K19</f>
        <v>3828631648.9484267</v>
      </c>
      <c r="Q20" s="104">
        <f>(STDEV(POWER(10,K20),POWER(10,L20),POWER(10,M20)))*Calculation!$I20/Calculation!$K19</f>
        <v>282409475.29346281</v>
      </c>
      <c r="R20" s="103">
        <f>LOG(P20)</f>
        <v>9.5830435850668536</v>
      </c>
      <c r="S20" s="103">
        <f>O20*Calculation!$I20/Calculation!$K19</f>
        <v>3.3348157862979746E-2</v>
      </c>
      <c r="T20" s="82"/>
      <c r="U20" s="82"/>
      <c r="V20" s="82"/>
      <c r="W20" s="82"/>
      <c r="X20" s="82"/>
      <c r="Y20" s="82"/>
      <c r="Z20" s="82"/>
      <c r="AA20" s="82"/>
      <c r="AB20" s="82"/>
      <c r="AC20" s="82"/>
    </row>
    <row r="21" spans="1:29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</row>
    <row r="22" spans="1:29">
      <c r="A22" s="114"/>
      <c r="B22" s="115"/>
      <c r="C22" s="114"/>
      <c r="D22" s="115"/>
      <c r="E22" s="116"/>
      <c r="F22" s="116"/>
      <c r="G22" s="117"/>
      <c r="H22" s="110"/>
      <c r="I22" s="110"/>
      <c r="J22" s="110"/>
      <c r="K22" s="117"/>
      <c r="L22" s="117"/>
      <c r="M22" s="117"/>
      <c r="N22" s="118"/>
      <c r="O22" s="118"/>
      <c r="P22" s="119"/>
      <c r="Q22" s="119"/>
      <c r="R22" s="118"/>
      <c r="S22" s="118"/>
    </row>
    <row r="23" spans="1:29">
      <c r="A23" s="114"/>
      <c r="B23" s="115"/>
      <c r="C23" s="114"/>
      <c r="D23" s="115"/>
      <c r="E23" s="116"/>
      <c r="F23" s="116"/>
      <c r="G23" s="117"/>
      <c r="H23" s="110"/>
      <c r="I23" s="110"/>
      <c r="J23" s="110"/>
      <c r="K23" s="117"/>
      <c r="L23" s="117"/>
      <c r="M23" s="117"/>
      <c r="N23" s="118"/>
      <c r="O23" s="118"/>
      <c r="P23" s="119"/>
      <c r="Q23" s="119"/>
      <c r="R23" s="118"/>
      <c r="S23" s="118"/>
    </row>
    <row r="24" spans="1:29">
      <c r="A24" s="99" t="s">
        <v>236</v>
      </c>
      <c r="B24" s="107">
        <f>LOG(B25)</f>
        <v>3.6532125137753435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1:29">
      <c r="A25" s="95" t="s">
        <v>265</v>
      </c>
      <c r="B25" s="82">
        <f>20*1800/4/2</f>
        <v>4500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1:29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1:29">
      <c r="A27" s="60" t="s">
        <v>266</v>
      </c>
      <c r="B27" s="60"/>
      <c r="C27" s="60"/>
      <c r="D27" s="60"/>
      <c r="E27" s="109">
        <v>11.1</v>
      </c>
      <c r="F27" s="108">
        <v>11.4</v>
      </c>
      <c r="G27" s="108"/>
      <c r="H27" s="108">
        <f>AVERAGE(E27:G27)</f>
        <v>11.25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1:29">
      <c r="A28" s="60" t="s">
        <v>267</v>
      </c>
      <c r="B28" s="60"/>
      <c r="C28" s="60"/>
      <c r="D28" s="60"/>
      <c r="E28" s="122">
        <v>10.7</v>
      </c>
      <c r="F28" s="123">
        <v>10.8</v>
      </c>
      <c r="G28" s="123">
        <v>10.7</v>
      </c>
      <c r="H28" s="108">
        <f t="shared" ref="H28:H59" si="5">AVERAGE(E28:G28)</f>
        <v>10.733333333333334</v>
      </c>
    </row>
    <row r="29" spans="1:29">
      <c r="A29" s="60" t="s">
        <v>268</v>
      </c>
      <c r="B29" s="60"/>
      <c r="C29" s="60"/>
      <c r="D29" s="60"/>
      <c r="E29" s="122">
        <v>11.5</v>
      </c>
      <c r="F29" s="123">
        <v>11.5</v>
      </c>
      <c r="G29" s="123">
        <v>11.5</v>
      </c>
      <c r="H29" s="108">
        <f t="shared" si="5"/>
        <v>11.5</v>
      </c>
    </row>
    <row r="30" spans="1:29">
      <c r="A30" s="60" t="s">
        <v>269</v>
      </c>
      <c r="B30" s="60"/>
      <c r="C30" s="60"/>
      <c r="D30" s="60"/>
      <c r="E30" s="122">
        <v>11.3</v>
      </c>
      <c r="F30" s="123">
        <v>11.6</v>
      </c>
      <c r="G30" s="123">
        <v>11.7</v>
      </c>
      <c r="H30" s="108">
        <f t="shared" si="5"/>
        <v>11.533333333333331</v>
      </c>
    </row>
    <row r="31" spans="1:29">
      <c r="A31" s="60" t="s">
        <v>270</v>
      </c>
      <c r="B31" s="60"/>
      <c r="C31" s="60"/>
      <c r="D31" s="60"/>
      <c r="E31" s="122">
        <v>11.5</v>
      </c>
      <c r="F31" s="123">
        <v>11.5</v>
      </c>
      <c r="G31" s="123">
        <v>11.5</v>
      </c>
      <c r="H31" s="108">
        <f t="shared" si="5"/>
        <v>11.5</v>
      </c>
    </row>
    <row r="32" spans="1:29">
      <c r="A32" s="60" t="s">
        <v>274</v>
      </c>
      <c r="B32" s="60"/>
      <c r="C32" s="60"/>
      <c r="D32" s="60"/>
      <c r="E32" s="122">
        <v>11.5</v>
      </c>
      <c r="F32" s="123">
        <v>11.5</v>
      </c>
      <c r="G32" s="123">
        <v>11.5</v>
      </c>
      <c r="H32" s="108">
        <f t="shared" si="5"/>
        <v>11.5</v>
      </c>
    </row>
    <row r="33" spans="1:8">
      <c r="A33" s="60" t="s">
        <v>292</v>
      </c>
      <c r="B33" s="60"/>
      <c r="C33" s="60"/>
      <c r="D33" s="60"/>
      <c r="E33" s="122">
        <v>11.6</v>
      </c>
      <c r="F33" s="123">
        <v>11.6</v>
      </c>
      <c r="G33" s="123">
        <v>11.6</v>
      </c>
      <c r="H33" s="108">
        <f t="shared" si="5"/>
        <v>11.6</v>
      </c>
    </row>
    <row r="34" spans="1:8">
      <c r="A34" s="60" t="s">
        <v>293</v>
      </c>
      <c r="B34" s="60"/>
      <c r="C34" s="60"/>
      <c r="D34" s="60"/>
      <c r="E34" s="122">
        <v>11.2</v>
      </c>
      <c r="F34" s="123">
        <v>11.2</v>
      </c>
      <c r="G34" s="123">
        <v>11.2</v>
      </c>
      <c r="H34" s="108">
        <f t="shared" si="5"/>
        <v>11.199999999999998</v>
      </c>
    </row>
    <row r="35" spans="1:8">
      <c r="A35" s="60" t="s">
        <v>294</v>
      </c>
      <c r="B35" s="60"/>
      <c r="C35" s="60"/>
      <c r="D35" s="60"/>
      <c r="E35" s="122">
        <v>10.4</v>
      </c>
      <c r="F35" s="123">
        <v>11.2</v>
      </c>
      <c r="G35" s="123">
        <v>11.4</v>
      </c>
      <c r="H35" s="108">
        <f t="shared" si="5"/>
        <v>11</v>
      </c>
    </row>
    <row r="36" spans="1:8">
      <c r="A36" s="60" t="s">
        <v>294</v>
      </c>
      <c r="B36" s="60"/>
      <c r="C36" s="60"/>
      <c r="D36" s="60"/>
      <c r="E36" s="122">
        <v>11.3</v>
      </c>
      <c r="F36" s="123">
        <v>11.5</v>
      </c>
      <c r="G36" s="123">
        <v>11.6</v>
      </c>
      <c r="H36" s="108">
        <f t="shared" si="5"/>
        <v>11.466666666666667</v>
      </c>
    </row>
    <row r="37" spans="1:8">
      <c r="A37" s="60" t="s">
        <v>295</v>
      </c>
      <c r="B37" s="60"/>
      <c r="C37" s="60"/>
      <c r="D37" s="60"/>
      <c r="E37" s="122">
        <v>11.7</v>
      </c>
      <c r="F37" s="123">
        <v>11.7</v>
      </c>
      <c r="G37" s="123">
        <v>11.7</v>
      </c>
      <c r="H37" s="108">
        <f t="shared" si="5"/>
        <v>11.699999999999998</v>
      </c>
    </row>
    <row r="38" spans="1:8">
      <c r="A38" s="60" t="s">
        <v>295</v>
      </c>
      <c r="B38" s="60"/>
      <c r="C38" s="60"/>
      <c r="D38" s="60"/>
      <c r="E38" s="122">
        <v>11.3</v>
      </c>
      <c r="F38" s="123">
        <v>11.5</v>
      </c>
      <c r="G38" s="123">
        <v>11</v>
      </c>
      <c r="H38" s="108">
        <f t="shared" si="5"/>
        <v>11.266666666666666</v>
      </c>
    </row>
    <row r="39" spans="1:8">
      <c r="A39" s="60" t="s">
        <v>296</v>
      </c>
      <c r="B39" s="60"/>
      <c r="C39" s="60"/>
      <c r="D39" s="60"/>
      <c r="E39" s="122">
        <v>11.2</v>
      </c>
      <c r="F39" s="123">
        <v>11.3</v>
      </c>
      <c r="G39" s="123">
        <v>11.4</v>
      </c>
      <c r="H39" s="108">
        <f t="shared" si="5"/>
        <v>11.299999999999999</v>
      </c>
    </row>
    <row r="40" spans="1:8">
      <c r="A40" s="60" t="s">
        <v>297</v>
      </c>
      <c r="B40" s="60"/>
      <c r="C40" s="60"/>
      <c r="D40" s="60"/>
      <c r="E40" s="122">
        <v>11.5</v>
      </c>
      <c r="F40" s="123">
        <v>11.5</v>
      </c>
      <c r="G40" s="123">
        <v>11.5</v>
      </c>
      <c r="H40" s="108">
        <f t="shared" si="5"/>
        <v>11.5</v>
      </c>
    </row>
    <row r="41" spans="1:8">
      <c r="A41" s="60" t="s">
        <v>298</v>
      </c>
      <c r="B41" s="60"/>
      <c r="C41" s="60"/>
      <c r="D41" s="60"/>
      <c r="E41" s="122">
        <v>11.3</v>
      </c>
      <c r="F41" s="123">
        <v>11.3</v>
      </c>
      <c r="G41" s="123">
        <v>11.3</v>
      </c>
      <c r="H41" s="108">
        <f t="shared" si="5"/>
        <v>11.300000000000002</v>
      </c>
    </row>
    <row r="42" spans="1:8">
      <c r="A42" s="60" t="s">
        <v>299</v>
      </c>
      <c r="B42" s="60"/>
      <c r="C42" s="60"/>
      <c r="D42" s="60"/>
      <c r="E42" s="122">
        <v>11.3</v>
      </c>
      <c r="F42" s="123">
        <v>11.3</v>
      </c>
      <c r="G42" s="123">
        <v>11.4</v>
      </c>
      <c r="H42" s="108">
        <f t="shared" si="5"/>
        <v>11.333333333333334</v>
      </c>
    </row>
    <row r="43" spans="1:8">
      <c r="A43" s="60" t="s">
        <v>300</v>
      </c>
      <c r="B43" s="60"/>
      <c r="C43" s="60"/>
      <c r="D43" s="60"/>
      <c r="E43" s="122">
        <v>11.1</v>
      </c>
      <c r="F43" s="123">
        <v>11.2</v>
      </c>
      <c r="G43" s="123">
        <v>11.2</v>
      </c>
      <c r="H43" s="108">
        <f t="shared" si="5"/>
        <v>11.166666666666666</v>
      </c>
    </row>
    <row r="44" spans="1:8">
      <c r="A44" s="60" t="s">
        <v>300</v>
      </c>
      <c r="B44" s="60"/>
      <c r="C44" s="60"/>
      <c r="D44" s="60"/>
      <c r="E44" s="122">
        <v>11.3</v>
      </c>
      <c r="F44" s="123">
        <v>11.3</v>
      </c>
      <c r="G44" s="123">
        <v>11.4</v>
      </c>
      <c r="H44" s="108">
        <f t="shared" si="5"/>
        <v>11.333333333333334</v>
      </c>
    </row>
    <row r="45" spans="1:8">
      <c r="A45" s="60" t="s">
        <v>301</v>
      </c>
      <c r="B45" s="60"/>
      <c r="C45" s="60"/>
      <c r="D45" s="60"/>
      <c r="E45" s="122">
        <v>11.3</v>
      </c>
      <c r="F45" s="123">
        <v>11.4</v>
      </c>
      <c r="G45" s="123">
        <v>11.3</v>
      </c>
      <c r="H45" s="108">
        <f t="shared" si="5"/>
        <v>11.333333333333334</v>
      </c>
    </row>
    <row r="46" spans="1:8">
      <c r="A46" s="60" t="s">
        <v>302</v>
      </c>
      <c r="B46" s="60"/>
      <c r="C46" s="60"/>
      <c r="D46" s="60"/>
      <c r="E46" s="122">
        <v>11.1</v>
      </c>
      <c r="F46" s="123">
        <v>11.4</v>
      </c>
      <c r="G46" s="123">
        <v>11.2</v>
      </c>
      <c r="H46" s="108">
        <f t="shared" si="5"/>
        <v>11.233333333333334</v>
      </c>
    </row>
    <row r="47" spans="1:8">
      <c r="A47" s="60" t="s">
        <v>302</v>
      </c>
      <c r="B47" s="60"/>
      <c r="C47" s="60"/>
      <c r="D47" s="60"/>
      <c r="E47" s="122">
        <v>11.4</v>
      </c>
      <c r="F47" s="123">
        <v>11.4</v>
      </c>
      <c r="G47" s="123">
        <v>11.4</v>
      </c>
      <c r="H47" s="108">
        <f t="shared" si="5"/>
        <v>11.4</v>
      </c>
    </row>
    <row r="48" spans="1:8">
      <c r="A48" s="60" t="s">
        <v>303</v>
      </c>
      <c r="B48" s="60"/>
      <c r="C48" s="60"/>
      <c r="D48" s="60"/>
      <c r="E48" s="122">
        <v>11.4</v>
      </c>
      <c r="F48" s="123">
        <v>11.4</v>
      </c>
      <c r="G48" s="123">
        <v>11.3</v>
      </c>
      <c r="H48" s="108">
        <f t="shared" si="5"/>
        <v>11.366666666666667</v>
      </c>
    </row>
    <row r="49" spans="1:8">
      <c r="A49" s="60" t="s">
        <v>304</v>
      </c>
      <c r="B49" s="60"/>
      <c r="C49" s="60"/>
      <c r="D49" s="60"/>
      <c r="E49" s="122">
        <v>11.4</v>
      </c>
      <c r="F49" s="123">
        <v>11.3</v>
      </c>
      <c r="G49" s="123">
        <v>11.3</v>
      </c>
      <c r="H49" s="108">
        <f t="shared" si="5"/>
        <v>11.333333333333334</v>
      </c>
    </row>
    <row r="50" spans="1:8">
      <c r="A50" s="60" t="s">
        <v>305</v>
      </c>
      <c r="B50" s="60"/>
      <c r="C50" s="60"/>
      <c r="D50" s="60"/>
      <c r="E50" s="122">
        <v>11.4</v>
      </c>
      <c r="F50" s="123">
        <v>11.4</v>
      </c>
      <c r="G50" s="123">
        <v>11.3</v>
      </c>
      <c r="H50" s="108">
        <f t="shared" si="5"/>
        <v>11.366666666666667</v>
      </c>
    </row>
    <row r="51" spans="1:8">
      <c r="A51" s="60" t="s">
        <v>315</v>
      </c>
      <c r="E51" s="109">
        <v>10.961522102355957</v>
      </c>
      <c r="F51" s="108">
        <v>10.991280555725098</v>
      </c>
      <c r="G51" s="108">
        <v>10.988773345947266</v>
      </c>
      <c r="H51" s="108">
        <f t="shared" si="5"/>
        <v>10.980525334676107</v>
      </c>
    </row>
    <row r="52" spans="1:8">
      <c r="A52" s="60" t="s">
        <v>316</v>
      </c>
      <c r="E52" s="109">
        <v>11.455920219421387</v>
      </c>
      <c r="F52" s="108">
        <v>11.47702693939209</v>
      </c>
      <c r="G52" s="108">
        <v>11.41429615020752</v>
      </c>
      <c r="H52" s="108">
        <f t="shared" si="5"/>
        <v>11.449081103006998</v>
      </c>
    </row>
    <row r="53" spans="1:8">
      <c r="A53" s="60" t="s">
        <v>317</v>
      </c>
      <c r="E53" s="109">
        <v>11.481462478637695</v>
      </c>
      <c r="F53" s="108">
        <v>11.294193267822266</v>
      </c>
      <c r="G53" s="108">
        <v>11.30172061920166</v>
      </c>
      <c r="H53" s="108">
        <f t="shared" si="5"/>
        <v>11.359125455220541</v>
      </c>
    </row>
    <row r="54" spans="1:8">
      <c r="A54" s="60" t="s">
        <v>317</v>
      </c>
      <c r="E54" s="109">
        <v>11.333268165588301</v>
      </c>
      <c r="F54" s="108">
        <v>11.3499765396118</v>
      </c>
      <c r="G54" s="108">
        <v>11.688117980956999</v>
      </c>
      <c r="H54" s="108">
        <f t="shared" si="5"/>
        <v>11.4571208953857</v>
      </c>
    </row>
    <row r="55" spans="1:8">
      <c r="A55" s="60" t="s">
        <v>318</v>
      </c>
      <c r="E55" s="109">
        <v>11.225685119628906</v>
      </c>
      <c r="F55" s="108">
        <v>11.295048713684082</v>
      </c>
      <c r="G55" s="108">
        <v>11.326059341430664</v>
      </c>
      <c r="H55" s="108">
        <f t="shared" si="5"/>
        <v>11.282264391581217</v>
      </c>
    </row>
    <row r="56" spans="1:8">
      <c r="A56" s="60" t="s">
        <v>319</v>
      </c>
      <c r="E56" s="109">
        <v>11.361672401428223</v>
      </c>
      <c r="F56" s="108">
        <v>11.304685592651367</v>
      </c>
      <c r="G56" s="108">
        <v>11.405701637268066</v>
      </c>
      <c r="H56" s="108">
        <f t="shared" si="5"/>
        <v>11.357353210449219</v>
      </c>
    </row>
    <row r="57" spans="1:8">
      <c r="A57" s="60" t="s">
        <v>319</v>
      </c>
      <c r="E57" s="109">
        <v>10.911848068237305</v>
      </c>
      <c r="F57" s="108">
        <v>10.950149536132812</v>
      </c>
      <c r="G57" s="108">
        <v>10.982019424438477</v>
      </c>
      <c r="H57" s="108">
        <f t="shared" si="5"/>
        <v>10.948005676269531</v>
      </c>
    </row>
    <row r="58" spans="1:8">
      <c r="A58" s="60" t="s">
        <v>324</v>
      </c>
      <c r="B58" s="60"/>
      <c r="C58" s="60"/>
      <c r="D58" s="82"/>
      <c r="E58" s="109">
        <v>11.097690582275391</v>
      </c>
      <c r="F58" s="108">
        <v>11.199633598327637</v>
      </c>
      <c r="G58" s="108">
        <v>11.211821556091309</v>
      </c>
      <c r="H58" s="108">
        <f t="shared" si="5"/>
        <v>11.169715245564779</v>
      </c>
    </row>
    <row r="59" spans="1:8">
      <c r="A59" s="60" t="s">
        <v>325</v>
      </c>
      <c r="B59" s="60"/>
      <c r="C59" s="60"/>
      <c r="D59" s="82"/>
      <c r="E59" s="109">
        <v>11.383224487304688</v>
      </c>
      <c r="F59" s="108">
        <v>11.329494476318359</v>
      </c>
      <c r="G59" s="108">
        <v>11.243021011352539</v>
      </c>
      <c r="H59" s="108">
        <f t="shared" si="5"/>
        <v>11.318579991658529</v>
      </c>
    </row>
    <row r="60" spans="1:8">
      <c r="A60" s="60" t="s">
        <v>325</v>
      </c>
      <c r="B60" s="60"/>
      <c r="C60" s="60"/>
      <c r="D60" s="82"/>
      <c r="E60" s="109">
        <v>11.171065330505371</v>
      </c>
      <c r="F60" s="108">
        <v>11.234642028808594</v>
      </c>
      <c r="G60" s="108">
        <v>11.325413703918457</v>
      </c>
      <c r="H60" s="108">
        <f>AVERAGE(E60:G60)</f>
        <v>11.243707021077475</v>
      </c>
    </row>
    <row r="61" spans="1:8">
      <c r="A61" s="60" t="s">
        <v>321</v>
      </c>
      <c r="B61" s="164"/>
      <c r="C61" s="82"/>
      <c r="D61" s="82"/>
      <c r="E61" s="109">
        <v>11.431556701660156</v>
      </c>
      <c r="F61" s="108">
        <v>11.393752098083496</v>
      </c>
      <c r="G61" s="108">
        <v>11.470895767211914</v>
      </c>
      <c r="H61" s="108">
        <f t="shared" ref="H61:H63" si="6">AVERAGE(E61:G61)</f>
        <v>11.432068188985189</v>
      </c>
    </row>
    <row r="62" spans="1:8">
      <c r="A62" s="60" t="s">
        <v>321</v>
      </c>
      <c r="B62" s="164"/>
      <c r="C62" s="82"/>
      <c r="D62" s="82"/>
      <c r="E62" s="109">
        <v>11.38902759552002</v>
      </c>
      <c r="F62" s="108">
        <v>11.318164825439453</v>
      </c>
      <c r="G62" s="108">
        <v>11.357851982116699</v>
      </c>
      <c r="H62" s="108">
        <f t="shared" si="6"/>
        <v>11.355014801025391</v>
      </c>
    </row>
    <row r="63" spans="1:8">
      <c r="A63" s="60" t="s">
        <v>322</v>
      </c>
      <c r="B63" s="164"/>
      <c r="C63" s="82"/>
      <c r="D63" s="82"/>
      <c r="E63" s="109">
        <v>10.827228546142578</v>
      </c>
      <c r="F63" s="108">
        <v>10.980537414550781</v>
      </c>
      <c r="G63" s="108">
        <v>10.733705520629883</v>
      </c>
      <c r="H63" s="108">
        <f t="shared" si="6"/>
        <v>10.84715716044108</v>
      </c>
    </row>
    <row r="64" spans="1:8">
      <c r="A64" s="60" t="s">
        <v>323</v>
      </c>
      <c r="B64" s="164"/>
      <c r="C64" s="82"/>
      <c r="D64" s="82"/>
      <c r="E64" s="109">
        <v>11.185029029846191</v>
      </c>
      <c r="F64" s="108">
        <v>11.096076965332031</v>
      </c>
      <c r="G64" s="108">
        <v>11.32984447479248</v>
      </c>
      <c r="H64" s="108">
        <f>AVERAGE(E64:G64)</f>
        <v>11.2036501566569</v>
      </c>
    </row>
    <row r="65" spans="1:8">
      <c r="A65" s="60" t="s">
        <v>323</v>
      </c>
      <c r="B65" s="164"/>
      <c r="C65" s="82"/>
      <c r="D65" s="82"/>
      <c r="E65" s="109">
        <v>11.051477432250977</v>
      </c>
      <c r="F65" s="108">
        <v>10.973122596740723</v>
      </c>
      <c r="G65" s="108">
        <v>10.89690113067627</v>
      </c>
      <c r="H65" s="108">
        <f>AVERAGE(E65:G65)</f>
        <v>10.973833719889322</v>
      </c>
    </row>
    <row r="66" spans="1:8">
      <c r="A66" s="60"/>
      <c r="B66" s="60"/>
      <c r="C66" s="60"/>
      <c r="D66" s="60"/>
      <c r="E66" s="60"/>
      <c r="F66" s="60"/>
      <c r="G66" s="60"/>
      <c r="H66" s="60"/>
    </row>
    <row r="67" spans="1:8">
      <c r="A67" s="60"/>
      <c r="B67" s="60"/>
      <c r="C67" s="60"/>
      <c r="D67" s="60"/>
      <c r="E67" s="60"/>
      <c r="F67" s="60"/>
      <c r="G67" s="60" t="s">
        <v>306</v>
      </c>
      <c r="H67" s="76">
        <f>AVERAGE(H27:H65)</f>
        <v>11.297278692783454</v>
      </c>
    </row>
  </sheetData>
  <mergeCells count="19"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opLeftCell="B1" workbookViewId="0">
      <selection activeCell="M5" sqref="M5:M21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  <col min="15" max="15" width="13.6640625" customWidth="1"/>
  </cols>
  <sheetData>
    <row r="2" spans="1:17">
      <c r="A2" s="100" t="s">
        <v>220</v>
      </c>
      <c r="B2" s="82"/>
      <c r="C2" s="82"/>
      <c r="D2" s="82"/>
      <c r="H2" s="100" t="s">
        <v>263</v>
      </c>
      <c r="I2" s="82"/>
      <c r="J2" s="82"/>
      <c r="K2" s="82"/>
      <c r="O2" s="100" t="s">
        <v>271</v>
      </c>
    </row>
    <row r="3" spans="1:17">
      <c r="A3" s="128" t="s">
        <v>4</v>
      </c>
      <c r="B3" s="128" t="s">
        <v>117</v>
      </c>
      <c r="C3" s="128" t="s">
        <v>117</v>
      </c>
      <c r="D3" s="128" t="s">
        <v>5</v>
      </c>
      <c r="E3" s="145" t="s">
        <v>234</v>
      </c>
      <c r="F3" s="142" t="s">
        <v>235</v>
      </c>
      <c r="H3" s="128" t="s">
        <v>4</v>
      </c>
      <c r="I3" s="128" t="s">
        <v>117</v>
      </c>
      <c r="J3" s="128" t="s">
        <v>117</v>
      </c>
      <c r="K3" s="128" t="s">
        <v>5</v>
      </c>
      <c r="L3" s="145" t="s">
        <v>234</v>
      </c>
      <c r="M3" s="142" t="s">
        <v>235</v>
      </c>
      <c r="O3" s="145" t="s">
        <v>234</v>
      </c>
      <c r="P3" s="145" t="s">
        <v>234</v>
      </c>
      <c r="Q3" s="142" t="s">
        <v>235</v>
      </c>
    </row>
    <row r="4" spans="1:17">
      <c r="A4" s="129"/>
      <c r="B4" s="129"/>
      <c r="C4" s="129"/>
      <c r="D4" s="129"/>
      <c r="E4" s="150"/>
      <c r="F4" s="149"/>
      <c r="H4" s="129"/>
      <c r="I4" s="129"/>
      <c r="J4" s="129"/>
      <c r="K4" s="129"/>
      <c r="L4" s="150"/>
      <c r="M4" s="149"/>
      <c r="O4" s="150"/>
      <c r="P4" s="150"/>
      <c r="Q4" s="149"/>
    </row>
    <row r="5" spans="1:17">
      <c r="A5" s="31">
        <v>0</v>
      </c>
      <c r="B5" s="31">
        <v>10</v>
      </c>
      <c r="C5" s="31">
        <f>B5</f>
        <v>10</v>
      </c>
      <c r="D5" s="101">
        <f t="shared" ref="D5:D21" si="0">C5/60</f>
        <v>0.16666666666666666</v>
      </c>
      <c r="E5" s="103">
        <f>'Determination cell counts RI'!R4</f>
        <v>8.1564383776817149</v>
      </c>
      <c r="F5" s="103">
        <f>'Determination cell counts RI'!S4</f>
        <v>0.28767364228981512</v>
      </c>
      <c r="H5" s="31">
        <v>0</v>
      </c>
      <c r="I5" s="31">
        <v>10</v>
      </c>
      <c r="J5" s="31">
        <f>I5</f>
        <v>10</v>
      </c>
      <c r="K5" s="101">
        <f>J5/60</f>
        <v>0.16666666666666666</v>
      </c>
      <c r="L5" s="103">
        <f>'Determination cell counts BH'!R4</f>
        <v>7.3341939604717679</v>
      </c>
      <c r="M5" s="103">
        <f>'Determination cell counts BH'!S4</f>
        <v>7.7676278010417613E-2</v>
      </c>
      <c r="O5" s="120">
        <f>POWER(10,E5)+POWER(10,L5)</f>
        <v>164950511.19165972</v>
      </c>
      <c r="P5" s="121">
        <f>LOG(O5)</f>
        <v>8.2173536657884441</v>
      </c>
      <c r="Q5" s="121">
        <f>F5+M5</f>
        <v>0.36534992030023272</v>
      </c>
    </row>
    <row r="6" spans="1:17">
      <c r="A6" s="31">
        <v>1</v>
      </c>
      <c r="B6" s="31">
        <v>110</v>
      </c>
      <c r="C6" s="31">
        <f>C5+B6</f>
        <v>120</v>
      </c>
      <c r="D6" s="101">
        <f t="shared" si="0"/>
        <v>2</v>
      </c>
      <c r="E6" s="103">
        <f>'Determination cell counts RI'!R5</f>
        <v>8.266602274407818</v>
      </c>
      <c r="F6" s="103">
        <f>'Determination cell counts RI'!S5</f>
        <v>0.19511826978983723</v>
      </c>
      <c r="H6" s="31">
        <v>1</v>
      </c>
      <c r="I6" s="31">
        <v>110</v>
      </c>
      <c r="J6" s="31">
        <f>J5+I6</f>
        <v>120</v>
      </c>
      <c r="K6" s="101">
        <f t="shared" ref="K6:K21" si="1">J6/60</f>
        <v>2</v>
      </c>
      <c r="L6" s="103">
        <f>'Determination cell counts BH'!R5</f>
        <v>7.644248839255912</v>
      </c>
      <c r="M6" s="103">
        <f>'Determination cell counts BH'!S5</f>
        <v>0.17526798265475926</v>
      </c>
      <c r="O6" s="120">
        <f t="shared" ref="O6:O21" si="2">POWER(10,E6)+POWER(10,L6)</f>
        <v>228838320.16539848</v>
      </c>
      <c r="P6" s="121">
        <f t="shared" ref="P6:P21" si="3">LOG(O6)</f>
        <v>8.3595287510776561</v>
      </c>
      <c r="Q6" s="121">
        <f t="shared" ref="Q6:Q21" si="4">F6+M6</f>
        <v>0.3703862524445965</v>
      </c>
    </row>
    <row r="7" spans="1:17">
      <c r="A7" s="31">
        <v>2</v>
      </c>
      <c r="B7" s="31">
        <v>80</v>
      </c>
      <c r="C7" s="31">
        <f>C6+B7</f>
        <v>200</v>
      </c>
      <c r="D7" s="101">
        <f t="shared" si="0"/>
        <v>3.3333333333333335</v>
      </c>
      <c r="E7" s="103">
        <f>'Determination cell counts RI'!R6</f>
        <v>8.5345552884792077</v>
      </c>
      <c r="F7" s="103">
        <f>'Determination cell counts RI'!S6</f>
        <v>5.5945039759769624E-2</v>
      </c>
      <c r="H7" s="31">
        <v>2</v>
      </c>
      <c r="I7" s="31">
        <v>80</v>
      </c>
      <c r="J7" s="31">
        <f>J6+I7</f>
        <v>200</v>
      </c>
      <c r="K7" s="101">
        <f t="shared" si="1"/>
        <v>3.3333333333333335</v>
      </c>
      <c r="L7" s="103">
        <f>'Determination cell counts BH'!R6</f>
        <v>7.9643903142459624</v>
      </c>
      <c r="M7" s="103">
        <f>'Determination cell counts BH'!S6</f>
        <v>2.617651101120597E-2</v>
      </c>
      <c r="O7" s="120">
        <f t="shared" si="2"/>
        <v>434544694.82045174</v>
      </c>
      <c r="P7" s="121">
        <f t="shared" si="3"/>
        <v>8.6380344521670089</v>
      </c>
      <c r="Q7" s="121">
        <f t="shared" si="4"/>
        <v>8.212155077097559E-2</v>
      </c>
    </row>
    <row r="8" spans="1:17">
      <c r="A8" s="31">
        <v>3</v>
      </c>
      <c r="B8" s="31">
        <v>80</v>
      </c>
      <c r="C8" s="31">
        <f>C7+B8</f>
        <v>280</v>
      </c>
      <c r="D8" s="101">
        <f t="shared" si="0"/>
        <v>4.666666666666667</v>
      </c>
      <c r="E8" s="103">
        <f>'Determination cell counts RI'!R7</f>
        <v>8.7763590092226593</v>
      </c>
      <c r="F8" s="103">
        <f>'Determination cell counts RI'!S7</f>
        <v>7.4769975138352845E-2</v>
      </c>
      <c r="H8" s="31">
        <v>3</v>
      </c>
      <c r="I8" s="31">
        <v>80</v>
      </c>
      <c r="J8" s="31">
        <f>J7+I8</f>
        <v>280</v>
      </c>
      <c r="K8" s="101">
        <f t="shared" si="1"/>
        <v>4.666666666666667</v>
      </c>
      <c r="L8" s="103">
        <f>'Determination cell counts BH'!R7</f>
        <v>8.3690632015324464</v>
      </c>
      <c r="M8" s="103">
        <f>'Determination cell counts BH'!S7</f>
        <v>9.7638829134310424E-3</v>
      </c>
      <c r="O8" s="120">
        <f t="shared" si="2"/>
        <v>831446792.14165246</v>
      </c>
      <c r="P8" s="121">
        <f t="shared" si="3"/>
        <v>8.9198344620719006</v>
      </c>
      <c r="Q8" s="121">
        <f t="shared" si="4"/>
        <v>8.4533858051783886E-2</v>
      </c>
    </row>
    <row r="9" spans="1:17">
      <c r="A9" s="31">
        <v>4</v>
      </c>
      <c r="B9" s="31">
        <v>80</v>
      </c>
      <c r="C9" s="31">
        <f t="shared" ref="C9:C19" si="5">C8+B9</f>
        <v>360</v>
      </c>
      <c r="D9" s="101">
        <f t="shared" si="0"/>
        <v>6</v>
      </c>
      <c r="E9" s="103">
        <f>'Determination cell counts RI'!R8</f>
        <v>9.1030953217001223</v>
      </c>
      <c r="F9" s="103">
        <f>'Determination cell counts RI'!S8</f>
        <v>4.1415383026022476E-2</v>
      </c>
      <c r="H9" s="31">
        <v>4</v>
      </c>
      <c r="I9" s="31">
        <v>80</v>
      </c>
      <c r="J9" s="31">
        <f t="shared" ref="J9:J19" si="6">J8+I9</f>
        <v>360</v>
      </c>
      <c r="K9" s="101">
        <f t="shared" si="1"/>
        <v>6</v>
      </c>
      <c r="L9" s="103">
        <f>'Determination cell counts BH'!R8</f>
        <v>8.5203129001265481</v>
      </c>
      <c r="M9" s="103">
        <f>'Determination cell counts BH'!S8</f>
        <v>6.136745259876647E-2</v>
      </c>
      <c r="O9" s="120">
        <f t="shared" si="2"/>
        <v>1599299909.1657956</v>
      </c>
      <c r="P9" s="121">
        <f t="shared" si="3"/>
        <v>9.2039299125783387</v>
      </c>
      <c r="Q9" s="121">
        <f t="shared" si="4"/>
        <v>0.10278283562478895</v>
      </c>
    </row>
    <row r="10" spans="1:17">
      <c r="A10" s="31">
        <v>5</v>
      </c>
      <c r="B10" s="31">
        <v>80</v>
      </c>
      <c r="C10" s="31">
        <f t="shared" si="5"/>
        <v>440</v>
      </c>
      <c r="D10" s="101">
        <f t="shared" si="0"/>
        <v>7.333333333333333</v>
      </c>
      <c r="E10" s="103">
        <f>'Determination cell counts RI'!R9</f>
        <v>9.2083399801261656</v>
      </c>
      <c r="F10" s="103">
        <f>'Determination cell counts RI'!S9</f>
        <v>5.5796413069193376E-2</v>
      </c>
      <c r="H10" s="31">
        <v>5</v>
      </c>
      <c r="I10" s="31">
        <v>80</v>
      </c>
      <c r="J10" s="31">
        <f t="shared" si="6"/>
        <v>440</v>
      </c>
      <c r="K10" s="101">
        <f t="shared" si="1"/>
        <v>7.333333333333333</v>
      </c>
      <c r="L10" s="103">
        <f>'Determination cell counts BH'!R9</f>
        <v>8.6324700494563391</v>
      </c>
      <c r="M10" s="103">
        <f>'Determination cell counts BH'!S9</f>
        <v>7.9148308187682676E-2</v>
      </c>
      <c r="O10" s="120">
        <f t="shared" si="2"/>
        <v>2044635426.9775825</v>
      </c>
      <c r="P10" s="121">
        <f t="shared" si="3"/>
        <v>9.3106158814548952</v>
      </c>
      <c r="Q10" s="121">
        <f t="shared" si="4"/>
        <v>0.13494472125687607</v>
      </c>
    </row>
    <row r="11" spans="1:17">
      <c r="A11" s="31">
        <v>6</v>
      </c>
      <c r="B11" s="31">
        <v>80</v>
      </c>
      <c r="C11" s="31">
        <f t="shared" si="5"/>
        <v>520</v>
      </c>
      <c r="D11" s="101">
        <f t="shared" si="0"/>
        <v>8.6666666666666661</v>
      </c>
      <c r="E11" s="103">
        <f>'Determination cell counts RI'!R10</f>
        <v>9.5624950499461292</v>
      </c>
      <c r="F11" s="103">
        <f>'Determination cell counts RI'!S10</f>
        <v>1.1109552980794461E-2</v>
      </c>
      <c r="H11" s="31">
        <v>6</v>
      </c>
      <c r="I11" s="31">
        <v>80</v>
      </c>
      <c r="J11" s="31">
        <f t="shared" si="6"/>
        <v>520</v>
      </c>
      <c r="K11" s="101">
        <f t="shared" si="1"/>
        <v>8.6666666666666661</v>
      </c>
      <c r="L11" s="103">
        <f>'Determination cell counts BH'!R10</f>
        <v>8.89078362280015</v>
      </c>
      <c r="M11" s="103">
        <f>'Determination cell counts BH'!S10</f>
        <v>0.13664782175288517</v>
      </c>
      <c r="O11" s="120">
        <f t="shared" si="2"/>
        <v>4429348659.3691263</v>
      </c>
      <c r="P11" s="121">
        <f t="shared" si="3"/>
        <v>9.6463398674331717</v>
      </c>
      <c r="Q11" s="121">
        <f t="shared" si="4"/>
        <v>0.14775737473367964</v>
      </c>
    </row>
    <row r="12" spans="1:17">
      <c r="A12" s="31">
        <v>7</v>
      </c>
      <c r="B12" s="31">
        <v>80</v>
      </c>
      <c r="C12" s="31">
        <f t="shared" si="5"/>
        <v>600</v>
      </c>
      <c r="D12" s="101">
        <f t="shared" si="0"/>
        <v>10</v>
      </c>
      <c r="E12" s="103">
        <f>'Determination cell counts RI'!R11</f>
        <v>9.6381664799841307</v>
      </c>
      <c r="F12" s="103">
        <f>'Determination cell counts RI'!S11</f>
        <v>4.4155071599892681E-2</v>
      </c>
      <c r="H12" s="31">
        <v>7</v>
      </c>
      <c r="I12" s="31">
        <v>80</v>
      </c>
      <c r="J12" s="31">
        <f t="shared" si="6"/>
        <v>600</v>
      </c>
      <c r="K12" s="101">
        <f t="shared" si="1"/>
        <v>10</v>
      </c>
      <c r="L12" s="103">
        <f>'Determination cell counts BH'!R11</f>
        <v>9.1889494089850796</v>
      </c>
      <c r="M12" s="103">
        <f>'Determination cell counts BH'!S11</f>
        <v>0.11238773192553164</v>
      </c>
      <c r="O12" s="120">
        <f t="shared" si="2"/>
        <v>5891842631.0103626</v>
      </c>
      <c r="P12" s="121">
        <f t="shared" si="3"/>
        <v>9.770251138476679</v>
      </c>
      <c r="Q12" s="121">
        <f t="shared" si="4"/>
        <v>0.15654280352542432</v>
      </c>
    </row>
    <row r="13" spans="1:17">
      <c r="A13" s="31">
        <v>8</v>
      </c>
      <c r="B13" s="31">
        <v>80</v>
      </c>
      <c r="C13" s="31">
        <f t="shared" si="5"/>
        <v>680</v>
      </c>
      <c r="D13" s="101">
        <f t="shared" si="0"/>
        <v>11.333333333333334</v>
      </c>
      <c r="E13" s="103">
        <f>'Determination cell counts RI'!R12</f>
        <v>9.7183236268059172</v>
      </c>
      <c r="F13" s="103">
        <f>'Determination cell counts RI'!S12</f>
        <v>5.1568082319398564E-2</v>
      </c>
      <c r="H13" s="31">
        <v>8</v>
      </c>
      <c r="I13" s="31">
        <v>80</v>
      </c>
      <c r="J13" s="31">
        <f t="shared" si="6"/>
        <v>680</v>
      </c>
      <c r="K13" s="101">
        <f t="shared" si="1"/>
        <v>11.333333333333334</v>
      </c>
      <c r="L13" s="103">
        <f>'Determination cell counts BH'!R12</f>
        <v>9.3982122935424091</v>
      </c>
      <c r="M13" s="103">
        <f>'Determination cell counts BH'!S12</f>
        <v>6.9557194214881324E-2</v>
      </c>
      <c r="O13" s="120">
        <f t="shared" si="2"/>
        <v>7729424012.7451077</v>
      </c>
      <c r="P13" s="121">
        <f t="shared" si="3"/>
        <v>9.8881471320287293</v>
      </c>
      <c r="Q13" s="121">
        <f t="shared" si="4"/>
        <v>0.12112527653427989</v>
      </c>
    </row>
    <row r="14" spans="1:17">
      <c r="A14" s="31">
        <v>9</v>
      </c>
      <c r="B14" s="31">
        <v>80</v>
      </c>
      <c r="C14" s="31">
        <f t="shared" si="5"/>
        <v>760</v>
      </c>
      <c r="D14" s="101">
        <f t="shared" si="0"/>
        <v>12.666666666666666</v>
      </c>
      <c r="E14" s="103">
        <f>'Determination cell counts RI'!R13</f>
        <v>9.8757021509782472</v>
      </c>
      <c r="F14" s="103">
        <f>'Determination cell counts RI'!S13</f>
        <v>3.0292593008299694E-2</v>
      </c>
      <c r="H14" s="31">
        <v>9</v>
      </c>
      <c r="I14" s="31">
        <v>80</v>
      </c>
      <c r="J14" s="31">
        <f t="shared" si="6"/>
        <v>760</v>
      </c>
      <c r="K14" s="101">
        <f t="shared" si="1"/>
        <v>12.666666666666666</v>
      </c>
      <c r="L14" s="103">
        <f>'Determination cell counts BH'!R13</f>
        <v>9.8187901386784073</v>
      </c>
      <c r="M14" s="103">
        <f>'Determination cell counts BH'!S13</f>
        <v>3.7107971371915079E-2</v>
      </c>
      <c r="O14" s="120">
        <f t="shared" si="2"/>
        <v>14099630345.280394</v>
      </c>
      <c r="P14" s="121">
        <f t="shared" si="3"/>
        <v>10.149207726761098</v>
      </c>
      <c r="Q14" s="121">
        <f t="shared" si="4"/>
        <v>6.7400564380214772E-2</v>
      </c>
    </row>
    <row r="15" spans="1:17">
      <c r="A15" s="31">
        <v>10</v>
      </c>
      <c r="B15" s="31">
        <v>80</v>
      </c>
      <c r="C15" s="31">
        <f t="shared" si="5"/>
        <v>840</v>
      </c>
      <c r="D15" s="101">
        <f t="shared" si="0"/>
        <v>14</v>
      </c>
      <c r="E15" s="103">
        <f>'Determination cell counts RI'!R14</f>
        <v>9.7756436905126307</v>
      </c>
      <c r="F15" s="103">
        <f>'Determination cell counts RI'!S14</f>
        <v>3.7171092020209316E-2</v>
      </c>
      <c r="H15" s="31">
        <v>10</v>
      </c>
      <c r="I15" s="31">
        <v>80</v>
      </c>
      <c r="J15" s="31">
        <f t="shared" si="6"/>
        <v>840</v>
      </c>
      <c r="K15" s="101">
        <f t="shared" si="1"/>
        <v>14</v>
      </c>
      <c r="L15" s="103">
        <f>'Determination cell counts BH'!R14</f>
        <v>9.6931083525624668</v>
      </c>
      <c r="M15" s="103">
        <f>'Determination cell counts BH'!S14</f>
        <v>2.3946455054445655E-2</v>
      </c>
      <c r="O15" s="120">
        <f t="shared" si="2"/>
        <v>10898425217.924797</v>
      </c>
      <c r="P15" s="121">
        <f t="shared" si="3"/>
        <v>10.037363748530076</v>
      </c>
      <c r="Q15" s="121">
        <f t="shared" si="4"/>
        <v>6.1117547074654971E-2</v>
      </c>
    </row>
    <row r="16" spans="1:17">
      <c r="A16" s="31">
        <v>11</v>
      </c>
      <c r="B16" s="31">
        <v>80</v>
      </c>
      <c r="C16" s="31">
        <f t="shared" si="5"/>
        <v>920</v>
      </c>
      <c r="D16" s="101">
        <f t="shared" si="0"/>
        <v>15.333333333333334</v>
      </c>
      <c r="E16" s="103">
        <f>'Determination cell counts RI'!R15</f>
        <v>9.7777556596538666</v>
      </c>
      <c r="F16" s="103">
        <f>'Determination cell counts RI'!S15</f>
        <v>5.4587611876419299E-2</v>
      </c>
      <c r="H16" s="31">
        <v>11</v>
      </c>
      <c r="I16" s="31">
        <v>80</v>
      </c>
      <c r="J16" s="31">
        <f t="shared" si="6"/>
        <v>920</v>
      </c>
      <c r="K16" s="101">
        <f t="shared" si="1"/>
        <v>15.333333333333334</v>
      </c>
      <c r="L16" s="103">
        <f>'Determination cell counts BH'!R15</f>
        <v>9.7508991179880553</v>
      </c>
      <c r="M16" s="103">
        <f>'Determination cell counts BH'!S15</f>
        <v>4.6751403273251911E-2</v>
      </c>
      <c r="O16" s="120">
        <f t="shared" si="2"/>
        <v>11629604640.143627</v>
      </c>
      <c r="P16" s="121">
        <f t="shared" si="3"/>
        <v>10.065564950711032</v>
      </c>
      <c r="Q16" s="121">
        <f t="shared" si="4"/>
        <v>0.10133901514967121</v>
      </c>
    </row>
    <row r="17" spans="1:17">
      <c r="A17" s="31">
        <v>12</v>
      </c>
      <c r="B17" s="31">
        <v>80</v>
      </c>
      <c r="C17" s="31">
        <f t="shared" si="5"/>
        <v>1000</v>
      </c>
      <c r="D17" s="101">
        <f t="shared" si="0"/>
        <v>16.666666666666668</v>
      </c>
      <c r="E17" s="103">
        <f>'Determination cell counts RI'!R16</f>
        <v>9.7740910837396413</v>
      </c>
      <c r="F17" s="103">
        <f>'Determination cell counts RI'!S16</f>
        <v>4.2536468546162415E-2</v>
      </c>
      <c r="H17" s="31">
        <v>12</v>
      </c>
      <c r="I17" s="31">
        <v>80</v>
      </c>
      <c r="J17" s="31">
        <f t="shared" si="6"/>
        <v>1000</v>
      </c>
      <c r="K17" s="101">
        <f t="shared" si="1"/>
        <v>16.666666666666668</v>
      </c>
      <c r="L17" s="103">
        <f>'Determination cell counts BH'!R16</f>
        <v>9.7926637598081054</v>
      </c>
      <c r="M17" s="103">
        <f>'Determination cell counts BH'!S16</f>
        <v>5.3820213824025638E-2</v>
      </c>
      <c r="O17" s="120">
        <f t="shared" si="2"/>
        <v>12148053414.410225</v>
      </c>
      <c r="P17" s="121">
        <f t="shared" si="3"/>
        <v>10.084506692822504</v>
      </c>
      <c r="Q17" s="121">
        <f t="shared" si="4"/>
        <v>9.6356682370188046E-2</v>
      </c>
    </row>
    <row r="18" spans="1:17">
      <c r="A18" s="31">
        <v>13</v>
      </c>
      <c r="B18" s="31">
        <v>80</v>
      </c>
      <c r="C18" s="31">
        <f t="shared" si="5"/>
        <v>1080</v>
      </c>
      <c r="D18" s="101">
        <f t="shared" si="0"/>
        <v>18</v>
      </c>
      <c r="E18" s="103">
        <f>'Determination cell counts RI'!R17</f>
        <v>9.7334333707632776</v>
      </c>
      <c r="F18" s="103">
        <f>'Determination cell counts RI'!S17</f>
        <v>2.1985511349458135E-2</v>
      </c>
      <c r="H18" s="31">
        <v>13</v>
      </c>
      <c r="I18" s="31">
        <v>80</v>
      </c>
      <c r="J18" s="31">
        <f t="shared" si="6"/>
        <v>1080</v>
      </c>
      <c r="K18" s="101">
        <f t="shared" si="1"/>
        <v>18</v>
      </c>
      <c r="L18" s="103">
        <f>'Determination cell counts BH'!R17</f>
        <v>9.8090299796941824</v>
      </c>
      <c r="M18" s="103">
        <f>'Determination cell counts BH'!S17</f>
        <v>4.1117429973042963E-2</v>
      </c>
      <c r="O18" s="120">
        <f t="shared" si="2"/>
        <v>11855079310.017117</v>
      </c>
      <c r="P18" s="121">
        <f t="shared" si="3"/>
        <v>10.073904463737032</v>
      </c>
      <c r="Q18" s="121">
        <f t="shared" si="4"/>
        <v>6.3102941322501105E-2</v>
      </c>
    </row>
    <row r="19" spans="1:17">
      <c r="A19" s="31">
        <v>14</v>
      </c>
      <c r="B19" s="31">
        <v>360</v>
      </c>
      <c r="C19" s="31">
        <f t="shared" si="5"/>
        <v>1440</v>
      </c>
      <c r="D19" s="101">
        <f t="shared" si="0"/>
        <v>24</v>
      </c>
      <c r="E19" s="103">
        <f>'Determination cell counts RI'!R18</f>
        <v>9.8035408140924609</v>
      </c>
      <c r="F19" s="103">
        <f>'Determination cell counts RI'!S18</f>
        <v>3.260947221080121E-2</v>
      </c>
      <c r="H19" s="31">
        <v>14</v>
      </c>
      <c r="I19" s="31">
        <v>360</v>
      </c>
      <c r="J19" s="31">
        <f t="shared" si="6"/>
        <v>1440</v>
      </c>
      <c r="K19" s="101">
        <f t="shared" si="1"/>
        <v>24</v>
      </c>
      <c r="L19" s="103">
        <f>'Determination cell counts BH'!R18</f>
        <v>10.063454803218248</v>
      </c>
      <c r="M19" s="103">
        <f>'Determination cell counts BH'!S18</f>
        <v>5.1732608514998293E-2</v>
      </c>
      <c r="O19" s="120">
        <f t="shared" si="2"/>
        <v>17934461673.184227</v>
      </c>
      <c r="P19" s="121">
        <f t="shared" si="3"/>
        <v>10.253688345278821</v>
      </c>
      <c r="Q19" s="121">
        <f t="shared" si="4"/>
        <v>8.4342080725799504E-2</v>
      </c>
    </row>
    <row r="20" spans="1:17">
      <c r="A20" s="31">
        <v>15</v>
      </c>
      <c r="B20" s="31">
        <v>360</v>
      </c>
      <c r="C20" s="31">
        <f>C19+B20</f>
        <v>1800</v>
      </c>
      <c r="D20" s="101">
        <f t="shared" si="0"/>
        <v>30</v>
      </c>
      <c r="E20" s="103">
        <f>'Determination cell counts RI'!R19</f>
        <v>9.8641652094386174</v>
      </c>
      <c r="F20" s="103">
        <f>'Determination cell counts RI'!S19</f>
        <v>2.2420897124350317E-2</v>
      </c>
      <c r="H20" s="31">
        <v>15</v>
      </c>
      <c r="I20" s="31">
        <v>360</v>
      </c>
      <c r="J20" s="31">
        <f>J19+I20</f>
        <v>1800</v>
      </c>
      <c r="K20" s="101">
        <f t="shared" si="1"/>
        <v>30</v>
      </c>
      <c r="L20" s="103">
        <f>'Determination cell counts BH'!R19</f>
        <v>9.9816512570162619</v>
      </c>
      <c r="M20" s="103">
        <f>'Determination cell counts BH'!S19</f>
        <v>1.4674132121519233E-2</v>
      </c>
      <c r="O20" s="120">
        <f t="shared" si="2"/>
        <v>16900478002.020527</v>
      </c>
      <c r="P20" s="121">
        <f t="shared" si="3"/>
        <v>10.22789898808729</v>
      </c>
      <c r="Q20" s="121">
        <f t="shared" si="4"/>
        <v>3.7095029245869549E-2</v>
      </c>
    </row>
    <row r="21" spans="1:17">
      <c r="A21" s="31">
        <v>16</v>
      </c>
      <c r="B21" s="31">
        <v>1080</v>
      </c>
      <c r="C21" s="31">
        <f>C20+B21</f>
        <v>2880</v>
      </c>
      <c r="D21" s="101">
        <f t="shared" si="0"/>
        <v>48</v>
      </c>
      <c r="E21" s="103">
        <f>'Determination cell counts RI'!R20</f>
        <v>9.3220692459929158</v>
      </c>
      <c r="F21" s="103">
        <f>'Determination cell counts RI'!S20</f>
        <v>6.7231407395918777E-2</v>
      </c>
      <c r="H21" s="31">
        <v>16</v>
      </c>
      <c r="I21" s="31">
        <v>1080</v>
      </c>
      <c r="J21" s="31">
        <f>J20+I21</f>
        <v>2880</v>
      </c>
      <c r="K21" s="101">
        <f t="shared" si="1"/>
        <v>48</v>
      </c>
      <c r="L21" s="103">
        <f>'Determination cell counts BH'!R20</f>
        <v>9.5830435850668536</v>
      </c>
      <c r="M21" s="103">
        <f>'Determination cell counts BH'!S20</f>
        <v>3.3348157862979746E-2</v>
      </c>
      <c r="O21" s="120">
        <f t="shared" si="2"/>
        <v>5927906224.2848225</v>
      </c>
      <c r="P21" s="121">
        <f t="shared" si="3"/>
        <v>9.7729013247624721</v>
      </c>
      <c r="Q21" s="121">
        <f t="shared" si="4"/>
        <v>0.10057956525889852</v>
      </c>
    </row>
  </sheetData>
  <mergeCells count="15">
    <mergeCell ref="O3:O4"/>
    <mergeCell ref="P3:P4"/>
    <mergeCell ref="Q3:Q4"/>
    <mergeCell ref="H3:H4"/>
    <mergeCell ref="I3:I4"/>
    <mergeCell ref="J3:J4"/>
    <mergeCell ref="K3:K4"/>
    <mergeCell ref="L3:L4"/>
    <mergeCell ref="M3:M4"/>
    <mergeCell ref="F3:F4"/>
    <mergeCell ref="A3:A4"/>
    <mergeCell ref="B3:B4"/>
    <mergeCell ref="C3:C4"/>
    <mergeCell ref="D3:D4"/>
    <mergeCell ref="E3:E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Fermentation</vt:lpstr>
      <vt:lpstr>Calculation</vt:lpstr>
      <vt:lpstr>Plate Count</vt:lpstr>
      <vt:lpstr>Flow cytometer</vt:lpstr>
      <vt:lpstr>Calibration R. intestinalis </vt:lpstr>
      <vt:lpstr>Determination cell counts RI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2016-04-13T14:50:10Z</dcterms:modified>
</cp:coreProperties>
</file>