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B. hydrogenotrophica" sheetId="27" r:id="rId7"/>
    <sheet name="Determination cell counts BH" sheetId="28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26" l="1"/>
  <c r="H67" i="28"/>
  <c r="I10" i="28"/>
  <c r="J10" i="28"/>
  <c r="H10" i="28"/>
  <c r="H65" i="28"/>
  <c r="H64" i="28"/>
  <c r="H63" i="28"/>
  <c r="H62" i="28"/>
  <c r="H61" i="28"/>
  <c r="H10" i="26"/>
  <c r="H5" i="26"/>
  <c r="H6" i="26"/>
  <c r="H7" i="26"/>
  <c r="H8" i="26"/>
  <c r="H9" i="26"/>
  <c r="H11" i="26"/>
  <c r="H12" i="26"/>
  <c r="H13" i="26"/>
  <c r="H14" i="26"/>
  <c r="H15" i="26"/>
  <c r="H16" i="26"/>
  <c r="H17" i="26"/>
  <c r="H18" i="26"/>
  <c r="H19" i="26"/>
  <c r="H20" i="26"/>
  <c r="J10" i="26"/>
  <c r="I10" i="26"/>
  <c r="H70" i="26"/>
  <c r="H58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9" i="28"/>
  <c r="H60" i="28"/>
  <c r="H5" i="28"/>
  <c r="B25" i="28"/>
  <c r="B24" i="28"/>
  <c r="K5" i="28"/>
  <c r="I5" i="28"/>
  <c r="L5" i="28"/>
  <c r="J5" i="28"/>
  <c r="M5" i="28"/>
  <c r="O5" i="28"/>
  <c r="S5" i="28"/>
  <c r="M6" i="29"/>
  <c r="H6" i="28"/>
  <c r="K6" i="28"/>
  <c r="I6" i="28"/>
  <c r="L6" i="28"/>
  <c r="J6" i="28"/>
  <c r="M6" i="28"/>
  <c r="O6" i="28"/>
  <c r="S6" i="28"/>
  <c r="M7" i="29"/>
  <c r="H7" i="28"/>
  <c r="K7" i="28"/>
  <c r="I7" i="28"/>
  <c r="L7" i="28"/>
  <c r="J7" i="28"/>
  <c r="M7" i="28"/>
  <c r="O7" i="28"/>
  <c r="S7" i="28"/>
  <c r="M8" i="29"/>
  <c r="H8" i="28"/>
  <c r="K8" i="28"/>
  <c r="I8" i="28"/>
  <c r="L8" i="28"/>
  <c r="J8" i="28"/>
  <c r="M8" i="28"/>
  <c r="O8" i="28"/>
  <c r="S8" i="28"/>
  <c r="M9" i="29"/>
  <c r="H9" i="28"/>
  <c r="K9" i="28"/>
  <c r="I9" i="28"/>
  <c r="L9" i="28"/>
  <c r="J9" i="28"/>
  <c r="M9" i="28"/>
  <c r="O9" i="28"/>
  <c r="S9" i="28"/>
  <c r="M10" i="29"/>
  <c r="K10" i="28"/>
  <c r="L10" i="28"/>
  <c r="M10" i="28"/>
  <c r="O10" i="28"/>
  <c r="S10" i="28"/>
  <c r="M11" i="29"/>
  <c r="H11" i="28"/>
  <c r="K11" i="28"/>
  <c r="I11" i="28"/>
  <c r="L11" i="28"/>
  <c r="J11" i="28"/>
  <c r="M11" i="28"/>
  <c r="O11" i="28"/>
  <c r="S11" i="28"/>
  <c r="M12" i="29"/>
  <c r="H12" i="28"/>
  <c r="K12" i="28"/>
  <c r="I12" i="28"/>
  <c r="L12" i="28"/>
  <c r="J12" i="28"/>
  <c r="M12" i="28"/>
  <c r="O12" i="28"/>
  <c r="S12" i="28"/>
  <c r="M13" i="29"/>
  <c r="H13" i="28"/>
  <c r="K13" i="28"/>
  <c r="I13" i="28"/>
  <c r="L13" i="28"/>
  <c r="J13" i="28"/>
  <c r="M13" i="28"/>
  <c r="O13" i="28"/>
  <c r="S13" i="28"/>
  <c r="M14" i="29"/>
  <c r="H14" i="28"/>
  <c r="K14" i="28"/>
  <c r="I14" i="28"/>
  <c r="L14" i="28"/>
  <c r="J14" i="28"/>
  <c r="M14" i="28"/>
  <c r="O14" i="28"/>
  <c r="S14" i="28"/>
  <c r="M15" i="29"/>
  <c r="H15" i="28"/>
  <c r="K15" i="28"/>
  <c r="I15" i="28"/>
  <c r="L15" i="28"/>
  <c r="J15" i="28"/>
  <c r="M15" i="28"/>
  <c r="O15" i="28"/>
  <c r="S15" i="28"/>
  <c r="M16" i="29"/>
  <c r="H16" i="28"/>
  <c r="K16" i="28"/>
  <c r="I16" i="28"/>
  <c r="L16" i="28"/>
  <c r="J16" i="28"/>
  <c r="M16" i="28"/>
  <c r="O16" i="28"/>
  <c r="S16" i="28"/>
  <c r="M17" i="29"/>
  <c r="H17" i="28"/>
  <c r="K17" i="28"/>
  <c r="I17" i="28"/>
  <c r="L17" i="28"/>
  <c r="J17" i="28"/>
  <c r="M17" i="28"/>
  <c r="O17" i="28"/>
  <c r="S17" i="28"/>
  <c r="M18" i="29"/>
  <c r="H18" i="28"/>
  <c r="K18" i="28"/>
  <c r="I18" i="28"/>
  <c r="L18" i="28"/>
  <c r="J18" i="28"/>
  <c r="M18" i="28"/>
  <c r="O18" i="28"/>
  <c r="S18" i="28"/>
  <c r="M19" i="29"/>
  <c r="H19" i="28"/>
  <c r="K19" i="28"/>
  <c r="I19" i="28"/>
  <c r="L19" i="28"/>
  <c r="J19" i="28"/>
  <c r="M19" i="28"/>
  <c r="O19" i="28"/>
  <c r="S19" i="28"/>
  <c r="M20" i="29"/>
  <c r="H20" i="28"/>
  <c r="K20" i="28"/>
  <c r="I20" i="28"/>
  <c r="L20" i="28"/>
  <c r="J20" i="28"/>
  <c r="M20" i="28"/>
  <c r="O20" i="28"/>
  <c r="S20" i="28"/>
  <c r="M21" i="29"/>
  <c r="H4" i="28"/>
  <c r="K4" i="28"/>
  <c r="I4" i="28"/>
  <c r="L4" i="28"/>
  <c r="J4" i="28"/>
  <c r="M4" i="28"/>
  <c r="O4" i="28"/>
  <c r="S4" i="28"/>
  <c r="M5" i="29"/>
  <c r="P5" i="28"/>
  <c r="R5" i="28"/>
  <c r="L6" i="29"/>
  <c r="P6" i="28"/>
  <c r="R6" i="28"/>
  <c r="L7" i="29"/>
  <c r="P7" i="28"/>
  <c r="R7" i="28"/>
  <c r="L8" i="29"/>
  <c r="P8" i="28"/>
  <c r="R8" i="28"/>
  <c r="L9" i="29"/>
  <c r="P9" i="28"/>
  <c r="R9" i="28"/>
  <c r="L10" i="29"/>
  <c r="P10" i="28"/>
  <c r="R10" i="28"/>
  <c r="L11" i="29"/>
  <c r="P11" i="28"/>
  <c r="R11" i="28"/>
  <c r="L12" i="29"/>
  <c r="P12" i="28"/>
  <c r="R12" i="28"/>
  <c r="L13" i="29"/>
  <c r="P13" i="28"/>
  <c r="R13" i="28"/>
  <c r="L14" i="29"/>
  <c r="P14" i="28"/>
  <c r="R14" i="28"/>
  <c r="L15" i="29"/>
  <c r="P15" i="28"/>
  <c r="R15" i="28"/>
  <c r="L16" i="29"/>
  <c r="P16" i="28"/>
  <c r="R16" i="28"/>
  <c r="L17" i="29"/>
  <c r="P17" i="28"/>
  <c r="R17" i="28"/>
  <c r="L18" i="29"/>
  <c r="P18" i="28"/>
  <c r="R18" i="28"/>
  <c r="L19" i="29"/>
  <c r="P19" i="28"/>
  <c r="R19" i="28"/>
  <c r="L20" i="29"/>
  <c r="P20" i="28"/>
  <c r="R20" i="28"/>
  <c r="L21" i="29"/>
  <c r="P4" i="28"/>
  <c r="R4" i="28"/>
  <c r="L5" i="29"/>
  <c r="K5" i="26"/>
  <c r="I5" i="26"/>
  <c r="L5" i="26"/>
  <c r="J5" i="26"/>
  <c r="M5" i="26"/>
  <c r="O5" i="26"/>
  <c r="S5" i="26"/>
  <c r="F6" i="29"/>
  <c r="K6" i="26"/>
  <c r="I6" i="26"/>
  <c r="L6" i="26"/>
  <c r="J6" i="26"/>
  <c r="M6" i="26"/>
  <c r="O6" i="26"/>
  <c r="S6" i="26"/>
  <c r="F7" i="29"/>
  <c r="K7" i="26"/>
  <c r="I7" i="26"/>
  <c r="L7" i="26"/>
  <c r="J7" i="26"/>
  <c r="M7" i="26"/>
  <c r="O7" i="26"/>
  <c r="S7" i="26"/>
  <c r="F8" i="29"/>
  <c r="K8" i="26"/>
  <c r="I8" i="26"/>
  <c r="L8" i="26"/>
  <c r="J8" i="26"/>
  <c r="M8" i="26"/>
  <c r="O8" i="26"/>
  <c r="S8" i="26"/>
  <c r="F9" i="29"/>
  <c r="K9" i="26"/>
  <c r="I9" i="26"/>
  <c r="L9" i="26"/>
  <c r="J9" i="26"/>
  <c r="M9" i="26"/>
  <c r="O9" i="26"/>
  <c r="S9" i="26"/>
  <c r="F10" i="29"/>
  <c r="K10" i="26"/>
  <c r="L10" i="26"/>
  <c r="M10" i="26"/>
  <c r="O10" i="26"/>
  <c r="S10" i="26"/>
  <c r="F11" i="29"/>
  <c r="K11" i="26"/>
  <c r="I11" i="26"/>
  <c r="L11" i="26"/>
  <c r="J11" i="26"/>
  <c r="M11" i="26"/>
  <c r="O11" i="26"/>
  <c r="S11" i="26"/>
  <c r="F12" i="29"/>
  <c r="K12" i="26"/>
  <c r="I12" i="26"/>
  <c r="L12" i="26"/>
  <c r="J12" i="26"/>
  <c r="M12" i="26"/>
  <c r="O12" i="26"/>
  <c r="S12" i="26"/>
  <c r="F13" i="29"/>
  <c r="K13" i="26"/>
  <c r="I13" i="26"/>
  <c r="L13" i="26"/>
  <c r="J13" i="26"/>
  <c r="M13" i="26"/>
  <c r="O13" i="26"/>
  <c r="S13" i="26"/>
  <c r="F14" i="29"/>
  <c r="K14" i="26"/>
  <c r="I14" i="26"/>
  <c r="L14" i="26"/>
  <c r="J14" i="26"/>
  <c r="M14" i="26"/>
  <c r="O14" i="26"/>
  <c r="S14" i="26"/>
  <c r="F15" i="29"/>
  <c r="K15" i="26"/>
  <c r="I15" i="26"/>
  <c r="L15" i="26"/>
  <c r="J15" i="26"/>
  <c r="M15" i="26"/>
  <c r="O15" i="26"/>
  <c r="S15" i="26"/>
  <c r="F16" i="29"/>
  <c r="K16" i="26"/>
  <c r="I16" i="26"/>
  <c r="L16" i="26"/>
  <c r="J16" i="26"/>
  <c r="M16" i="26"/>
  <c r="O16" i="26"/>
  <c r="S16" i="26"/>
  <c r="F17" i="29"/>
  <c r="K17" i="26"/>
  <c r="I17" i="26"/>
  <c r="L17" i="26"/>
  <c r="J17" i="26"/>
  <c r="M17" i="26"/>
  <c r="O17" i="26"/>
  <c r="S17" i="26"/>
  <c r="F18" i="29"/>
  <c r="K18" i="26"/>
  <c r="I18" i="26"/>
  <c r="L18" i="26"/>
  <c r="J18" i="26"/>
  <c r="M18" i="26"/>
  <c r="O18" i="26"/>
  <c r="S18" i="26"/>
  <c r="F19" i="29"/>
  <c r="K19" i="26"/>
  <c r="I19" i="26"/>
  <c r="L19" i="26"/>
  <c r="J19" i="26"/>
  <c r="M19" i="26"/>
  <c r="O19" i="26"/>
  <c r="S19" i="26"/>
  <c r="F20" i="29"/>
  <c r="K20" i="26"/>
  <c r="I20" i="26"/>
  <c r="L20" i="26"/>
  <c r="J20" i="26"/>
  <c r="M20" i="26"/>
  <c r="O20" i="26"/>
  <c r="S20" i="26"/>
  <c r="F21" i="29"/>
  <c r="H4" i="26"/>
  <c r="K4" i="26"/>
  <c r="I4" i="26"/>
  <c r="L4" i="26"/>
  <c r="J4" i="26"/>
  <c r="M4" i="26"/>
  <c r="O4" i="26"/>
  <c r="S4" i="26"/>
  <c r="F5" i="29"/>
  <c r="P5" i="26"/>
  <c r="R5" i="26"/>
  <c r="E6" i="29"/>
  <c r="P6" i="26"/>
  <c r="R6" i="26"/>
  <c r="E7" i="29"/>
  <c r="P7" i="26"/>
  <c r="R7" i="26"/>
  <c r="E8" i="29"/>
  <c r="P8" i="26"/>
  <c r="R8" i="26"/>
  <c r="E9" i="29"/>
  <c r="P9" i="26"/>
  <c r="R9" i="26"/>
  <c r="E10" i="29"/>
  <c r="P10" i="26"/>
  <c r="R10" i="26"/>
  <c r="E11" i="29"/>
  <c r="P11" i="26"/>
  <c r="R11" i="26"/>
  <c r="E12" i="29"/>
  <c r="P12" i="26"/>
  <c r="R12" i="26"/>
  <c r="E13" i="29"/>
  <c r="P13" i="26"/>
  <c r="R13" i="26"/>
  <c r="E14" i="29"/>
  <c r="P14" i="26"/>
  <c r="R14" i="26"/>
  <c r="E15" i="29"/>
  <c r="P15" i="26"/>
  <c r="R15" i="26"/>
  <c r="E16" i="29"/>
  <c r="P16" i="26"/>
  <c r="R16" i="26"/>
  <c r="E17" i="29"/>
  <c r="P17" i="26"/>
  <c r="R17" i="26"/>
  <c r="E18" i="29"/>
  <c r="P18" i="26"/>
  <c r="R18" i="26"/>
  <c r="E19" i="29"/>
  <c r="P19" i="26"/>
  <c r="R19" i="26"/>
  <c r="E20" i="29"/>
  <c r="P20" i="26"/>
  <c r="R20" i="26"/>
  <c r="E21" i="29"/>
  <c r="P4" i="26"/>
  <c r="R4" i="26"/>
  <c r="E5" i="29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27" i="26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B25" i="26"/>
  <c r="B2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Q21" i="29"/>
  <c r="O21" i="29"/>
  <c r="P21" i="29"/>
  <c r="Q20" i="29"/>
  <c r="O20" i="29"/>
  <c r="P20" i="29"/>
  <c r="Q19" i="29"/>
  <c r="O19" i="29"/>
  <c r="P19" i="29"/>
  <c r="Q18" i="29"/>
  <c r="O18" i="29"/>
  <c r="P18" i="29"/>
  <c r="Q17" i="29"/>
  <c r="O17" i="29"/>
  <c r="P17" i="29"/>
  <c r="Q16" i="29"/>
  <c r="O16" i="29"/>
  <c r="P16" i="29"/>
  <c r="Q15" i="29"/>
  <c r="O15" i="29"/>
  <c r="P15" i="29"/>
  <c r="Q14" i="29"/>
  <c r="O14" i="29"/>
  <c r="P14" i="29"/>
  <c r="Q13" i="29"/>
  <c r="O13" i="29"/>
  <c r="P13" i="29"/>
  <c r="Q12" i="29"/>
  <c r="O12" i="29"/>
  <c r="P12" i="29"/>
  <c r="Q11" i="29"/>
  <c r="O11" i="29"/>
  <c r="P11" i="29"/>
  <c r="Q10" i="29"/>
  <c r="O10" i="29"/>
  <c r="P10" i="29"/>
  <c r="Q9" i="29"/>
  <c r="O9" i="29"/>
  <c r="P9" i="29"/>
  <c r="Q8" i="29"/>
  <c r="O8" i="29"/>
  <c r="P8" i="29"/>
  <c r="Q7" i="29"/>
  <c r="O7" i="29"/>
  <c r="P7" i="29"/>
  <c r="Q6" i="29"/>
  <c r="O6" i="29"/>
  <c r="P6" i="29"/>
  <c r="Q5" i="29"/>
  <c r="O5" i="29"/>
  <c r="P5" i="29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D48" i="27"/>
  <c r="F40" i="27"/>
  <c r="G38" i="27"/>
  <c r="H38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O8" i="27"/>
  <c r="K8" i="27"/>
  <c r="G8" i="27"/>
  <c r="P8" i="27"/>
  <c r="R8" i="27"/>
  <c r="Q8" i="27"/>
  <c r="O7" i="27"/>
  <c r="K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12" i="23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L41" i="8"/>
  <c r="L25" i="8"/>
  <c r="B6" i="23"/>
  <c r="L20" i="8"/>
  <c r="L4" i="8"/>
  <c r="B5" i="23"/>
  <c r="T20" i="8"/>
  <c r="T4" i="8"/>
  <c r="B4" i="23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B8" i="23"/>
  <c r="H4" i="8"/>
  <c r="H20" i="8"/>
  <c r="B2" i="23"/>
  <c r="P4" i="8"/>
  <c r="P20" i="8"/>
  <c r="B3" i="23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P5" i="22"/>
  <c r="W5" i="22"/>
  <c r="X5" i="22"/>
  <c r="H6" i="22"/>
  <c r="U6" i="22"/>
  <c r="L6" i="22"/>
  <c r="V6" i="22"/>
  <c r="P6" i="22"/>
  <c r="W6" i="22"/>
  <c r="X6" i="22"/>
  <c r="H7" i="22"/>
  <c r="U7" i="22"/>
  <c r="L7" i="22"/>
  <c r="V7" i="22"/>
  <c r="P7" i="22"/>
  <c r="W7" i="22"/>
  <c r="X7" i="22"/>
  <c r="H8" i="22"/>
  <c r="U8" i="22"/>
  <c r="L8" i="22"/>
  <c r="V8" i="22"/>
  <c r="P8" i="22"/>
  <c r="W8" i="22"/>
  <c r="X8" i="22"/>
  <c r="H9" i="22"/>
  <c r="U9" i="22"/>
  <c r="L9" i="22"/>
  <c r="V9" i="22"/>
  <c r="P9" i="22"/>
  <c r="W9" i="22"/>
  <c r="X9" i="22"/>
  <c r="H10" i="22"/>
  <c r="U10" i="22"/>
  <c r="L10" i="22"/>
  <c r="V10" i="22"/>
  <c r="P10" i="22"/>
  <c r="W10" i="22"/>
  <c r="X10" i="22"/>
  <c r="H11" i="22"/>
  <c r="U11" i="22"/>
  <c r="L11" i="22"/>
  <c r="V11" i="22"/>
  <c r="P11" i="22"/>
  <c r="W11" i="22"/>
  <c r="X11" i="22"/>
  <c r="H12" i="22"/>
  <c r="U12" i="22"/>
  <c r="L12" i="22"/>
  <c r="V12" i="22"/>
  <c r="P12" i="22"/>
  <c r="W12" i="22"/>
  <c r="X12" i="22"/>
  <c r="H13" i="22"/>
  <c r="U13" i="22"/>
  <c r="L13" i="22"/>
  <c r="V13" i="22"/>
  <c r="P13" i="22"/>
  <c r="W13" i="22"/>
  <c r="X13" i="22"/>
  <c r="H14" i="22"/>
  <c r="U14" i="22"/>
  <c r="L14" i="22"/>
  <c r="V14" i="22"/>
  <c r="P14" i="22"/>
  <c r="W14" i="22"/>
  <c r="X14" i="22"/>
  <c r="H15" i="22"/>
  <c r="U15" i="22"/>
  <c r="L15" i="22"/>
  <c r="V15" i="22"/>
  <c r="P15" i="22"/>
  <c r="W15" i="22"/>
  <c r="X15" i="22"/>
  <c r="H16" i="22"/>
  <c r="U16" i="22"/>
  <c r="L16" i="22"/>
  <c r="V16" i="22"/>
  <c r="P16" i="22"/>
  <c r="W16" i="22"/>
  <c r="X16" i="22"/>
  <c r="H17" i="22"/>
  <c r="U17" i="22"/>
  <c r="L17" i="22"/>
  <c r="V17" i="22"/>
  <c r="P17" i="22"/>
  <c r="W17" i="22"/>
  <c r="X17" i="22"/>
  <c r="H18" i="22"/>
  <c r="U18" i="22"/>
  <c r="L18" i="22"/>
  <c r="V18" i="22"/>
  <c r="P18" i="22"/>
  <c r="W18" i="22"/>
  <c r="X18" i="22"/>
  <c r="H19" i="22"/>
  <c r="U19" i="22"/>
  <c r="L19" i="22"/>
  <c r="V19" i="22"/>
  <c r="P19" i="22"/>
  <c r="W19" i="22"/>
  <c r="X19" i="22"/>
  <c r="H20" i="22"/>
  <c r="U20" i="22"/>
  <c r="L20" i="22"/>
  <c r="V20" i="22"/>
  <c r="P20" i="22"/>
  <c r="W20" i="22"/>
  <c r="X20" i="22"/>
  <c r="H4" i="22"/>
  <c r="U4" i="22"/>
  <c r="L4" i="22"/>
  <c r="V4" i="22"/>
  <c r="P4" i="22"/>
  <c r="W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J20" i="2"/>
  <c r="K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<sst xmlns="http://schemas.openxmlformats.org/spreadsheetml/2006/main" count="770" uniqueCount="325">
  <si>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</si>
  <si>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</si>
  <si>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</si>
  <si>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</si>
  <si>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</si>
  <si>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</si>
  <si>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</si>
  <si>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</si>
  <si>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</si>
  <si>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</si>
  <si>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</si>
  <si>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</si>
  <si>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</si>
  <si>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</si>
  <si>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</si>
  <si>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</si>
  <si>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</si>
  <si>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</si>
  <si>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</si>
  <si>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</si>
  <si>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</si>
  <si>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</si>
  <si>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</si>
  <si>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</si>
  <si>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</si>
  <si>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</si>
  <si>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</si>
  <si>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</si>
  <si>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</si>
  <si>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</si>
  <si>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</si>
  <si>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</si>
  <si>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</si>
  <si>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</si>
  <si>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</si>
  <si>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</si>
  <si>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</si>
  <si>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</si>
  <si>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</si>
  <si>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</si>
  <si>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</si>
  <si>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</si>
  <si>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</si>
  <si>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</si>
  <si>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</si>
  <si>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</si>
  <si>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</si>
  <si>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</si>
  <si>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</si>
  <si>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</si>
  <si>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</si>
  <si>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</si>
  <si>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</si>
  <si>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</si>
  <si>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</si>
  <si>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</si>
  <si>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</si>
  <si>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</si>
  <si>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</si>
  <si>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</si>
  <si>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</si>
  <si>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</si>
  <si>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</si>
  <si>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</si>
  <si>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</si>
  <si>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</si>
  <si>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</si>
  <si>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</si>
  <si>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</si>
  <si>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</si>
  <si>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</si>
  <si>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</si>
  <si>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</si>
  <si>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</si>
  <si>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</si>
  <si>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</si>
  <si>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</si>
  <si>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</si>
  <si>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</si>
  <si>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</si>
  <si>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</si>
  <si>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</si>
  <si>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</si>
  <si>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</si>
  <si>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</si>
  <si>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</si>
  <si>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</si>
  <si>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</si>
  <si>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</si>
  <si>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</si>
  <si>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</si>
  <si>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</si>
  <si>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</si>
  <si>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</si>
  <si>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</si>
  <si>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</si>
  <si>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</si>
  <si>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</si>
  <si>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</si>
  <si>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</si>
  <si>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</si>
  <si>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</si>
  <si>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</si>
  <si>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</si>
  <si>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</si>
  <si>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</si>
  <si>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</si>
  <si>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</si>
  <si>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</si>
  <si>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</si>
  <si>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</si>
  <si>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</si>
  <si>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</si>
  <si>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</si>
  <si>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</si>
  <si>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</si>
  <si>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</si>
  <si>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</si>
  <si>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</si>
  <si>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</si>
  <si>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</si>
  <si>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</si>
  <si>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</si>
  <si>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</si>
  <si>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</si>
  <si>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</si>
  <si>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</si>
  <si>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</si>
  <si>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</si>
  <si>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</si>
  <si>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</si>
  <si>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</si>
  <si>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</si>
  <si>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</si>
  <si>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</si>
  <si>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</si>
  <si>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</si>
  <si>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</si>
  <si>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</si>
  <si>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</si>
  <si>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</si>
  <si>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</si>
  <si>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</si>
  <si>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</si>
  <si>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</si>
  <si>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</si>
  <si>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</si>
  <si>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</si>
  <si>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</si>
  <si>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Blautia hydrogenotrophica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</si>
  <si>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(50 mM)</t>
  </si>
  <si>
    <t>6.80</t>
  </si>
  <si>
    <t>0.40</t>
  </si>
  <si>
    <t>0.20</t>
  </si>
  <si>
    <t xml:space="preserve">2x-z-y </t>
  </si>
  <si>
    <t>2x-z-y</t>
  </si>
  <si>
    <t>2x-z-y-f</t>
  </si>
  <si>
    <t>2x-z</t>
  </si>
  <si>
    <t>0,&amp;71</t>
  </si>
  <si>
    <t>x moles D-fructose consumed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</si>
  <si>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</si>
  <si>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</si>
  <si>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</si>
  <si>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</si>
  <si>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</si>
  <si>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</si>
  <si>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</si>
  <si>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2x-z-y-f moles H2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</si>
  <si>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</si>
  <si>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</si>
  <si>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</si>
  <si>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</si>
  <si>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</si>
  <si>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</si>
  <si>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</si>
  <si>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</si>
  <si>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</si>
  <si>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</si>
  <si>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</si>
  <si>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</si>
  <si>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</si>
  <si>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</si>
  <si>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</si>
  <si>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</si>
  <si>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</si>
  <si>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</si>
  <si>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</si>
  <si>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</si>
  <si>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</si>
  <si>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</si>
  <si>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</si>
  <si>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</si>
  <si>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</si>
  <si>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</si>
  <si>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</si>
  <si>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</si>
  <si>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</si>
  <si>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</si>
  <si>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</si>
  <si>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</si>
  <si>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</si>
  <si>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</si>
  <si>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</si>
  <si>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</si>
  <si>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</si>
  <si>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</si>
  <si>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</si>
  <si>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</si>
  <si>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</si>
  <si>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</si>
  <si>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</si>
  <si>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</si>
  <si>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</si>
  <si>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</si>
  <si>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</si>
  <si>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</si>
  <si>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</si>
  <si>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</si>
  <si>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</si>
  <si>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</si>
  <si>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</si>
  <si>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</si>
  <si>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</si>
  <si>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</si>
  <si>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</si>
  <si>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</si>
  <si>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</si>
  <si>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</si>
  <si>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</si>
  <si>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</si>
  <si>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</si>
  <si>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</si>
  <si>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</si>
  <si>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</si>
  <si>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</si>
  <si>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</si>
  <si>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</si>
  <si>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</si>
  <si>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</si>
  <si>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</si>
  <si>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</si>
  <si>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</si>
  <si>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</si>
  <si>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</si>
  <si>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</si>
  <si>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</si>
  <si>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</si>
  <si>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</si>
  <si>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</si>
  <si>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</si>
  <si>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</si>
  <si>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</si>
  <si>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</si>
  <si>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plate 20150902</t>
  </si>
  <si>
    <t>IPC value epp 6</t>
  </si>
  <si>
    <t>plate 20150903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</si>
  <si>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</si>
  <si>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</si>
  <si>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</si>
  <si>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</si>
  <si>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</si>
  <si>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</si>
  <si>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BH10 epp</t>
  </si>
  <si>
    <t>Ct Threshold</t>
  </si>
  <si>
    <t>baseline</t>
  </si>
  <si>
    <t>Taqman probe BH4O</t>
  </si>
  <si>
    <t>B. hydrogenotrophica</t>
  </si>
  <si>
    <t>STDV  (cells/ml medium)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</si>
  <si>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</si>
  <si>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</si>
  <si>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</si>
  <si>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</si>
  <si>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</si>
  <si>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</si>
  <si>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</si>
  <si>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 xml:space="preserve">Total cell count </t>
  </si>
  <si>
    <t>IPC value  epp 8 plate  20150907</t>
  </si>
  <si>
    <t>IPC value  epp 8 plate  20150908</t>
  </si>
  <si>
    <t>plate 20150908</t>
  </si>
  <si>
    <t>plate 20150910</t>
  </si>
  <si>
    <t>plate 20150911</t>
  </si>
  <si>
    <t>IPC value epp 5</t>
  </si>
  <si>
    <t>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</si>
  <si>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</si>
  <si>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</si>
  <si>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</si>
  <si>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</si>
  <si>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</si>
  <si>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</si>
  <si>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</si>
  <si>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</si>
  <si>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</si>
  <si>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</si>
  <si>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</si>
  <si>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</si>
  <si>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 epp 7 plate  20150910</t>
  </si>
  <si>
    <t>IPC value  epp 7 plate  20150914</t>
  </si>
  <si>
    <t>IPC value  epp 6 plate  20150910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</si>
  <si>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</si>
  <si>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</si>
  <si>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</si>
  <si>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</si>
  <si>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</si>
  <si>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</si>
  <si>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</si>
  <si>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</si>
  <si>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</si>
  <si>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</si>
  <si>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</si>
  <si>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</si>
  <si>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</si>
  <si>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</si>
  <si>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</si>
  <si>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</si>
  <si>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</si>
  <si>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</si>
  <si>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IPC value  epp 3 plate  20160222</t>
  </si>
  <si>
    <t>IPC value  epp 2 plate  20160223</t>
  </si>
  <si>
    <t>IPC value  epp 2 plate  20160224</t>
  </si>
  <si>
    <t>IPC value  epp 2 plate  20160308</t>
  </si>
  <si>
    <t>IPC value  epp 2 plate  20160310</t>
  </si>
  <si>
    <t>plate 20160405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</si>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</sst>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6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65" fontId="0" fillId="0" borderId="0" xfId="0" applyNumberForma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" fontId="27" fillId="0" borderId="0" xfId="0" applyNumberFormat="1" applyFont="1"/>
    <xf numFmtId="1" fontId="28" fillId="0" borderId="0" xfId="0" applyNumberFormat="1" applyFont="1"/>
    <xf numFmtId="0" fontId="29" fillId="2" borderId="4" xfId="339" applyFill="1" applyBorder="1" applyAlignment="1">
      <alignment horizontal="center" vertical="center"/>
    </xf>
    <xf numFmtId="0" fontId="29" fillId="0" borderId="0" xfId="339"/>
    <xf numFmtId="0" fontId="29" fillId="2" borderId="16" xfId="339" applyFill="1" applyBorder="1" applyAlignment="1">
      <alignment horizontal="center" vertical="center"/>
    </xf>
    <xf numFmtId="0" fontId="29" fillId="2" borderId="3" xfId="339" applyFill="1" applyBorder="1" applyAlignment="1">
      <alignment horizontal="center" vertical="center"/>
    </xf>
    <xf numFmtId="0" fontId="29" fillId="0" borderId="3" xfId="339" applyFill="1" applyBorder="1" applyAlignment="1">
      <alignment horizontal="center" vertical="center"/>
    </xf>
    <xf numFmtId="0" fontId="29" fillId="0" borderId="16" xfId="339" applyFill="1" applyBorder="1" applyAlignment="1">
      <alignment horizontal="center" vertical="center"/>
    </xf>
    <xf numFmtId="11" fontId="29" fillId="0" borderId="16" xfId="339" applyNumberFormat="1" applyFill="1" applyBorder="1" applyAlignment="1">
      <alignment horizontal="center" vertical="center"/>
    </xf>
    <xf numFmtId="0" fontId="0" fillId="0" borderId="16" xfId="339" applyFont="1" applyBorder="1" applyAlignment="1">
      <alignment horizontal="center" vertical="center"/>
    </xf>
    <xf numFmtId="0" fontId="29" fillId="0" borderId="16" xfId="339" applyBorder="1" applyAlignment="1">
      <alignment horizontal="center" vertical="center"/>
    </xf>
    <xf numFmtId="11" fontId="29" fillId="0" borderId="16" xfId="339" applyNumberFormat="1" applyBorder="1" applyAlignment="1">
      <alignment horizontal="center" vertical="center"/>
    </xf>
    <xf numFmtId="2" fontId="29" fillId="0" borderId="16" xfId="339" applyNumberFormat="1" applyBorder="1" applyAlignment="1">
      <alignment horizontal="center" vertical="center"/>
    </xf>
    <xf numFmtId="0" fontId="29" fillId="2" borderId="21" xfId="339" applyFill="1" applyBorder="1" applyAlignment="1">
      <alignment wrapText="1"/>
    </xf>
    <xf numFmtId="0" fontId="0" fillId="2" borderId="21" xfId="339" applyFont="1" applyFill="1" applyBorder="1" applyAlignment="1">
      <alignment wrapText="1"/>
    </xf>
    <xf numFmtId="0" fontId="0" fillId="2" borderId="21" xfId="339" applyFont="1" applyFill="1" applyBorder="1" applyAlignment="1">
      <alignment horizontal="center" vertical="center" wrapText="1"/>
    </xf>
    <xf numFmtId="0" fontId="0" fillId="0" borderId="0" xfId="339" applyFont="1"/>
    <xf numFmtId="165" fontId="29" fillId="0" borderId="16" xfId="339" applyNumberFormat="1" applyBorder="1" applyAlignment="1">
      <alignment horizontal="center" vertical="center"/>
    </xf>
    <xf numFmtId="0" fontId="29" fillId="0" borderId="16" xfId="339" applyBorder="1"/>
    <xf numFmtId="0" fontId="29" fillId="0" borderId="0" xfId="339" applyFont="1"/>
    <xf numFmtId="0" fontId="29" fillId="2" borderId="16" xfId="339" applyFill="1" applyBorder="1"/>
    <xf numFmtId="0" fontId="30" fillId="12" borderId="0" xfId="339" applyFont="1" applyFill="1"/>
    <xf numFmtId="165" fontId="29" fillId="0" borderId="16" xfId="339" applyNumberFormat="1" applyBorder="1"/>
    <xf numFmtId="2" fontId="29" fillId="0" borderId="16" xfId="339" applyNumberFormat="1" applyBorder="1"/>
    <xf numFmtId="1" fontId="29" fillId="0" borderId="16" xfId="339" applyNumberFormat="1" applyBorder="1"/>
    <xf numFmtId="165" fontId="0" fillId="0" borderId="16" xfId="339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39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9" fillId="0" borderId="0" xfId="339" applyNumberFormat="1"/>
    <xf numFmtId="1" fontId="29" fillId="0" borderId="0" xfId="339" applyNumberFormat="1"/>
    <xf numFmtId="0" fontId="31" fillId="2" borderId="0" xfId="339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65" fontId="29" fillId="0" borderId="0" xfId="339" applyNumberFormat="1" applyBorder="1" applyAlignment="1">
      <alignment horizontal="center" vertical="center"/>
    </xf>
    <xf numFmtId="165" fontId="29" fillId="0" borderId="0" xfId="339" applyNumberFormat="1" applyBorder="1"/>
    <xf numFmtId="2" fontId="29" fillId="0" borderId="0" xfId="339" applyNumberFormat="1" applyBorder="1"/>
    <xf numFmtId="1" fontId="29" fillId="0" borderId="0" xfId="339" applyNumberFormat="1" applyBorder="1"/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/>
    <xf numFmtId="0" fontId="0" fillId="0" borderId="0" xfId="339" applyFont="1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9" fillId="0" borderId="17" xfId="339" applyNumberFormat="1" applyFill="1" applyBorder="1" applyAlignment="1">
      <alignment horizontal="center" vertical="center"/>
    </xf>
    <xf numFmtId="0" fontId="29" fillId="0" borderId="5" xfId="339" applyNumberFormat="1" applyFill="1" applyBorder="1" applyAlignment="1">
      <alignment horizontal="center" vertical="center"/>
    </xf>
    <xf numFmtId="0" fontId="29" fillId="0" borderId="18" xfId="339" applyNumberFormat="1" applyFill="1" applyBorder="1" applyAlignment="1">
      <alignment horizontal="center" vertical="center"/>
    </xf>
    <xf numFmtId="0" fontId="29" fillId="2" borderId="4" xfId="339" applyFill="1" applyBorder="1" applyAlignment="1">
      <alignment horizontal="center" vertical="center"/>
    </xf>
    <xf numFmtId="0" fontId="29" fillId="2" borderId="3" xfId="339" applyFill="1" applyBorder="1" applyAlignment="1">
      <alignment horizontal="center" vertical="center"/>
    </xf>
    <xf numFmtId="0" fontId="0" fillId="2" borderId="4" xfId="339" applyFont="1" applyFill="1" applyBorder="1" applyAlignment="1">
      <alignment horizontal="center" vertical="center"/>
    </xf>
    <xf numFmtId="0" fontId="29" fillId="2" borderId="16" xfId="339" applyFill="1" applyBorder="1" applyAlignment="1">
      <alignment horizontal="center" vertical="center"/>
    </xf>
    <xf numFmtId="0" fontId="21" fillId="0" borderId="23" xfId="339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39" applyFont="1" applyBorder="1" applyAlignment="1">
      <alignment horizontal="center"/>
    </xf>
    <xf numFmtId="0" fontId="29" fillId="0" borderId="24" xfId="339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39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6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Input" xfId="10"/>
    <cellStyle name="Linked Cell" xfId="11"/>
    <cellStyle name="Neutral" xfId="12"/>
    <cellStyle name="Normal" xfId="0" builtinId="0"/>
    <cellStyle name="Normal 2" xfId="339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theme" Target="theme/theme1.xml"/><Relationship Id="rId26" Type="http://schemas.openxmlformats.org/officeDocument/2006/relationships/connections" Target="connections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1512"/>
        <c:axId val="-2078905704"/>
      </c:scatterChart>
      <c:valAx>
        <c:axId val="-2078911512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78905704"/>
        <c:crosses val="autoZero"/>
        <c:crossBetween val="midCat"/>
        <c:majorUnit val="2.0"/>
      </c:valAx>
      <c:valAx>
        <c:axId val="-2078905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8911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24424"/>
        <c:axId val="-2093435112"/>
      </c:scatterChart>
      <c:valAx>
        <c:axId val="-209322442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3435112"/>
        <c:crosses val="autoZero"/>
        <c:crossBetween val="midCat"/>
        <c:majorUnit val="2.0"/>
      </c:valAx>
      <c:valAx>
        <c:axId val="-2093435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93224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0.0256532867441648</c:v>
                  </c:pt>
                  <c:pt idx="1">
                    <c:v>0.0128432797448088</c:v>
                  </c:pt>
                  <c:pt idx="2">
                    <c:v>0.0128689491913341</c:v>
                  </c:pt>
                  <c:pt idx="3">
                    <c:v>0.0128953560638197</c:v>
                  </c:pt>
                  <c:pt idx="4">
                    <c:v>0.0342860920691771</c:v>
                  </c:pt>
                  <c:pt idx="5">
                    <c:v>0.0471283132723885</c:v>
                  </c:pt>
                  <c:pt idx="6">
                    <c:v>0.0263741149568215</c:v>
                  </c:pt>
                  <c:pt idx="7">
                    <c:v>0.0133173247635317</c:v>
                  </c:pt>
                  <c:pt idx="8">
                    <c:v>0.0134108891061328</c:v>
                  </c:pt>
                  <c:pt idx="9">
                    <c:v>0.0269735586871935</c:v>
                  </c:pt>
                  <c:pt idx="10">
                    <c:v>3.97371590604295E-16</c:v>
                  </c:pt>
                  <c:pt idx="11">
                    <c:v>0.0357432642289016</c:v>
                  </c:pt>
                  <c:pt idx="12">
                    <c:v>0.0540873758380985</c:v>
                  </c:pt>
                  <c:pt idx="13">
                    <c:v>0.0234424500764599</c:v>
                  </c:pt>
                  <c:pt idx="14">
                    <c:v>0.0234654328706525</c:v>
                  </c:pt>
                  <c:pt idx="15">
                    <c:v>0.0406433219535669</c:v>
                  </c:pt>
                  <c:pt idx="16">
                    <c:v>0.0358440407815566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0.0256532867441648</c:v>
                  </c:pt>
                  <c:pt idx="1">
                    <c:v>0.0128432797448088</c:v>
                  </c:pt>
                  <c:pt idx="2">
                    <c:v>0.0128689491913341</c:v>
                  </c:pt>
                  <c:pt idx="3">
                    <c:v>0.0128953560638197</c:v>
                  </c:pt>
                  <c:pt idx="4">
                    <c:v>0.0342860920691771</c:v>
                  </c:pt>
                  <c:pt idx="5">
                    <c:v>0.0471283132723885</c:v>
                  </c:pt>
                  <c:pt idx="6">
                    <c:v>0.0263741149568215</c:v>
                  </c:pt>
                  <c:pt idx="7">
                    <c:v>0.0133173247635317</c:v>
                  </c:pt>
                  <c:pt idx="8">
                    <c:v>0.0134108891061328</c:v>
                  </c:pt>
                  <c:pt idx="9">
                    <c:v>0.0269735586871935</c:v>
                  </c:pt>
                  <c:pt idx="10">
                    <c:v>3.97371590604295E-16</c:v>
                  </c:pt>
                  <c:pt idx="11">
                    <c:v>0.0357432642289016</c:v>
                  </c:pt>
                  <c:pt idx="12">
                    <c:v>0.0540873758380985</c:v>
                  </c:pt>
                  <c:pt idx="13">
                    <c:v>0.0234424500764599</c:v>
                  </c:pt>
                  <c:pt idx="14">
                    <c:v>0.0234654328706525</c:v>
                  </c:pt>
                  <c:pt idx="15">
                    <c:v>0.0406433219535669</c:v>
                  </c:pt>
                  <c:pt idx="16">
                    <c:v>0.0358440407815566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0.585031814290017</c:v>
                </c:pt>
                <c:pt idx="1">
                  <c:v>0.570960468381615</c:v>
                </c:pt>
                <c:pt idx="2">
                  <c:v>0.631540758783371</c:v>
                </c:pt>
                <c:pt idx="3">
                  <c:v>0.573275571695165</c:v>
                </c:pt>
                <c:pt idx="4">
                  <c:v>0.486319513925234</c:v>
                </c:pt>
                <c:pt idx="5">
                  <c:v>0.649005002477961</c:v>
                </c:pt>
                <c:pt idx="6">
                  <c:v>0.837490630347747</c:v>
                </c:pt>
                <c:pt idx="7">
                  <c:v>1.622328578830374</c:v>
                </c:pt>
                <c:pt idx="8">
                  <c:v>2.129264619761943</c:v>
                </c:pt>
                <c:pt idx="9">
                  <c:v>2.156887004613885</c:v>
                </c:pt>
                <c:pt idx="10">
                  <c:v>2.174272089390764</c:v>
                </c:pt>
                <c:pt idx="11">
                  <c:v>2.168349879429627</c:v>
                </c:pt>
                <c:pt idx="12">
                  <c:v>2.17030158949212</c:v>
                </c:pt>
                <c:pt idx="13">
                  <c:v>2.297360107493064</c:v>
                </c:pt>
                <c:pt idx="14">
                  <c:v>2.510801317159812</c:v>
                </c:pt>
                <c:pt idx="15">
                  <c:v>2.581197615771769</c:v>
                </c:pt>
                <c:pt idx="16">
                  <c:v>2.565553993858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0.433243808939503</c:v>
                  </c:pt>
                  <c:pt idx="1">
                    <c:v>0.87102727331664</c:v>
                  </c:pt>
                  <c:pt idx="2">
                    <c:v>0.594691263217931</c:v>
                  </c:pt>
                  <c:pt idx="3">
                    <c:v>0.352996842578591</c:v>
                  </c:pt>
                  <c:pt idx="4">
                    <c:v>0.965536970324726</c:v>
                  </c:pt>
                  <c:pt idx="5">
                    <c:v>0.244899492632706</c:v>
                  </c:pt>
                  <c:pt idx="6">
                    <c:v>0.603584537260196</c:v>
                  </c:pt>
                  <c:pt idx="7">
                    <c:v>0.144056887913598</c:v>
                  </c:pt>
                  <c:pt idx="8">
                    <c:v>0.12070470181653</c:v>
                  </c:pt>
                  <c:pt idx="9">
                    <c:v>0.457334608872955</c:v>
                  </c:pt>
                  <c:pt idx="10">
                    <c:v>0.195266236141727</c:v>
                  </c:pt>
                  <c:pt idx="11">
                    <c:v>0.372027897493858</c:v>
                  </c:pt>
                  <c:pt idx="12">
                    <c:v>0.710804991818169</c:v>
                  </c:pt>
                  <c:pt idx="13">
                    <c:v>0.246995246895814</c:v>
                  </c:pt>
                  <c:pt idx="14">
                    <c:v>0.347275970968717</c:v>
                  </c:pt>
                  <c:pt idx="15">
                    <c:v>0.386132991340374</c:v>
                  </c:pt>
                  <c:pt idx="16">
                    <c:v>0.422889845291967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0.433243808939503</c:v>
                  </c:pt>
                  <c:pt idx="1">
                    <c:v>0.87102727331664</c:v>
                  </c:pt>
                  <c:pt idx="2">
                    <c:v>0.594691263217931</c:v>
                  </c:pt>
                  <c:pt idx="3">
                    <c:v>0.352996842578591</c:v>
                  </c:pt>
                  <c:pt idx="4">
                    <c:v>0.965536970324726</c:v>
                  </c:pt>
                  <c:pt idx="5">
                    <c:v>0.244899492632706</c:v>
                  </c:pt>
                  <c:pt idx="6">
                    <c:v>0.603584537260196</c:v>
                  </c:pt>
                  <c:pt idx="7">
                    <c:v>0.144056887913598</c:v>
                  </c:pt>
                  <c:pt idx="8">
                    <c:v>0.12070470181653</c:v>
                  </c:pt>
                  <c:pt idx="9">
                    <c:v>0.457334608872955</c:v>
                  </c:pt>
                  <c:pt idx="10">
                    <c:v>0.195266236141727</c:v>
                  </c:pt>
                  <c:pt idx="11">
                    <c:v>0.372027897493858</c:v>
                  </c:pt>
                  <c:pt idx="12">
                    <c:v>0.710804991818169</c:v>
                  </c:pt>
                  <c:pt idx="13">
                    <c:v>0.246995246895814</c:v>
                  </c:pt>
                  <c:pt idx="14">
                    <c:v>0.347275970968717</c:v>
                  </c:pt>
                  <c:pt idx="15">
                    <c:v>0.386132991340374</c:v>
                  </c:pt>
                  <c:pt idx="16">
                    <c:v>0.422889845291967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47.99008345176014</c:v>
                </c:pt>
                <c:pt idx="1">
                  <c:v>47.32931784339387</c:v>
                </c:pt>
                <c:pt idx="2">
                  <c:v>48.47158623817314</c:v>
                </c:pt>
                <c:pt idx="3">
                  <c:v>47.61057311401861</c:v>
                </c:pt>
                <c:pt idx="4">
                  <c:v>46.47602064263589</c:v>
                </c:pt>
                <c:pt idx="5">
                  <c:v>45.88191780800675</c:v>
                </c:pt>
                <c:pt idx="6">
                  <c:v>40.81851358393541</c:v>
                </c:pt>
                <c:pt idx="7">
                  <c:v>36.077669321055</c:v>
                </c:pt>
                <c:pt idx="8">
                  <c:v>35.0883571654154</c:v>
                </c:pt>
                <c:pt idx="9">
                  <c:v>36.88715122381193</c:v>
                </c:pt>
                <c:pt idx="10">
                  <c:v>38.19215708515601</c:v>
                </c:pt>
                <c:pt idx="11">
                  <c:v>38.79845679397821</c:v>
                </c:pt>
                <c:pt idx="12">
                  <c:v>38.41178612278478</c:v>
                </c:pt>
                <c:pt idx="13">
                  <c:v>39.60821790650495</c:v>
                </c:pt>
                <c:pt idx="14">
                  <c:v>39.7995832729201</c:v>
                </c:pt>
                <c:pt idx="15">
                  <c:v>40.80865289599532</c:v>
                </c:pt>
                <c:pt idx="16">
                  <c:v>39.20118151970108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0.0779100884321961</c:v>
                </c:pt>
                <c:pt idx="1">
                  <c:v>0.254364264322454</c:v>
                </c:pt>
                <c:pt idx="2">
                  <c:v>0.465914987268571</c:v>
                </c:pt>
                <c:pt idx="3">
                  <c:v>0.708775140010134</c:v>
                </c:pt>
                <c:pt idx="4">
                  <c:v>0.990509507318123</c:v>
                </c:pt>
                <c:pt idx="5">
                  <c:v>1.32413491672839</c:v>
                </c:pt>
                <c:pt idx="6">
                  <c:v>1.737248459116071</c:v>
                </c:pt>
                <c:pt idx="7">
                  <c:v>2.264617386838001</c:v>
                </c:pt>
                <c:pt idx="8">
                  <c:v>2.905338385187107</c:v>
                </c:pt>
                <c:pt idx="9">
                  <c:v>3.664254997934324</c:v>
                </c:pt>
                <c:pt idx="10">
                  <c:v>4.59991982207568</c:v>
                </c:pt>
                <c:pt idx="11">
                  <c:v>5.744686878058515</c:v>
                </c:pt>
                <c:pt idx="12">
                  <c:v>7.153604126055504</c:v>
                </c:pt>
                <c:pt idx="13">
                  <c:v>8.872129956558673</c:v>
                </c:pt>
                <c:pt idx="14">
                  <c:v>10.89291507914581</c:v>
                </c:pt>
                <c:pt idx="15">
                  <c:v>13.28859951905416</c:v>
                </c:pt>
                <c:pt idx="16">
                  <c:v>16.09465603761841</c:v>
                </c:pt>
                <c:pt idx="17">
                  <c:v>19.2937391831198</c:v>
                </c:pt>
                <c:pt idx="18">
                  <c:v>22.95413975403547</c:v>
                </c:pt>
                <c:pt idx="19">
                  <c:v>27.03250368718183</c:v>
                </c:pt>
                <c:pt idx="20">
                  <c:v>31.53964408224539</c:v>
                </c:pt>
                <c:pt idx="21">
                  <c:v>36.40064914416642</c:v>
                </c:pt>
                <c:pt idx="22">
                  <c:v>41.1098090342855</c:v>
                </c:pt>
                <c:pt idx="23">
                  <c:v>45.3065593682511</c:v>
                </c:pt>
                <c:pt idx="24">
                  <c:v>49.00230137433218</c:v>
                </c:pt>
                <c:pt idx="25">
                  <c:v>52.21884163991488</c:v>
                </c:pt>
                <c:pt idx="26">
                  <c:v>55.00148806634043</c:v>
                </c:pt>
                <c:pt idx="27">
                  <c:v>57.38690675125989</c:v>
                </c:pt>
                <c:pt idx="28">
                  <c:v>59.39030269650841</c:v>
                </c:pt>
                <c:pt idx="29">
                  <c:v>61.07529094993764</c:v>
                </c:pt>
                <c:pt idx="30">
                  <c:v>62.47862737861646</c:v>
                </c:pt>
                <c:pt idx="31">
                  <c:v>63.66478244950522</c:v>
                </c:pt>
                <c:pt idx="32">
                  <c:v>64.66342849714928</c:v>
                </c:pt>
                <c:pt idx="33">
                  <c:v>65.4906110903049</c:v>
                </c:pt>
                <c:pt idx="34">
                  <c:v>66.18543765320838</c:v>
                </c:pt>
                <c:pt idx="35">
                  <c:v>66.76524726235397</c:v>
                </c:pt>
                <c:pt idx="36">
                  <c:v>67.24880187973207</c:v>
                </c:pt>
                <c:pt idx="37">
                  <c:v>67.65475677058774</c:v>
                </c:pt>
                <c:pt idx="38">
                  <c:v>67.9886127631379</c:v>
                </c:pt>
                <c:pt idx="39">
                  <c:v>68.26108194502856</c:v>
                </c:pt>
                <c:pt idx="40">
                  <c:v>68.48604751415829</c:v>
                </c:pt>
                <c:pt idx="41">
                  <c:v>68.67594858909194</c:v>
                </c:pt>
                <c:pt idx="42">
                  <c:v>68.83719189743169</c:v>
                </c:pt>
                <c:pt idx="43">
                  <c:v>68.97258349790305</c:v>
                </c:pt>
                <c:pt idx="44">
                  <c:v>69.08836689560484</c:v>
                </c:pt>
                <c:pt idx="45">
                  <c:v>69.18882350476454</c:v>
                </c:pt>
                <c:pt idx="46">
                  <c:v>69.27636207903213</c:v>
                </c:pt>
                <c:pt idx="47">
                  <c:v>69.35520783327017</c:v>
                </c:pt>
                <c:pt idx="48">
                  <c:v>69.42947066105276</c:v>
                </c:pt>
                <c:pt idx="49">
                  <c:v>69.49898778872505</c:v>
                </c:pt>
                <c:pt idx="50">
                  <c:v>69.56247268732271</c:v>
                </c:pt>
                <c:pt idx="51">
                  <c:v>69.6204552043675</c:v>
                </c:pt>
                <c:pt idx="52">
                  <c:v>69.67396877423869</c:v>
                </c:pt>
                <c:pt idx="53">
                  <c:v>69.72507254196994</c:v>
                </c:pt>
                <c:pt idx="54">
                  <c:v>69.77572369942745</c:v>
                </c:pt>
                <c:pt idx="55">
                  <c:v>69.82662253099382</c:v>
                </c:pt>
                <c:pt idx="56">
                  <c:v>69.87811917886027</c:v>
                </c:pt>
                <c:pt idx="57">
                  <c:v>69.9311966157373</c:v>
                </c:pt>
                <c:pt idx="58">
                  <c:v>69.98593156395806</c:v>
                </c:pt>
                <c:pt idx="59">
                  <c:v>70.04446864444403</c:v>
                </c:pt>
                <c:pt idx="60">
                  <c:v>70.10970350841468</c:v>
                </c:pt>
                <c:pt idx="61">
                  <c:v>70.18055532731667</c:v>
                </c:pt>
                <c:pt idx="62">
                  <c:v>70.25537963977114</c:v>
                </c:pt>
                <c:pt idx="63">
                  <c:v>70.33359551846397</c:v>
                </c:pt>
                <c:pt idx="64">
                  <c:v>70.41384273001338</c:v>
                </c:pt>
                <c:pt idx="65">
                  <c:v>70.49566768112616</c:v>
                </c:pt>
                <c:pt idx="66">
                  <c:v>70.57907911576939</c:v>
                </c:pt>
                <c:pt idx="67">
                  <c:v>70.6626993126271</c:v>
                </c:pt>
                <c:pt idx="68">
                  <c:v>70.7455396569192</c:v>
                </c:pt>
                <c:pt idx="69">
                  <c:v>70.82739138643123</c:v>
                </c:pt>
                <c:pt idx="70">
                  <c:v>70.9079194979237</c:v>
                </c:pt>
                <c:pt idx="71">
                  <c:v>70.98771311617989</c:v>
                </c:pt>
                <c:pt idx="72">
                  <c:v>71.06460483035522</c:v>
                </c:pt>
                <c:pt idx="73">
                  <c:v>71.1370436792856</c:v>
                </c:pt>
                <c:pt idx="74">
                  <c:v>71.20493894431237</c:v>
                </c:pt>
                <c:pt idx="75">
                  <c:v>71.26857207187652</c:v>
                </c:pt>
                <c:pt idx="76">
                  <c:v>71.32934865468914</c:v>
                </c:pt>
                <c:pt idx="77">
                  <c:v>71.38675170569554</c:v>
                </c:pt>
                <c:pt idx="78">
                  <c:v>71.44060907804346</c:v>
                </c:pt>
                <c:pt idx="79">
                  <c:v>71.49152847744625</c:v>
                </c:pt>
                <c:pt idx="80">
                  <c:v>71.5395459727682</c:v>
                </c:pt>
                <c:pt idx="81">
                  <c:v>71.58389045541078</c:v>
                </c:pt>
                <c:pt idx="82">
                  <c:v>71.62551447128982</c:v>
                </c:pt>
                <c:pt idx="83">
                  <c:v>71.66463607308482</c:v>
                </c:pt>
                <c:pt idx="84">
                  <c:v>71.70096452388977</c:v>
                </c:pt>
                <c:pt idx="85">
                  <c:v>71.73420034283153</c:v>
                </c:pt>
                <c:pt idx="86">
                  <c:v>71.76468837011256</c:v>
                </c:pt>
                <c:pt idx="87">
                  <c:v>71.79391617313551</c:v>
                </c:pt>
                <c:pt idx="88">
                  <c:v>71.82198321452613</c:v>
                </c:pt>
                <c:pt idx="89">
                  <c:v>71.84894359758081</c:v>
                </c:pt>
                <c:pt idx="90">
                  <c:v>71.87455303771877</c:v>
                </c:pt>
                <c:pt idx="91">
                  <c:v>71.89901100668943</c:v>
                </c:pt>
                <c:pt idx="92">
                  <c:v>71.92207212691609</c:v>
                </c:pt>
                <c:pt idx="93">
                  <c:v>71.94383640752244</c:v>
                </c:pt>
                <c:pt idx="94">
                  <c:v>71.96498423844833</c:v>
                </c:pt>
                <c:pt idx="95">
                  <c:v>71.98496201727685</c:v>
                </c:pt>
                <c:pt idx="96">
                  <c:v>72.00527593836161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0.293334986051391</c:v>
                  </c:pt>
                  <c:pt idx="1">
                    <c:v>0.784518368404461</c:v>
                  </c:pt>
                  <c:pt idx="2">
                    <c:v>0.40033602825697</c:v>
                  </c:pt>
                  <c:pt idx="3">
                    <c:v>0.281860154825163</c:v>
                  </c:pt>
                  <c:pt idx="4">
                    <c:v>1.010110567960742</c:v>
                  </c:pt>
                  <c:pt idx="5">
                    <c:v>0.190205000307341</c:v>
                  </c:pt>
                  <c:pt idx="6">
                    <c:v>0.290115264525037</c:v>
                  </c:pt>
                  <c:pt idx="7">
                    <c:v>0.0405030620377121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0.293334986051391</c:v>
                  </c:pt>
                  <c:pt idx="1">
                    <c:v>0.784518368404461</c:v>
                  </c:pt>
                  <c:pt idx="2">
                    <c:v>0.40033602825697</c:v>
                  </c:pt>
                  <c:pt idx="3">
                    <c:v>0.281860154825163</c:v>
                  </c:pt>
                  <c:pt idx="4">
                    <c:v>1.010110567960742</c:v>
                  </c:pt>
                  <c:pt idx="5">
                    <c:v>0.190205000307341</c:v>
                  </c:pt>
                  <c:pt idx="6">
                    <c:v>0.290115264525037</c:v>
                  </c:pt>
                  <c:pt idx="7">
                    <c:v>0.0405030620377121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47.60233547159789</c:v>
                </c:pt>
                <c:pt idx="1">
                  <c:v>46.9040317239988</c:v>
                </c:pt>
                <c:pt idx="2">
                  <c:v>47.6367479404657</c:v>
                </c:pt>
                <c:pt idx="3">
                  <c:v>45.3855569487497</c:v>
                </c:pt>
                <c:pt idx="4">
                  <c:v>40.50293367129619</c:v>
                </c:pt>
                <c:pt idx="5">
                  <c:v>32.921910736164</c:v>
                </c:pt>
                <c:pt idx="6">
                  <c:v>21.19231972339049</c:v>
                </c:pt>
                <c:pt idx="7">
                  <c:v>7.880980063038549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0.0472811327084511</c:v>
                  </c:pt>
                  <c:pt idx="1">
                    <c:v>0.0572342398217333</c:v>
                  </c:pt>
                  <c:pt idx="2">
                    <c:v>0.0602914751475128</c:v>
                  </c:pt>
                  <c:pt idx="3">
                    <c:v>0.0659183789711091</c:v>
                  </c:pt>
                  <c:pt idx="4">
                    <c:v>0.264641890993198</c:v>
                  </c:pt>
                  <c:pt idx="5">
                    <c:v>0.0925835896828986</c:v>
                  </c:pt>
                  <c:pt idx="6">
                    <c:v>0.335425750317149</c:v>
                  </c:pt>
                  <c:pt idx="7">
                    <c:v>0.249939627088064</c:v>
                  </c:pt>
                  <c:pt idx="8">
                    <c:v>0.201971743530402</c:v>
                  </c:pt>
                  <c:pt idx="9">
                    <c:v>0.951693941877231</c:v>
                  </c:pt>
                  <c:pt idx="10">
                    <c:v>0.228010483139897</c:v>
                  </c:pt>
                  <c:pt idx="11">
                    <c:v>0.326553446565482</c:v>
                  </c:pt>
                  <c:pt idx="12">
                    <c:v>0.832554886164328</c:v>
                  </c:pt>
                  <c:pt idx="13">
                    <c:v>0.376664467120971</c:v>
                  </c:pt>
                  <c:pt idx="14">
                    <c:v>0.390775792843556</c:v>
                  </c:pt>
                  <c:pt idx="15">
                    <c:v>0.472549827737748</c:v>
                  </c:pt>
                  <c:pt idx="16">
                    <c:v>0.485367063727086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0.0472811327084511</c:v>
                  </c:pt>
                  <c:pt idx="1">
                    <c:v>0.0572342398217333</c:v>
                  </c:pt>
                  <c:pt idx="2">
                    <c:v>0.0602914751475128</c:v>
                  </c:pt>
                  <c:pt idx="3">
                    <c:v>0.0659183789711091</c:v>
                  </c:pt>
                  <c:pt idx="4">
                    <c:v>0.264641890993198</c:v>
                  </c:pt>
                  <c:pt idx="5">
                    <c:v>0.0925835896828986</c:v>
                  </c:pt>
                  <c:pt idx="6">
                    <c:v>0.335425750317149</c:v>
                  </c:pt>
                  <c:pt idx="7">
                    <c:v>0.249939627088064</c:v>
                  </c:pt>
                  <c:pt idx="8">
                    <c:v>0.201971743530402</c:v>
                  </c:pt>
                  <c:pt idx="9">
                    <c:v>0.951693941877231</c:v>
                  </c:pt>
                  <c:pt idx="10">
                    <c:v>0.228010483139897</c:v>
                  </c:pt>
                  <c:pt idx="11">
                    <c:v>0.326553446565482</c:v>
                  </c:pt>
                  <c:pt idx="12">
                    <c:v>0.832554886164328</c:v>
                  </c:pt>
                  <c:pt idx="13">
                    <c:v>0.376664467120971</c:v>
                  </c:pt>
                  <c:pt idx="14">
                    <c:v>0.390775792843556</c:v>
                  </c:pt>
                  <c:pt idx="15">
                    <c:v>0.472549827737748</c:v>
                  </c:pt>
                  <c:pt idx="16">
                    <c:v>0.485367063727086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1.483923936121847</c:v>
                </c:pt>
                <c:pt idx="1">
                  <c:v>2.372809260625867</c:v>
                </c:pt>
                <c:pt idx="2">
                  <c:v>4.010694271069828</c:v>
                </c:pt>
                <c:pt idx="3">
                  <c:v>5.944658638356818</c:v>
                </c:pt>
                <c:pt idx="4">
                  <c:v>10.71641814898395</c:v>
                </c:pt>
                <c:pt idx="5">
                  <c:v>19.04907357725638</c:v>
                </c:pt>
                <c:pt idx="6">
                  <c:v>29.46160020953451</c:v>
                </c:pt>
                <c:pt idx="7">
                  <c:v>43.09219048382873</c:v>
                </c:pt>
                <c:pt idx="8">
                  <c:v>50.23428070255142</c:v>
                </c:pt>
                <c:pt idx="9">
                  <c:v>50.82105534728904</c:v>
                </c:pt>
                <c:pt idx="10">
                  <c:v>51.07855948745981</c:v>
                </c:pt>
                <c:pt idx="11">
                  <c:v>51.37784354117161</c:v>
                </c:pt>
                <c:pt idx="12">
                  <c:v>50.92924211743308</c:v>
                </c:pt>
                <c:pt idx="13">
                  <c:v>52.91822214930884</c:v>
                </c:pt>
                <c:pt idx="14">
                  <c:v>53.38593086063016</c:v>
                </c:pt>
                <c:pt idx="15">
                  <c:v>55.9208829401418</c:v>
                </c:pt>
                <c:pt idx="16">
                  <c:v>58.2799077459965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0.0607979062665218</c:v>
                </c:pt>
                <c:pt idx="1">
                  <c:v>0.29559611289702</c:v>
                </c:pt>
                <c:pt idx="2">
                  <c:v>0.727245991084555</c:v>
                </c:pt>
                <c:pt idx="3">
                  <c:v>1.308770376197146</c:v>
                </c:pt>
                <c:pt idx="4">
                  <c:v>2.07051326933788</c:v>
                </c:pt>
                <c:pt idx="5">
                  <c:v>3.02393220727091</c:v>
                </c:pt>
                <c:pt idx="6">
                  <c:v>4.287382311440874</c:v>
                </c:pt>
                <c:pt idx="7">
                  <c:v>5.993396808161646</c:v>
                </c:pt>
                <c:pt idx="8">
                  <c:v>7.731313355161816</c:v>
                </c:pt>
                <c:pt idx="9">
                  <c:v>9.41898384744413</c:v>
                </c:pt>
                <c:pt idx="10">
                  <c:v>11.48106473911715</c:v>
                </c:pt>
                <c:pt idx="11">
                  <c:v>13.86941662228398</c:v>
                </c:pt>
                <c:pt idx="12">
                  <c:v>16.49861340126976</c:v>
                </c:pt>
                <c:pt idx="13">
                  <c:v>19.44502444289979</c:v>
                </c:pt>
                <c:pt idx="14">
                  <c:v>22.70482088552487</c:v>
                </c:pt>
                <c:pt idx="15">
                  <c:v>26.30896404568203</c:v>
                </c:pt>
                <c:pt idx="16">
                  <c:v>30.09850203135777</c:v>
                </c:pt>
                <c:pt idx="17">
                  <c:v>33.94146524987445</c:v>
                </c:pt>
                <c:pt idx="18">
                  <c:v>37.93585073157537</c:v>
                </c:pt>
                <c:pt idx="19">
                  <c:v>41.90855388134801</c:v>
                </c:pt>
                <c:pt idx="20">
                  <c:v>45.81556331163591</c:v>
                </c:pt>
                <c:pt idx="21">
                  <c:v>49.66855634349232</c:v>
                </c:pt>
                <c:pt idx="22">
                  <c:v>52.36776843076674</c:v>
                </c:pt>
                <c:pt idx="23">
                  <c:v>53.38078635231326</c:v>
                </c:pt>
                <c:pt idx="24">
                  <c:v>53.61676134684133</c:v>
                </c:pt>
                <c:pt idx="25">
                  <c:v>53.67927765709439</c:v>
                </c:pt>
                <c:pt idx="26">
                  <c:v>53.69991604833975</c:v>
                </c:pt>
                <c:pt idx="27">
                  <c:v>53.71138503278584</c:v>
                </c:pt>
                <c:pt idx="28">
                  <c:v>53.72045508021331</c:v>
                </c:pt>
                <c:pt idx="29">
                  <c:v>53.7305541821229</c:v>
                </c:pt>
                <c:pt idx="30">
                  <c:v>53.74074558188205</c:v>
                </c:pt>
                <c:pt idx="31">
                  <c:v>53.75024890835023</c:v>
                </c:pt>
                <c:pt idx="32">
                  <c:v>53.76325775324189</c:v>
                </c:pt>
                <c:pt idx="33">
                  <c:v>53.77726259341856</c:v>
                </c:pt>
                <c:pt idx="34">
                  <c:v>53.78962625574893</c:v>
                </c:pt>
                <c:pt idx="35">
                  <c:v>53.80213448305252</c:v>
                </c:pt>
                <c:pt idx="36">
                  <c:v>53.81684388041617</c:v>
                </c:pt>
                <c:pt idx="37">
                  <c:v>53.83247658897953</c:v>
                </c:pt>
                <c:pt idx="38">
                  <c:v>53.84484973437688</c:v>
                </c:pt>
                <c:pt idx="39">
                  <c:v>53.8565919808166</c:v>
                </c:pt>
                <c:pt idx="40">
                  <c:v>53.86829904156698</c:v>
                </c:pt>
                <c:pt idx="41">
                  <c:v>53.88130259723182</c:v>
                </c:pt>
                <c:pt idx="42">
                  <c:v>53.89637428952612</c:v>
                </c:pt>
                <c:pt idx="43">
                  <c:v>53.90892238598994</c:v>
                </c:pt>
                <c:pt idx="44">
                  <c:v>53.92094465187407</c:v>
                </c:pt>
                <c:pt idx="45">
                  <c:v>53.93433427274147</c:v>
                </c:pt>
                <c:pt idx="46">
                  <c:v>53.94765352223018</c:v>
                </c:pt>
                <c:pt idx="47">
                  <c:v>53.96517843897627</c:v>
                </c:pt>
                <c:pt idx="48">
                  <c:v>53.98369644467157</c:v>
                </c:pt>
                <c:pt idx="49">
                  <c:v>54.00227303266355</c:v>
                </c:pt>
                <c:pt idx="50">
                  <c:v>54.02391490957413</c:v>
                </c:pt>
                <c:pt idx="51">
                  <c:v>54.04588942156642</c:v>
                </c:pt>
                <c:pt idx="52">
                  <c:v>54.06926707689873</c:v>
                </c:pt>
                <c:pt idx="53">
                  <c:v>54.09497111814306</c:v>
                </c:pt>
                <c:pt idx="54">
                  <c:v>54.1231863997798</c:v>
                </c:pt>
                <c:pt idx="55">
                  <c:v>54.15347009491999</c:v>
                </c:pt>
                <c:pt idx="56">
                  <c:v>54.18578512968454</c:v>
                </c:pt>
                <c:pt idx="57">
                  <c:v>54.2204265503611</c:v>
                </c:pt>
                <c:pt idx="58">
                  <c:v>54.25580687404425</c:v>
                </c:pt>
                <c:pt idx="59">
                  <c:v>54.29092871040384</c:v>
                </c:pt>
                <c:pt idx="60">
                  <c:v>54.32877259831463</c:v>
                </c:pt>
                <c:pt idx="61">
                  <c:v>54.36734223718654</c:v>
                </c:pt>
                <c:pt idx="62">
                  <c:v>54.40457896757385</c:v>
                </c:pt>
                <c:pt idx="63">
                  <c:v>54.43848369999866</c:v>
                </c:pt>
                <c:pt idx="64">
                  <c:v>54.46933132292662</c:v>
                </c:pt>
                <c:pt idx="65">
                  <c:v>54.49994395173881</c:v>
                </c:pt>
                <c:pt idx="66">
                  <c:v>54.52114916494879</c:v>
                </c:pt>
                <c:pt idx="67">
                  <c:v>54.5391792251061</c:v>
                </c:pt>
                <c:pt idx="68">
                  <c:v>54.56489195335541</c:v>
                </c:pt>
                <c:pt idx="69">
                  <c:v>54.59076152651455</c:v>
                </c:pt>
                <c:pt idx="70">
                  <c:v>54.61247607580803</c:v>
                </c:pt>
                <c:pt idx="71">
                  <c:v>54.62247097669967</c:v>
                </c:pt>
                <c:pt idx="72">
                  <c:v>54.63403378019167</c:v>
                </c:pt>
                <c:pt idx="73">
                  <c:v>54.65472965731816</c:v>
                </c:pt>
                <c:pt idx="74">
                  <c:v>54.6733482957608</c:v>
                </c:pt>
                <c:pt idx="75">
                  <c:v>54.69208443126131</c:v>
                </c:pt>
                <c:pt idx="76">
                  <c:v>54.7123884693622</c:v>
                </c:pt>
                <c:pt idx="77">
                  <c:v>54.73183013370798</c:v>
                </c:pt>
                <c:pt idx="78">
                  <c:v>54.74911586366602</c:v>
                </c:pt>
                <c:pt idx="79">
                  <c:v>54.76698962541144</c:v>
                </c:pt>
                <c:pt idx="80">
                  <c:v>54.78564761170601</c:v>
                </c:pt>
                <c:pt idx="81">
                  <c:v>54.80528546881357</c:v>
                </c:pt>
                <c:pt idx="82">
                  <c:v>54.82421779707587</c:v>
                </c:pt>
                <c:pt idx="83">
                  <c:v>54.84315012533816</c:v>
                </c:pt>
                <c:pt idx="84">
                  <c:v>54.86294482735556</c:v>
                </c:pt>
                <c:pt idx="85">
                  <c:v>54.88191650346979</c:v>
                </c:pt>
                <c:pt idx="86">
                  <c:v>54.9006526389703</c:v>
                </c:pt>
                <c:pt idx="87">
                  <c:v>54.9201331046701</c:v>
                </c:pt>
                <c:pt idx="88">
                  <c:v>54.93824186053128</c:v>
                </c:pt>
                <c:pt idx="89">
                  <c:v>54.95635061639248</c:v>
                </c:pt>
                <c:pt idx="90">
                  <c:v>54.97457686931156</c:v>
                </c:pt>
                <c:pt idx="91">
                  <c:v>54.99425352777312</c:v>
                </c:pt>
                <c:pt idx="92">
                  <c:v>55.01702664358347</c:v>
                </c:pt>
                <c:pt idx="93">
                  <c:v>55.03842804955522</c:v>
                </c:pt>
                <c:pt idx="94">
                  <c:v>55.0579872109589</c:v>
                </c:pt>
                <c:pt idx="95">
                  <c:v>55.07801636059412</c:v>
                </c:pt>
                <c:pt idx="96">
                  <c:v>55.10112459853121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05272"/>
        <c:axId val="-209360767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8384.0</c:v>
                </c:pt>
                <c:pt idx="1">
                  <c:v>15057.0</c:v>
                </c:pt>
                <c:pt idx="2">
                  <c:v>33669.0</c:v>
                </c:pt>
                <c:pt idx="3">
                  <c:v>6028.0</c:v>
                </c:pt>
                <c:pt idx="4">
                  <c:v>13163.0</c:v>
                </c:pt>
                <c:pt idx="5">
                  <c:v>23935.0</c:v>
                </c:pt>
                <c:pt idx="6">
                  <c:v>4646.0</c:v>
                </c:pt>
                <c:pt idx="7">
                  <c:v>6045.0</c:v>
                </c:pt>
                <c:pt idx="8">
                  <c:v>6443.0</c:v>
                </c:pt>
                <c:pt idx="9">
                  <c:v>7318.0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0.00881263501974234</c:v>
                  </c:pt>
                  <c:pt idx="1">
                    <c:v>0.0160426631982625</c:v>
                  </c:pt>
                  <c:pt idx="2">
                    <c:v>0.0627939315481161</c:v>
                  </c:pt>
                  <c:pt idx="3">
                    <c:v>0.0261180793338496</c:v>
                  </c:pt>
                  <c:pt idx="4">
                    <c:v>0.0275130749559855</c:v>
                  </c:pt>
                  <c:pt idx="5">
                    <c:v>0.018501257221627</c:v>
                  </c:pt>
                  <c:pt idx="6">
                    <c:v>0.0114590353161413</c:v>
                  </c:pt>
                  <c:pt idx="7">
                    <c:v>0.00651497660046156</c:v>
                  </c:pt>
                  <c:pt idx="8">
                    <c:v>0.0268419810468998</c:v>
                  </c:pt>
                  <c:pt idx="9">
                    <c:v>0.0309050082977029</c:v>
                  </c:pt>
                  <c:pt idx="10">
                    <c:v>0.0350423547504125</c:v>
                  </c:pt>
                  <c:pt idx="11">
                    <c:v>0.0353567652119445</c:v>
                  </c:pt>
                  <c:pt idx="12">
                    <c:v>0.0279780216770524</c:v>
                  </c:pt>
                  <c:pt idx="13">
                    <c:v>0.0777804094939189</c:v>
                  </c:pt>
                  <c:pt idx="14">
                    <c:v>0.00435718264813874</c:v>
                  </c:pt>
                  <c:pt idx="15">
                    <c:v>0.0708884196194935</c:v>
                  </c:pt>
                  <c:pt idx="16">
                    <c:v>0.0324322908861331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0.00881263501974234</c:v>
                  </c:pt>
                  <c:pt idx="1">
                    <c:v>0.0160426631982625</c:v>
                  </c:pt>
                  <c:pt idx="2">
                    <c:v>0.0627939315481161</c:v>
                  </c:pt>
                  <c:pt idx="3">
                    <c:v>0.0261180793338496</c:v>
                  </c:pt>
                  <c:pt idx="4">
                    <c:v>0.0275130749559855</c:v>
                  </c:pt>
                  <c:pt idx="5">
                    <c:v>0.018501257221627</c:v>
                  </c:pt>
                  <c:pt idx="6">
                    <c:v>0.0114590353161413</c:v>
                  </c:pt>
                  <c:pt idx="7">
                    <c:v>0.00651497660046156</c:v>
                  </c:pt>
                  <c:pt idx="8">
                    <c:v>0.0268419810468998</c:v>
                  </c:pt>
                  <c:pt idx="9">
                    <c:v>0.0309050082977029</c:v>
                  </c:pt>
                  <c:pt idx="10">
                    <c:v>0.0350423547504125</c:v>
                  </c:pt>
                  <c:pt idx="11">
                    <c:v>0.0353567652119445</c:v>
                  </c:pt>
                  <c:pt idx="12">
                    <c:v>0.0279780216770524</c:v>
                  </c:pt>
                  <c:pt idx="13">
                    <c:v>0.0777804094939189</c:v>
                  </c:pt>
                  <c:pt idx="14">
                    <c:v>0.00435718264813874</c:v>
                  </c:pt>
                  <c:pt idx="15">
                    <c:v>0.0708884196194935</c:v>
                  </c:pt>
                  <c:pt idx="16">
                    <c:v>0.0324322908861331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8.085026992303127</c:v>
                </c:pt>
                <c:pt idx="1">
                  <c:v>8.338193222142483</c:v>
                </c:pt>
                <c:pt idx="2">
                  <c:v>8.67819529558378</c:v>
                </c:pt>
                <c:pt idx="3">
                  <c:v>8.9227305874827</c:v>
                </c:pt>
                <c:pt idx="4">
                  <c:v>9.285711317139178</c:v>
                </c:pt>
                <c:pt idx="5">
                  <c:v>9.534629729991538</c:v>
                </c:pt>
                <c:pt idx="6">
                  <c:v>9.848307126915319</c:v>
                </c:pt>
                <c:pt idx="7">
                  <c:v>9.964980581653277</c:v>
                </c:pt>
                <c:pt idx="8">
                  <c:v>10.01853446070883</c:v>
                </c:pt>
                <c:pt idx="9">
                  <c:v>10.02805381745844</c:v>
                </c:pt>
                <c:pt idx="10">
                  <c:v>10.04007549295221</c:v>
                </c:pt>
                <c:pt idx="11">
                  <c:v>10.05383274376756</c:v>
                </c:pt>
                <c:pt idx="12">
                  <c:v>10.06038571708969</c:v>
                </c:pt>
                <c:pt idx="13">
                  <c:v>10.19818032027292</c:v>
                </c:pt>
                <c:pt idx="14">
                  <c:v>10.01230554618977</c:v>
                </c:pt>
                <c:pt idx="15">
                  <c:v>9.944165191960073</c:v>
                </c:pt>
                <c:pt idx="16">
                  <c:v>10.03950047618989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0.0243647506348282</c:v>
                  </c:pt>
                  <c:pt idx="1">
                    <c:v>0.0687757374823609</c:v>
                  </c:pt>
                  <c:pt idx="2">
                    <c:v>0.0562115121574547</c:v>
                  </c:pt>
                  <c:pt idx="3">
                    <c:v>0.0379595372647279</c:v>
                  </c:pt>
                  <c:pt idx="4">
                    <c:v>0.0278169697022162</c:v>
                  </c:pt>
                  <c:pt idx="5">
                    <c:v>0.0219921276844623</c:v>
                  </c:pt>
                  <c:pt idx="6">
                    <c:v>0.0318158242101663</c:v>
                  </c:pt>
                  <c:pt idx="7">
                    <c:v>0.0577842325991773</c:v>
                  </c:pt>
                  <c:pt idx="8">
                    <c:v>0.0227348146441214</c:v>
                  </c:pt>
                  <c:pt idx="9">
                    <c:v>0.0368986646751302</c:v>
                  </c:pt>
                  <c:pt idx="10">
                    <c:v>0.0349640480327202</c:v>
                  </c:pt>
                  <c:pt idx="11">
                    <c:v>0.147965473142509</c:v>
                  </c:pt>
                  <c:pt idx="12">
                    <c:v>0.0149437917862589</c:v>
                  </c:pt>
                  <c:pt idx="13">
                    <c:v>0.0533961518305029</c:v>
                  </c:pt>
                  <c:pt idx="14">
                    <c:v>0.0222704715150185</c:v>
                  </c:pt>
                  <c:pt idx="15">
                    <c:v>0.0109338193306072</c:v>
                  </c:pt>
                  <c:pt idx="16">
                    <c:v>0.0371005485469374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0.0243647506348282</c:v>
                  </c:pt>
                  <c:pt idx="1">
                    <c:v>0.0687757374823609</c:v>
                  </c:pt>
                  <c:pt idx="2">
                    <c:v>0.0562115121574547</c:v>
                  </c:pt>
                  <c:pt idx="3">
                    <c:v>0.0379595372647279</c:v>
                  </c:pt>
                  <c:pt idx="4">
                    <c:v>0.0278169697022162</c:v>
                  </c:pt>
                  <c:pt idx="5">
                    <c:v>0.0219921276844623</c:v>
                  </c:pt>
                  <c:pt idx="6">
                    <c:v>0.0318158242101663</c:v>
                  </c:pt>
                  <c:pt idx="7">
                    <c:v>0.0577842325991773</c:v>
                  </c:pt>
                  <c:pt idx="8">
                    <c:v>0.0227348146441214</c:v>
                  </c:pt>
                  <c:pt idx="9">
                    <c:v>0.0368986646751302</c:v>
                  </c:pt>
                  <c:pt idx="10">
                    <c:v>0.0349640480327202</c:v>
                  </c:pt>
                  <c:pt idx="11">
                    <c:v>0.147965473142509</c:v>
                  </c:pt>
                  <c:pt idx="12">
                    <c:v>0.0149437917862589</c:v>
                  </c:pt>
                  <c:pt idx="13">
                    <c:v>0.0533961518305029</c:v>
                  </c:pt>
                  <c:pt idx="14">
                    <c:v>0.0222704715150185</c:v>
                  </c:pt>
                  <c:pt idx="15">
                    <c:v>0.0109338193306072</c:v>
                  </c:pt>
                  <c:pt idx="16">
                    <c:v>0.0371005485469374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8.308153600789998</c:v>
                </c:pt>
                <c:pt idx="1">
                  <c:v>8.653142119212688</c:v>
                </c:pt>
                <c:pt idx="2">
                  <c:v>8.93854198211344</c:v>
                </c:pt>
                <c:pt idx="3">
                  <c:v>9.116816812588638</c:v>
                </c:pt>
                <c:pt idx="4">
                  <c:v>9.509371725937129</c:v>
                </c:pt>
                <c:pt idx="5">
                  <c:v>9.777136029283635</c:v>
                </c:pt>
                <c:pt idx="6">
                  <c:v>9.924848098092247</c:v>
                </c:pt>
                <c:pt idx="7">
                  <c:v>9.97486686676589</c:v>
                </c:pt>
                <c:pt idx="8">
                  <c:v>10.06822658826954</c:v>
                </c:pt>
                <c:pt idx="9">
                  <c:v>10.05977153648901</c:v>
                </c:pt>
                <c:pt idx="10">
                  <c:v>10.09356258988109</c:v>
                </c:pt>
                <c:pt idx="11">
                  <c:v>10.031428720298</c:v>
                </c:pt>
                <c:pt idx="12">
                  <c:v>10.08760292851768</c:v>
                </c:pt>
                <c:pt idx="13">
                  <c:v>10.06567794701699</c:v>
                </c:pt>
                <c:pt idx="14">
                  <c:v>10.087409938669</c:v>
                </c:pt>
                <c:pt idx="15">
                  <c:v>9.969920444599047</c:v>
                </c:pt>
                <c:pt idx="16">
                  <c:v>9.47383282890857</c:v>
                </c:pt>
              </c:numCache>
            </c:numRef>
          </c:yVal>
          <c:smooth val="0"/>
        </c:ser>
        <c:ser>
          <c:idx val="7"/>
          <c:order val="10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0.0274313338202945</c:v>
                  </c:pt>
                  <c:pt idx="1">
                    <c:v>0.0260054246880298</c:v>
                  </c:pt>
                  <c:pt idx="2">
                    <c:v>0.0484136494305849</c:v>
                  </c:pt>
                  <c:pt idx="3">
                    <c:v>0.133544884071702</c:v>
                  </c:pt>
                  <c:pt idx="4">
                    <c:v>0.12636115578103</c:v>
                  </c:pt>
                  <c:pt idx="5">
                    <c:v>0.0393945383384713</c:v>
                  </c:pt>
                  <c:pt idx="6">
                    <c:v>0.029267112269216</c:v>
                  </c:pt>
                  <c:pt idx="7">
                    <c:v>0.0650512574055051</c:v>
                  </c:pt>
                  <c:pt idx="8">
                    <c:v>0.0384215372161294</c:v>
                  </c:pt>
                  <c:pt idx="9">
                    <c:v>0.072583227297704</c:v>
                  </c:pt>
                  <c:pt idx="10">
                    <c:v>0.0342768195483474</c:v>
                  </c:pt>
                  <c:pt idx="11">
                    <c:v>0.0518075136345442</c:v>
                  </c:pt>
                  <c:pt idx="12">
                    <c:v>0.0622736793995146</c:v>
                  </c:pt>
                  <c:pt idx="13">
                    <c:v>0.0689864236714137</c:v>
                  </c:pt>
                  <c:pt idx="14">
                    <c:v>0.0180830676179458</c:v>
                  </c:pt>
                  <c:pt idx="15">
                    <c:v>0.0490416999225278</c:v>
                  </c:pt>
                  <c:pt idx="16">
                    <c:v>0.0918309923795959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0.0274313338202945</c:v>
                  </c:pt>
                  <c:pt idx="1">
                    <c:v>0.0260054246880298</c:v>
                  </c:pt>
                  <c:pt idx="2">
                    <c:v>0.0484136494305849</c:v>
                  </c:pt>
                  <c:pt idx="3">
                    <c:v>0.133544884071702</c:v>
                  </c:pt>
                  <c:pt idx="4">
                    <c:v>0.12636115578103</c:v>
                  </c:pt>
                  <c:pt idx="5">
                    <c:v>0.0393945383384713</c:v>
                  </c:pt>
                  <c:pt idx="6">
                    <c:v>0.029267112269216</c:v>
                  </c:pt>
                  <c:pt idx="7">
                    <c:v>0.0650512574055051</c:v>
                  </c:pt>
                  <c:pt idx="8">
                    <c:v>0.0384215372161294</c:v>
                  </c:pt>
                  <c:pt idx="9">
                    <c:v>0.072583227297704</c:v>
                  </c:pt>
                  <c:pt idx="10">
                    <c:v>0.0342768195483474</c:v>
                  </c:pt>
                  <c:pt idx="11">
                    <c:v>0.0518075136345442</c:v>
                  </c:pt>
                  <c:pt idx="12">
                    <c:v>0.0622736793995146</c:v>
                  </c:pt>
                  <c:pt idx="13">
                    <c:v>0.0689864236714137</c:v>
                  </c:pt>
                  <c:pt idx="14">
                    <c:v>0.0180830676179458</c:v>
                  </c:pt>
                  <c:pt idx="15">
                    <c:v>0.0490416999225278</c:v>
                  </c:pt>
                  <c:pt idx="16">
                    <c:v>0.0918309923795959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7.616482798330954</c:v>
                </c:pt>
                <c:pt idx="1">
                  <c:v>7.966751602981014</c:v>
                </c:pt>
                <c:pt idx="2">
                  <c:v>8.217998010669713</c:v>
                </c:pt>
                <c:pt idx="3">
                  <c:v>8.384450349337958</c:v>
                </c:pt>
                <c:pt idx="4">
                  <c:v>8.6113697742685</c:v>
                </c:pt>
                <c:pt idx="5">
                  <c:v>8.517349344199355</c:v>
                </c:pt>
                <c:pt idx="6">
                  <c:v>8.767760113390576</c:v>
                </c:pt>
                <c:pt idx="7">
                  <c:v>8.954364282815508</c:v>
                </c:pt>
                <c:pt idx="8">
                  <c:v>9.116150602952807</c:v>
                </c:pt>
                <c:pt idx="9">
                  <c:v>9.274744748786346</c:v>
                </c:pt>
                <c:pt idx="10">
                  <c:v>9.37402503055634</c:v>
                </c:pt>
                <c:pt idx="11">
                  <c:v>9.416929944234152</c:v>
                </c:pt>
                <c:pt idx="12">
                  <c:v>9.57474619846138</c:v>
                </c:pt>
                <c:pt idx="13">
                  <c:v>9.648162477757808</c:v>
                </c:pt>
                <c:pt idx="14">
                  <c:v>9.789397129627737</c:v>
                </c:pt>
                <c:pt idx="15">
                  <c:v>9.68774283571816</c:v>
                </c:pt>
                <c:pt idx="16">
                  <c:v>9.431578669496231</c:v>
                </c:pt>
              </c:numCache>
            </c:numRef>
          </c:yVal>
          <c:smooth val="0"/>
        </c:ser>
        <c:ser>
          <c:idx val="11"/>
          <c:order val="11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8.388559931636306</c:v>
                </c:pt>
                <c:pt idx="1">
                  <c:v>8.734445413187612</c:v>
                </c:pt>
                <c:pt idx="2">
                  <c:v>9.014201172056792</c:v>
                </c:pt>
                <c:pt idx="3">
                  <c:v>9.190607291952073</c:v>
                </c:pt>
                <c:pt idx="4">
                  <c:v>9.56109253827949</c:v>
                </c:pt>
                <c:pt idx="5">
                  <c:v>9.80038070288631</c:v>
                </c:pt>
                <c:pt idx="6">
                  <c:v>9.95408920070166</c:v>
                </c:pt>
                <c:pt idx="7">
                  <c:v>10.01443516553205</c:v>
                </c:pt>
                <c:pt idx="8">
                  <c:v>10.11420121824703</c:v>
                </c:pt>
                <c:pt idx="9">
                  <c:v>10.1257427457133</c:v>
                </c:pt>
                <c:pt idx="10">
                  <c:v>10.16938284270637</c:v>
                </c:pt>
                <c:pt idx="11">
                  <c:v>10.12587931427813</c:v>
                </c:pt>
                <c:pt idx="12">
                  <c:v>10.20387966575982</c:v>
                </c:pt>
                <c:pt idx="13">
                  <c:v>10.20630244632669</c:v>
                </c:pt>
                <c:pt idx="14">
                  <c:v>10.26450925743674</c:v>
                </c:pt>
                <c:pt idx="15">
                  <c:v>10.15238719605247</c:v>
                </c:pt>
                <c:pt idx="16">
                  <c:v>9.75424942576232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80008"/>
        <c:axId val="-2111528808"/>
      </c:scatterChart>
      <c:valAx>
        <c:axId val="-211140527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3607672"/>
        <c:crosses val="autoZero"/>
        <c:crossBetween val="midCat"/>
        <c:majorUnit val="6.0"/>
      </c:valAx>
      <c:valAx>
        <c:axId val="-20936076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1405272"/>
        <c:crosses val="autoZero"/>
        <c:crossBetween val="midCat"/>
      </c:valAx>
      <c:valAx>
        <c:axId val="-2111528808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3280008"/>
        <c:crosses val="max"/>
        <c:crossBetween val="midCat"/>
        <c:majorUnit val="1.0"/>
        <c:minorUnit val="0.2"/>
      </c:valAx>
      <c:valAx>
        <c:axId val="-2093280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15288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0.0256532867441648</c:v>
                  </c:pt>
                  <c:pt idx="1">
                    <c:v>0.0128432797448088</c:v>
                  </c:pt>
                  <c:pt idx="2">
                    <c:v>0.0128689491913341</c:v>
                  </c:pt>
                  <c:pt idx="3">
                    <c:v>0.0128953560638197</c:v>
                  </c:pt>
                  <c:pt idx="4">
                    <c:v>0.0342860920691771</c:v>
                  </c:pt>
                  <c:pt idx="5">
                    <c:v>0.0471283132723885</c:v>
                  </c:pt>
                  <c:pt idx="6">
                    <c:v>0.0263741149568215</c:v>
                  </c:pt>
                  <c:pt idx="7">
                    <c:v>0.0133173247635317</c:v>
                  </c:pt>
                  <c:pt idx="8">
                    <c:v>0.0134108891061328</c:v>
                  </c:pt>
                  <c:pt idx="9">
                    <c:v>0.0269735586871935</c:v>
                  </c:pt>
                  <c:pt idx="10">
                    <c:v>3.97371590604295E-16</c:v>
                  </c:pt>
                  <c:pt idx="11">
                    <c:v>0.0357432642289016</c:v>
                  </c:pt>
                  <c:pt idx="12">
                    <c:v>0.0540873758380985</c:v>
                  </c:pt>
                  <c:pt idx="13">
                    <c:v>0.0234424500764599</c:v>
                  </c:pt>
                  <c:pt idx="14">
                    <c:v>0.0234654328706525</c:v>
                  </c:pt>
                  <c:pt idx="15">
                    <c:v>0.0406433219535669</c:v>
                  </c:pt>
                  <c:pt idx="16">
                    <c:v>0.0358440407815566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0.0256532867441648</c:v>
                  </c:pt>
                  <c:pt idx="1">
                    <c:v>0.0128432797448088</c:v>
                  </c:pt>
                  <c:pt idx="2">
                    <c:v>0.0128689491913341</c:v>
                  </c:pt>
                  <c:pt idx="3">
                    <c:v>0.0128953560638197</c:v>
                  </c:pt>
                  <c:pt idx="4">
                    <c:v>0.0342860920691771</c:v>
                  </c:pt>
                  <c:pt idx="5">
                    <c:v>0.0471283132723885</c:v>
                  </c:pt>
                  <c:pt idx="6">
                    <c:v>0.0263741149568215</c:v>
                  </c:pt>
                  <c:pt idx="7">
                    <c:v>0.0133173247635317</c:v>
                  </c:pt>
                  <c:pt idx="8">
                    <c:v>0.0134108891061328</c:v>
                  </c:pt>
                  <c:pt idx="9">
                    <c:v>0.0269735586871935</c:v>
                  </c:pt>
                  <c:pt idx="10">
                    <c:v>3.97371590604295E-16</c:v>
                  </c:pt>
                  <c:pt idx="11">
                    <c:v>0.0357432642289016</c:v>
                  </c:pt>
                  <c:pt idx="12">
                    <c:v>0.0540873758380985</c:v>
                  </c:pt>
                  <c:pt idx="13">
                    <c:v>0.0234424500764599</c:v>
                  </c:pt>
                  <c:pt idx="14">
                    <c:v>0.0234654328706525</c:v>
                  </c:pt>
                  <c:pt idx="15">
                    <c:v>0.0406433219535669</c:v>
                  </c:pt>
                  <c:pt idx="16">
                    <c:v>0.0358440407815566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0.585031814290017</c:v>
                </c:pt>
                <c:pt idx="1">
                  <c:v>0.570960468381615</c:v>
                </c:pt>
                <c:pt idx="2">
                  <c:v>0.631540758783371</c:v>
                </c:pt>
                <c:pt idx="3">
                  <c:v>0.573275571695165</c:v>
                </c:pt>
                <c:pt idx="4">
                  <c:v>0.486319513925234</c:v>
                </c:pt>
                <c:pt idx="5">
                  <c:v>0.649005002477961</c:v>
                </c:pt>
                <c:pt idx="6">
                  <c:v>0.837490630347747</c:v>
                </c:pt>
                <c:pt idx="7">
                  <c:v>1.622328578830374</c:v>
                </c:pt>
                <c:pt idx="8">
                  <c:v>2.129264619761943</c:v>
                </c:pt>
                <c:pt idx="9">
                  <c:v>2.156887004613885</c:v>
                </c:pt>
                <c:pt idx="10">
                  <c:v>2.174272089390764</c:v>
                </c:pt>
                <c:pt idx="11">
                  <c:v>2.168349879429627</c:v>
                </c:pt>
                <c:pt idx="12">
                  <c:v>2.17030158949212</c:v>
                </c:pt>
                <c:pt idx="13">
                  <c:v>2.297360107493064</c:v>
                </c:pt>
                <c:pt idx="14">
                  <c:v>2.510801317159812</c:v>
                </c:pt>
                <c:pt idx="15">
                  <c:v>2.581197615771769</c:v>
                </c:pt>
                <c:pt idx="16">
                  <c:v>2.565553993858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0.433243808939503</c:v>
                  </c:pt>
                  <c:pt idx="1">
                    <c:v>0.87102727331664</c:v>
                  </c:pt>
                  <c:pt idx="2">
                    <c:v>0.594691263217931</c:v>
                  </c:pt>
                  <c:pt idx="3">
                    <c:v>0.352996842578591</c:v>
                  </c:pt>
                  <c:pt idx="4">
                    <c:v>0.965536970324726</c:v>
                  </c:pt>
                  <c:pt idx="5">
                    <c:v>0.244899492632706</c:v>
                  </c:pt>
                  <c:pt idx="6">
                    <c:v>0.603584537260196</c:v>
                  </c:pt>
                  <c:pt idx="7">
                    <c:v>0.144056887913598</c:v>
                  </c:pt>
                  <c:pt idx="8">
                    <c:v>0.12070470181653</c:v>
                  </c:pt>
                  <c:pt idx="9">
                    <c:v>0.457334608872955</c:v>
                  </c:pt>
                  <c:pt idx="10">
                    <c:v>0.195266236141727</c:v>
                  </c:pt>
                  <c:pt idx="11">
                    <c:v>0.372027897493858</c:v>
                  </c:pt>
                  <c:pt idx="12">
                    <c:v>0.710804991818169</c:v>
                  </c:pt>
                  <c:pt idx="13">
                    <c:v>0.246995246895814</c:v>
                  </c:pt>
                  <c:pt idx="14">
                    <c:v>0.347275970968717</c:v>
                  </c:pt>
                  <c:pt idx="15">
                    <c:v>0.386132991340374</c:v>
                  </c:pt>
                  <c:pt idx="16">
                    <c:v>0.422889845291967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0.433243808939503</c:v>
                  </c:pt>
                  <c:pt idx="1">
                    <c:v>0.87102727331664</c:v>
                  </c:pt>
                  <c:pt idx="2">
                    <c:v>0.594691263217931</c:v>
                  </c:pt>
                  <c:pt idx="3">
                    <c:v>0.352996842578591</c:v>
                  </c:pt>
                  <c:pt idx="4">
                    <c:v>0.965536970324726</c:v>
                  </c:pt>
                  <c:pt idx="5">
                    <c:v>0.244899492632706</c:v>
                  </c:pt>
                  <c:pt idx="6">
                    <c:v>0.603584537260196</c:v>
                  </c:pt>
                  <c:pt idx="7">
                    <c:v>0.144056887913598</c:v>
                  </c:pt>
                  <c:pt idx="8">
                    <c:v>0.12070470181653</c:v>
                  </c:pt>
                  <c:pt idx="9">
                    <c:v>0.457334608872955</c:v>
                  </c:pt>
                  <c:pt idx="10">
                    <c:v>0.195266236141727</c:v>
                  </c:pt>
                  <c:pt idx="11">
                    <c:v>0.372027897493858</c:v>
                  </c:pt>
                  <c:pt idx="12">
                    <c:v>0.710804991818169</c:v>
                  </c:pt>
                  <c:pt idx="13">
                    <c:v>0.246995246895814</c:v>
                  </c:pt>
                  <c:pt idx="14">
                    <c:v>0.347275970968717</c:v>
                  </c:pt>
                  <c:pt idx="15">
                    <c:v>0.386132991340374</c:v>
                  </c:pt>
                  <c:pt idx="16">
                    <c:v>0.422889845291967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47.99008345176014</c:v>
                </c:pt>
                <c:pt idx="1">
                  <c:v>47.32931784339387</c:v>
                </c:pt>
                <c:pt idx="2">
                  <c:v>48.47158623817314</c:v>
                </c:pt>
                <c:pt idx="3">
                  <c:v>47.61057311401861</c:v>
                </c:pt>
                <c:pt idx="4">
                  <c:v>46.47602064263589</c:v>
                </c:pt>
                <c:pt idx="5">
                  <c:v>45.88191780800675</c:v>
                </c:pt>
                <c:pt idx="6">
                  <c:v>40.81851358393541</c:v>
                </c:pt>
                <c:pt idx="7">
                  <c:v>36.077669321055</c:v>
                </c:pt>
                <c:pt idx="8">
                  <c:v>35.0883571654154</c:v>
                </c:pt>
                <c:pt idx="9">
                  <c:v>36.88715122381193</c:v>
                </c:pt>
                <c:pt idx="10">
                  <c:v>38.19215708515601</c:v>
                </c:pt>
                <c:pt idx="11">
                  <c:v>38.79845679397821</c:v>
                </c:pt>
                <c:pt idx="12">
                  <c:v>38.41178612278478</c:v>
                </c:pt>
                <c:pt idx="13">
                  <c:v>39.60821790650495</c:v>
                </c:pt>
                <c:pt idx="14">
                  <c:v>39.7995832729201</c:v>
                </c:pt>
                <c:pt idx="15">
                  <c:v>40.80865289599532</c:v>
                </c:pt>
                <c:pt idx="16">
                  <c:v>39.20118151970108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0.0779100884321961</c:v>
                </c:pt>
                <c:pt idx="1">
                  <c:v>0.254364264322454</c:v>
                </c:pt>
                <c:pt idx="2">
                  <c:v>0.465914987268571</c:v>
                </c:pt>
                <c:pt idx="3">
                  <c:v>0.708775140010134</c:v>
                </c:pt>
                <c:pt idx="4">
                  <c:v>0.990509507318123</c:v>
                </c:pt>
                <c:pt idx="5">
                  <c:v>1.32413491672839</c:v>
                </c:pt>
                <c:pt idx="6">
                  <c:v>1.737248459116071</c:v>
                </c:pt>
                <c:pt idx="7">
                  <c:v>2.264617386838001</c:v>
                </c:pt>
                <c:pt idx="8">
                  <c:v>2.905338385187107</c:v>
                </c:pt>
                <c:pt idx="9">
                  <c:v>3.664254997934324</c:v>
                </c:pt>
                <c:pt idx="10">
                  <c:v>4.59991982207568</c:v>
                </c:pt>
                <c:pt idx="11">
                  <c:v>5.744686878058515</c:v>
                </c:pt>
                <c:pt idx="12">
                  <c:v>7.153604126055504</c:v>
                </c:pt>
                <c:pt idx="13">
                  <c:v>8.872129956558673</c:v>
                </c:pt>
                <c:pt idx="14">
                  <c:v>10.89291507914581</c:v>
                </c:pt>
                <c:pt idx="15">
                  <c:v>13.28859951905416</c:v>
                </c:pt>
                <c:pt idx="16">
                  <c:v>16.09465603761841</c:v>
                </c:pt>
                <c:pt idx="17">
                  <c:v>19.2937391831198</c:v>
                </c:pt>
                <c:pt idx="18">
                  <c:v>22.95413975403547</c:v>
                </c:pt>
                <c:pt idx="19">
                  <c:v>27.03250368718183</c:v>
                </c:pt>
                <c:pt idx="20">
                  <c:v>31.53964408224539</c:v>
                </c:pt>
                <c:pt idx="21">
                  <c:v>36.40064914416642</c:v>
                </c:pt>
                <c:pt idx="22">
                  <c:v>41.1098090342855</c:v>
                </c:pt>
                <c:pt idx="23">
                  <c:v>45.3065593682511</c:v>
                </c:pt>
                <c:pt idx="24">
                  <c:v>49.00230137433218</c:v>
                </c:pt>
                <c:pt idx="25">
                  <c:v>52.21884163991488</c:v>
                </c:pt>
                <c:pt idx="26">
                  <c:v>55.00148806634043</c:v>
                </c:pt>
                <c:pt idx="27">
                  <c:v>57.38690675125989</c:v>
                </c:pt>
                <c:pt idx="28">
                  <c:v>59.39030269650841</c:v>
                </c:pt>
                <c:pt idx="29">
                  <c:v>61.07529094993764</c:v>
                </c:pt>
                <c:pt idx="30">
                  <c:v>62.47862737861646</c:v>
                </c:pt>
                <c:pt idx="31">
                  <c:v>63.66478244950522</c:v>
                </c:pt>
                <c:pt idx="32">
                  <c:v>64.66342849714928</c:v>
                </c:pt>
                <c:pt idx="33">
                  <c:v>65.4906110903049</c:v>
                </c:pt>
                <c:pt idx="34">
                  <c:v>66.18543765320838</c:v>
                </c:pt>
                <c:pt idx="35">
                  <c:v>66.76524726235397</c:v>
                </c:pt>
                <c:pt idx="36">
                  <c:v>67.24880187973207</c:v>
                </c:pt>
                <c:pt idx="37">
                  <c:v>67.65475677058774</c:v>
                </c:pt>
                <c:pt idx="38">
                  <c:v>67.9886127631379</c:v>
                </c:pt>
                <c:pt idx="39">
                  <c:v>68.26108194502856</c:v>
                </c:pt>
                <c:pt idx="40">
                  <c:v>68.48604751415829</c:v>
                </c:pt>
                <c:pt idx="41">
                  <c:v>68.67594858909194</c:v>
                </c:pt>
                <c:pt idx="42">
                  <c:v>68.83719189743169</c:v>
                </c:pt>
                <c:pt idx="43">
                  <c:v>68.97258349790305</c:v>
                </c:pt>
                <c:pt idx="44">
                  <c:v>69.08836689560484</c:v>
                </c:pt>
                <c:pt idx="45">
                  <c:v>69.18882350476454</c:v>
                </c:pt>
                <c:pt idx="46">
                  <c:v>69.27636207903213</c:v>
                </c:pt>
                <c:pt idx="47">
                  <c:v>69.35520783327017</c:v>
                </c:pt>
                <c:pt idx="48">
                  <c:v>69.42947066105276</c:v>
                </c:pt>
                <c:pt idx="49">
                  <c:v>69.49898778872505</c:v>
                </c:pt>
                <c:pt idx="50">
                  <c:v>69.56247268732271</c:v>
                </c:pt>
                <c:pt idx="51">
                  <c:v>69.6204552043675</c:v>
                </c:pt>
                <c:pt idx="52">
                  <c:v>69.67396877423869</c:v>
                </c:pt>
                <c:pt idx="53">
                  <c:v>69.72507254196994</c:v>
                </c:pt>
                <c:pt idx="54">
                  <c:v>69.77572369942745</c:v>
                </c:pt>
                <c:pt idx="55">
                  <c:v>69.82662253099382</c:v>
                </c:pt>
                <c:pt idx="56">
                  <c:v>69.87811917886027</c:v>
                </c:pt>
                <c:pt idx="57">
                  <c:v>69.9311966157373</c:v>
                </c:pt>
                <c:pt idx="58">
                  <c:v>69.98593156395806</c:v>
                </c:pt>
                <c:pt idx="59">
                  <c:v>70.04446864444403</c:v>
                </c:pt>
                <c:pt idx="60">
                  <c:v>70.10970350841468</c:v>
                </c:pt>
                <c:pt idx="61">
                  <c:v>70.18055532731667</c:v>
                </c:pt>
                <c:pt idx="62">
                  <c:v>70.25537963977114</c:v>
                </c:pt>
                <c:pt idx="63">
                  <c:v>70.33359551846397</c:v>
                </c:pt>
                <c:pt idx="64">
                  <c:v>70.41384273001338</c:v>
                </c:pt>
                <c:pt idx="65">
                  <c:v>70.49566768112616</c:v>
                </c:pt>
                <c:pt idx="66">
                  <c:v>70.57907911576939</c:v>
                </c:pt>
                <c:pt idx="67">
                  <c:v>70.6626993126271</c:v>
                </c:pt>
                <c:pt idx="68">
                  <c:v>70.7455396569192</c:v>
                </c:pt>
                <c:pt idx="69">
                  <c:v>70.82739138643123</c:v>
                </c:pt>
                <c:pt idx="70">
                  <c:v>70.9079194979237</c:v>
                </c:pt>
                <c:pt idx="71">
                  <c:v>70.98771311617989</c:v>
                </c:pt>
                <c:pt idx="72">
                  <c:v>71.06460483035522</c:v>
                </c:pt>
                <c:pt idx="73">
                  <c:v>71.1370436792856</c:v>
                </c:pt>
                <c:pt idx="74">
                  <c:v>71.20493894431237</c:v>
                </c:pt>
                <c:pt idx="75">
                  <c:v>71.26857207187652</c:v>
                </c:pt>
                <c:pt idx="76">
                  <c:v>71.32934865468914</c:v>
                </c:pt>
                <c:pt idx="77">
                  <c:v>71.38675170569554</c:v>
                </c:pt>
                <c:pt idx="78">
                  <c:v>71.44060907804346</c:v>
                </c:pt>
                <c:pt idx="79">
                  <c:v>71.49152847744625</c:v>
                </c:pt>
                <c:pt idx="80">
                  <c:v>71.5395459727682</c:v>
                </c:pt>
                <c:pt idx="81">
                  <c:v>71.58389045541078</c:v>
                </c:pt>
                <c:pt idx="82">
                  <c:v>71.62551447128982</c:v>
                </c:pt>
                <c:pt idx="83">
                  <c:v>71.66463607308482</c:v>
                </c:pt>
                <c:pt idx="84">
                  <c:v>71.70096452388977</c:v>
                </c:pt>
                <c:pt idx="85">
                  <c:v>71.73420034283153</c:v>
                </c:pt>
                <c:pt idx="86">
                  <c:v>71.76468837011256</c:v>
                </c:pt>
                <c:pt idx="87">
                  <c:v>71.79391617313551</c:v>
                </c:pt>
                <c:pt idx="88">
                  <c:v>71.82198321452613</c:v>
                </c:pt>
                <c:pt idx="89">
                  <c:v>71.84894359758081</c:v>
                </c:pt>
                <c:pt idx="90">
                  <c:v>71.87455303771877</c:v>
                </c:pt>
                <c:pt idx="91">
                  <c:v>71.89901100668943</c:v>
                </c:pt>
                <c:pt idx="92">
                  <c:v>71.92207212691609</c:v>
                </c:pt>
                <c:pt idx="93">
                  <c:v>71.94383640752244</c:v>
                </c:pt>
                <c:pt idx="94">
                  <c:v>71.96498423844833</c:v>
                </c:pt>
                <c:pt idx="95">
                  <c:v>71.98496201727685</c:v>
                </c:pt>
                <c:pt idx="96">
                  <c:v>72.00527593836161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0.293334986051391</c:v>
                  </c:pt>
                  <c:pt idx="1">
                    <c:v>0.784518368404461</c:v>
                  </c:pt>
                  <c:pt idx="2">
                    <c:v>0.40033602825697</c:v>
                  </c:pt>
                  <c:pt idx="3">
                    <c:v>0.281860154825163</c:v>
                  </c:pt>
                  <c:pt idx="4">
                    <c:v>1.010110567960742</c:v>
                  </c:pt>
                  <c:pt idx="5">
                    <c:v>0.190205000307341</c:v>
                  </c:pt>
                  <c:pt idx="6">
                    <c:v>0.290115264525037</c:v>
                  </c:pt>
                  <c:pt idx="7">
                    <c:v>0.0405030620377121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0.293334986051391</c:v>
                  </c:pt>
                  <c:pt idx="1">
                    <c:v>0.784518368404461</c:v>
                  </c:pt>
                  <c:pt idx="2">
                    <c:v>0.40033602825697</c:v>
                  </c:pt>
                  <c:pt idx="3">
                    <c:v>0.281860154825163</c:v>
                  </c:pt>
                  <c:pt idx="4">
                    <c:v>1.010110567960742</c:v>
                  </c:pt>
                  <c:pt idx="5">
                    <c:v>0.190205000307341</c:v>
                  </c:pt>
                  <c:pt idx="6">
                    <c:v>0.290115264525037</c:v>
                  </c:pt>
                  <c:pt idx="7">
                    <c:v>0.0405030620377121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47.60233547159789</c:v>
                </c:pt>
                <c:pt idx="1">
                  <c:v>46.9040317239988</c:v>
                </c:pt>
                <c:pt idx="2">
                  <c:v>47.6367479404657</c:v>
                </c:pt>
                <c:pt idx="3">
                  <c:v>45.3855569487497</c:v>
                </c:pt>
                <c:pt idx="4">
                  <c:v>40.50293367129619</c:v>
                </c:pt>
                <c:pt idx="5">
                  <c:v>32.921910736164</c:v>
                </c:pt>
                <c:pt idx="6">
                  <c:v>21.19231972339049</c:v>
                </c:pt>
                <c:pt idx="7">
                  <c:v>7.880980063038549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0.0472811327084511</c:v>
                  </c:pt>
                  <c:pt idx="1">
                    <c:v>0.0572342398217333</c:v>
                  </c:pt>
                  <c:pt idx="2">
                    <c:v>0.0602914751475128</c:v>
                  </c:pt>
                  <c:pt idx="3">
                    <c:v>0.0659183789711091</c:v>
                  </c:pt>
                  <c:pt idx="4">
                    <c:v>0.264641890993198</c:v>
                  </c:pt>
                  <c:pt idx="5">
                    <c:v>0.0925835896828986</c:v>
                  </c:pt>
                  <c:pt idx="6">
                    <c:v>0.335425750317149</c:v>
                  </c:pt>
                  <c:pt idx="7">
                    <c:v>0.249939627088064</c:v>
                  </c:pt>
                  <c:pt idx="8">
                    <c:v>0.201971743530402</c:v>
                  </c:pt>
                  <c:pt idx="9">
                    <c:v>0.951693941877231</c:v>
                  </c:pt>
                  <c:pt idx="10">
                    <c:v>0.228010483139897</c:v>
                  </c:pt>
                  <c:pt idx="11">
                    <c:v>0.326553446565482</c:v>
                  </c:pt>
                  <c:pt idx="12">
                    <c:v>0.832554886164328</c:v>
                  </c:pt>
                  <c:pt idx="13">
                    <c:v>0.376664467120971</c:v>
                  </c:pt>
                  <c:pt idx="14">
                    <c:v>0.390775792843556</c:v>
                  </c:pt>
                  <c:pt idx="15">
                    <c:v>0.472549827737748</c:v>
                  </c:pt>
                  <c:pt idx="16">
                    <c:v>0.485367063727086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0.0472811327084511</c:v>
                  </c:pt>
                  <c:pt idx="1">
                    <c:v>0.0572342398217333</c:v>
                  </c:pt>
                  <c:pt idx="2">
                    <c:v>0.0602914751475128</c:v>
                  </c:pt>
                  <c:pt idx="3">
                    <c:v>0.0659183789711091</c:v>
                  </c:pt>
                  <c:pt idx="4">
                    <c:v>0.264641890993198</c:v>
                  </c:pt>
                  <c:pt idx="5">
                    <c:v>0.0925835896828986</c:v>
                  </c:pt>
                  <c:pt idx="6">
                    <c:v>0.335425750317149</c:v>
                  </c:pt>
                  <c:pt idx="7">
                    <c:v>0.249939627088064</c:v>
                  </c:pt>
                  <c:pt idx="8">
                    <c:v>0.201971743530402</c:v>
                  </c:pt>
                  <c:pt idx="9">
                    <c:v>0.951693941877231</c:v>
                  </c:pt>
                  <c:pt idx="10">
                    <c:v>0.228010483139897</c:v>
                  </c:pt>
                  <c:pt idx="11">
                    <c:v>0.326553446565482</c:v>
                  </c:pt>
                  <c:pt idx="12">
                    <c:v>0.832554886164328</c:v>
                  </c:pt>
                  <c:pt idx="13">
                    <c:v>0.376664467120971</c:v>
                  </c:pt>
                  <c:pt idx="14">
                    <c:v>0.390775792843556</c:v>
                  </c:pt>
                  <c:pt idx="15">
                    <c:v>0.472549827737748</c:v>
                  </c:pt>
                  <c:pt idx="16">
                    <c:v>0.485367063727086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1.483923936121847</c:v>
                </c:pt>
                <c:pt idx="1">
                  <c:v>2.372809260625867</c:v>
                </c:pt>
                <c:pt idx="2">
                  <c:v>4.010694271069828</c:v>
                </c:pt>
                <c:pt idx="3">
                  <c:v>5.944658638356818</c:v>
                </c:pt>
                <c:pt idx="4">
                  <c:v>10.71641814898395</c:v>
                </c:pt>
                <c:pt idx="5">
                  <c:v>19.04907357725638</c:v>
                </c:pt>
                <c:pt idx="6">
                  <c:v>29.46160020953451</c:v>
                </c:pt>
                <c:pt idx="7">
                  <c:v>43.09219048382873</c:v>
                </c:pt>
                <c:pt idx="8">
                  <c:v>50.23428070255142</c:v>
                </c:pt>
                <c:pt idx="9">
                  <c:v>50.82105534728904</c:v>
                </c:pt>
                <c:pt idx="10">
                  <c:v>51.07855948745981</c:v>
                </c:pt>
                <c:pt idx="11">
                  <c:v>51.37784354117161</c:v>
                </c:pt>
                <c:pt idx="12">
                  <c:v>50.92924211743308</c:v>
                </c:pt>
                <c:pt idx="13">
                  <c:v>52.91822214930884</c:v>
                </c:pt>
                <c:pt idx="14">
                  <c:v>53.38593086063016</c:v>
                </c:pt>
                <c:pt idx="15">
                  <c:v>55.9208829401418</c:v>
                </c:pt>
                <c:pt idx="16">
                  <c:v>58.2799077459965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0.0607979062665218</c:v>
                </c:pt>
                <c:pt idx="1">
                  <c:v>0.29559611289702</c:v>
                </c:pt>
                <c:pt idx="2">
                  <c:v>0.727245991084555</c:v>
                </c:pt>
                <c:pt idx="3">
                  <c:v>1.308770376197146</c:v>
                </c:pt>
                <c:pt idx="4">
                  <c:v>2.07051326933788</c:v>
                </c:pt>
                <c:pt idx="5">
                  <c:v>3.02393220727091</c:v>
                </c:pt>
                <c:pt idx="6">
                  <c:v>4.287382311440874</c:v>
                </c:pt>
                <c:pt idx="7">
                  <c:v>5.993396808161646</c:v>
                </c:pt>
                <c:pt idx="8">
                  <c:v>7.731313355161816</c:v>
                </c:pt>
                <c:pt idx="9">
                  <c:v>9.41898384744413</c:v>
                </c:pt>
                <c:pt idx="10">
                  <c:v>11.48106473911715</c:v>
                </c:pt>
                <c:pt idx="11">
                  <c:v>13.86941662228398</c:v>
                </c:pt>
                <c:pt idx="12">
                  <c:v>16.49861340126976</c:v>
                </c:pt>
                <c:pt idx="13">
                  <c:v>19.44502444289979</c:v>
                </c:pt>
                <c:pt idx="14">
                  <c:v>22.70482088552487</c:v>
                </c:pt>
                <c:pt idx="15">
                  <c:v>26.30896404568203</c:v>
                </c:pt>
                <c:pt idx="16">
                  <c:v>30.09850203135777</c:v>
                </c:pt>
                <c:pt idx="17">
                  <c:v>33.94146524987445</c:v>
                </c:pt>
                <c:pt idx="18">
                  <c:v>37.93585073157537</c:v>
                </c:pt>
                <c:pt idx="19">
                  <c:v>41.90855388134801</c:v>
                </c:pt>
                <c:pt idx="20">
                  <c:v>45.81556331163591</c:v>
                </c:pt>
                <c:pt idx="21">
                  <c:v>49.66855634349232</c:v>
                </c:pt>
                <c:pt idx="22">
                  <c:v>52.36776843076674</c:v>
                </c:pt>
                <c:pt idx="23">
                  <c:v>53.38078635231326</c:v>
                </c:pt>
                <c:pt idx="24">
                  <c:v>53.61676134684133</c:v>
                </c:pt>
                <c:pt idx="25">
                  <c:v>53.67927765709439</c:v>
                </c:pt>
                <c:pt idx="26">
                  <c:v>53.69991604833975</c:v>
                </c:pt>
                <c:pt idx="27">
                  <c:v>53.71138503278584</c:v>
                </c:pt>
                <c:pt idx="28">
                  <c:v>53.72045508021331</c:v>
                </c:pt>
                <c:pt idx="29">
                  <c:v>53.7305541821229</c:v>
                </c:pt>
                <c:pt idx="30">
                  <c:v>53.74074558188205</c:v>
                </c:pt>
                <c:pt idx="31">
                  <c:v>53.75024890835023</c:v>
                </c:pt>
                <c:pt idx="32">
                  <c:v>53.76325775324189</c:v>
                </c:pt>
                <c:pt idx="33">
                  <c:v>53.77726259341856</c:v>
                </c:pt>
                <c:pt idx="34">
                  <c:v>53.78962625574893</c:v>
                </c:pt>
                <c:pt idx="35">
                  <c:v>53.80213448305252</c:v>
                </c:pt>
                <c:pt idx="36">
                  <c:v>53.81684388041617</c:v>
                </c:pt>
                <c:pt idx="37">
                  <c:v>53.83247658897953</c:v>
                </c:pt>
                <c:pt idx="38">
                  <c:v>53.84484973437688</c:v>
                </c:pt>
                <c:pt idx="39">
                  <c:v>53.8565919808166</c:v>
                </c:pt>
                <c:pt idx="40">
                  <c:v>53.86829904156698</c:v>
                </c:pt>
                <c:pt idx="41">
                  <c:v>53.88130259723182</c:v>
                </c:pt>
                <c:pt idx="42">
                  <c:v>53.89637428952612</c:v>
                </c:pt>
                <c:pt idx="43">
                  <c:v>53.90892238598994</c:v>
                </c:pt>
                <c:pt idx="44">
                  <c:v>53.92094465187407</c:v>
                </c:pt>
                <c:pt idx="45">
                  <c:v>53.93433427274147</c:v>
                </c:pt>
                <c:pt idx="46">
                  <c:v>53.94765352223018</c:v>
                </c:pt>
                <c:pt idx="47">
                  <c:v>53.96517843897627</c:v>
                </c:pt>
                <c:pt idx="48">
                  <c:v>53.98369644467157</c:v>
                </c:pt>
                <c:pt idx="49">
                  <c:v>54.00227303266355</c:v>
                </c:pt>
                <c:pt idx="50">
                  <c:v>54.02391490957413</c:v>
                </c:pt>
                <c:pt idx="51">
                  <c:v>54.04588942156642</c:v>
                </c:pt>
                <c:pt idx="52">
                  <c:v>54.06926707689873</c:v>
                </c:pt>
                <c:pt idx="53">
                  <c:v>54.09497111814306</c:v>
                </c:pt>
                <c:pt idx="54">
                  <c:v>54.1231863997798</c:v>
                </c:pt>
                <c:pt idx="55">
                  <c:v>54.15347009491999</c:v>
                </c:pt>
                <c:pt idx="56">
                  <c:v>54.18578512968454</c:v>
                </c:pt>
                <c:pt idx="57">
                  <c:v>54.2204265503611</c:v>
                </c:pt>
                <c:pt idx="58">
                  <c:v>54.25580687404425</c:v>
                </c:pt>
                <c:pt idx="59">
                  <c:v>54.29092871040384</c:v>
                </c:pt>
                <c:pt idx="60">
                  <c:v>54.32877259831463</c:v>
                </c:pt>
                <c:pt idx="61">
                  <c:v>54.36734223718654</c:v>
                </c:pt>
                <c:pt idx="62">
                  <c:v>54.40457896757385</c:v>
                </c:pt>
                <c:pt idx="63">
                  <c:v>54.43848369999866</c:v>
                </c:pt>
                <c:pt idx="64">
                  <c:v>54.46933132292662</c:v>
                </c:pt>
                <c:pt idx="65">
                  <c:v>54.49994395173881</c:v>
                </c:pt>
                <c:pt idx="66">
                  <c:v>54.52114916494879</c:v>
                </c:pt>
                <c:pt idx="67">
                  <c:v>54.5391792251061</c:v>
                </c:pt>
                <c:pt idx="68">
                  <c:v>54.56489195335541</c:v>
                </c:pt>
                <c:pt idx="69">
                  <c:v>54.59076152651455</c:v>
                </c:pt>
                <c:pt idx="70">
                  <c:v>54.61247607580803</c:v>
                </c:pt>
                <c:pt idx="71">
                  <c:v>54.62247097669967</c:v>
                </c:pt>
                <c:pt idx="72">
                  <c:v>54.63403378019167</c:v>
                </c:pt>
                <c:pt idx="73">
                  <c:v>54.65472965731816</c:v>
                </c:pt>
                <c:pt idx="74">
                  <c:v>54.6733482957608</c:v>
                </c:pt>
                <c:pt idx="75">
                  <c:v>54.69208443126131</c:v>
                </c:pt>
                <c:pt idx="76">
                  <c:v>54.7123884693622</c:v>
                </c:pt>
                <c:pt idx="77">
                  <c:v>54.73183013370798</c:v>
                </c:pt>
                <c:pt idx="78">
                  <c:v>54.74911586366602</c:v>
                </c:pt>
                <c:pt idx="79">
                  <c:v>54.76698962541144</c:v>
                </c:pt>
                <c:pt idx="80">
                  <c:v>54.78564761170601</c:v>
                </c:pt>
                <c:pt idx="81">
                  <c:v>54.80528546881357</c:v>
                </c:pt>
                <c:pt idx="82">
                  <c:v>54.82421779707587</c:v>
                </c:pt>
                <c:pt idx="83">
                  <c:v>54.84315012533816</c:v>
                </c:pt>
                <c:pt idx="84">
                  <c:v>54.86294482735556</c:v>
                </c:pt>
                <c:pt idx="85">
                  <c:v>54.88191650346979</c:v>
                </c:pt>
                <c:pt idx="86">
                  <c:v>54.9006526389703</c:v>
                </c:pt>
                <c:pt idx="87">
                  <c:v>54.9201331046701</c:v>
                </c:pt>
                <c:pt idx="88">
                  <c:v>54.93824186053128</c:v>
                </c:pt>
                <c:pt idx="89">
                  <c:v>54.95635061639248</c:v>
                </c:pt>
                <c:pt idx="90">
                  <c:v>54.97457686931156</c:v>
                </c:pt>
                <c:pt idx="91">
                  <c:v>54.99425352777312</c:v>
                </c:pt>
                <c:pt idx="92">
                  <c:v>55.01702664358347</c:v>
                </c:pt>
                <c:pt idx="93">
                  <c:v>55.03842804955522</c:v>
                </c:pt>
                <c:pt idx="94">
                  <c:v>55.0579872109589</c:v>
                </c:pt>
                <c:pt idx="95">
                  <c:v>55.07801636059412</c:v>
                </c:pt>
                <c:pt idx="96">
                  <c:v>55.10112459853121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54504"/>
        <c:axId val="-209309039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8384.0</c:v>
                </c:pt>
                <c:pt idx="1">
                  <c:v>15057.0</c:v>
                </c:pt>
                <c:pt idx="2">
                  <c:v>33669.0</c:v>
                </c:pt>
                <c:pt idx="3">
                  <c:v>6028.0</c:v>
                </c:pt>
                <c:pt idx="4">
                  <c:v>13163.0</c:v>
                </c:pt>
                <c:pt idx="5">
                  <c:v>23935.0</c:v>
                </c:pt>
                <c:pt idx="6">
                  <c:v>4646.0</c:v>
                </c:pt>
                <c:pt idx="7">
                  <c:v>6045.0</c:v>
                </c:pt>
                <c:pt idx="8">
                  <c:v>6443.0</c:v>
                </c:pt>
                <c:pt idx="9">
                  <c:v>7318.0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0.0666424553069088</c:v>
                  </c:pt>
                  <c:pt idx="4">
                    <c:v>0.0226373164929061</c:v>
                  </c:pt>
                  <c:pt idx="5">
                    <c:v>0.176319363500817</c:v>
                  </c:pt>
                  <c:pt idx="6">
                    <c:v>0.10291061182081</c:v>
                  </c:pt>
                  <c:pt idx="7">
                    <c:v>0.448196</c:v>
                  </c:pt>
                  <c:pt idx="8">
                    <c:v>0.40113427025374</c:v>
                  </c:pt>
                  <c:pt idx="9">
                    <c:v>0.176319363500817</c:v>
                  </c:pt>
                  <c:pt idx="10">
                    <c:v>0.129383040624857</c:v>
                  </c:pt>
                  <c:pt idx="11">
                    <c:v>0.244510963830527</c:v>
                  </c:pt>
                  <c:pt idx="12">
                    <c:v>0.231594978912181</c:v>
                  </c:pt>
                  <c:pt idx="13">
                    <c:v>0.466497187148362</c:v>
                  </c:pt>
                  <c:pt idx="14">
                    <c:v>0.205821223641619</c:v>
                  </c:pt>
                  <c:pt idx="15">
                    <c:v>0.0978043855322109</c:v>
                  </c:pt>
                  <c:pt idx="16">
                    <c:v>0.032014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5.44133936696422E-17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0.0666424553069088</c:v>
                  </c:pt>
                  <c:pt idx="4">
                    <c:v>0.0226373164929061</c:v>
                  </c:pt>
                  <c:pt idx="5">
                    <c:v>0.176319363500817</c:v>
                  </c:pt>
                  <c:pt idx="6">
                    <c:v>0.10291061182081</c:v>
                  </c:pt>
                  <c:pt idx="7">
                    <c:v>0.448196</c:v>
                  </c:pt>
                  <c:pt idx="8">
                    <c:v>0.40113427025374</c:v>
                  </c:pt>
                  <c:pt idx="9">
                    <c:v>0.176319363500817</c:v>
                  </c:pt>
                  <c:pt idx="10">
                    <c:v>0.129383040624857</c:v>
                  </c:pt>
                  <c:pt idx="11">
                    <c:v>0.244510963830527</c:v>
                  </c:pt>
                  <c:pt idx="12">
                    <c:v>0.231594978912181</c:v>
                  </c:pt>
                  <c:pt idx="13">
                    <c:v>0.466497187148362</c:v>
                  </c:pt>
                  <c:pt idx="14">
                    <c:v>0.205821223641619</c:v>
                  </c:pt>
                  <c:pt idx="15">
                    <c:v>0.0978043855322109</c:v>
                  </c:pt>
                  <c:pt idx="16">
                    <c:v>0.032014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0.2811281</c:v>
                </c:pt>
                <c:pt idx="1">
                  <c:v>0.4908198</c:v>
                </c:pt>
                <c:pt idx="2">
                  <c:v>0.917119333333333</c:v>
                </c:pt>
                <c:pt idx="3">
                  <c:v>1.424007666666667</c:v>
                </c:pt>
                <c:pt idx="4">
                  <c:v>2.587183</c:v>
                </c:pt>
                <c:pt idx="5">
                  <c:v>4.331330666666667</c:v>
                </c:pt>
                <c:pt idx="6">
                  <c:v>6.945807333333334</c:v>
                </c:pt>
                <c:pt idx="7">
                  <c:v>9.432228</c:v>
                </c:pt>
                <c:pt idx="8">
                  <c:v>10.072508</c:v>
                </c:pt>
                <c:pt idx="9">
                  <c:v>9.250815333333333</c:v>
                </c:pt>
                <c:pt idx="10">
                  <c:v>8.898661333333331</c:v>
                </c:pt>
                <c:pt idx="11">
                  <c:v>8.610535333333332</c:v>
                </c:pt>
                <c:pt idx="12">
                  <c:v>8.140996666666666</c:v>
                </c:pt>
                <c:pt idx="13">
                  <c:v>7.980926666666667</c:v>
                </c:pt>
                <c:pt idx="14">
                  <c:v>6.028072666666668</c:v>
                </c:pt>
                <c:pt idx="15">
                  <c:v>4.032533333333333</c:v>
                </c:pt>
                <c:pt idx="16">
                  <c:v>1.268658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71800"/>
        <c:axId val="-2111270264"/>
      </c:scatterChart>
      <c:valAx>
        <c:axId val="-209055450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3090392"/>
        <c:crosses val="autoZero"/>
        <c:crossBetween val="midCat"/>
        <c:majorUnit val="6.0"/>
      </c:valAx>
      <c:valAx>
        <c:axId val="-209309039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0554504"/>
        <c:crosses val="autoZero"/>
        <c:crossBetween val="midCat"/>
      </c:valAx>
      <c:valAx>
        <c:axId val="-2111270264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2071800"/>
        <c:crosses val="max"/>
        <c:crossBetween val="midCat"/>
        <c:majorUnit val="1.0"/>
        <c:minorUnit val="0.2"/>
      </c:valAx>
      <c:valAx>
        <c:axId val="-211207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127026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6" t="s">
        <v>0</v>
      </c>
      <c r="B1" s="127"/>
      <c r="C1" s="34">
        <v>42053</v>
      </c>
    </row>
    <row r="2" spans="1:3" ht="16">
      <c r="A2" s="126" t="s">
        <v>1</v>
      </c>
      <c r="B2" s="128"/>
      <c r="C2" s="32" t="s">
        <v>149</v>
      </c>
    </row>
    <row r="3" spans="1:3">
      <c r="A3" s="11"/>
      <c r="B3" s="11"/>
      <c r="C3" s="10"/>
    </row>
    <row r="4" spans="1:3">
      <c r="A4" s="129" t="s">
        <v>49</v>
      </c>
      <c r="B4" s="129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29" t="s">
        <v>150</v>
      </c>
      <c r="B11" s="29" t="s">
        <v>151</v>
      </c>
      <c r="C11" s="29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71" t="s">
        <v>77</v>
      </c>
      <c r="B13" s="37" t="s">
        <v>94</v>
      </c>
      <c r="C13" s="37" t="s">
        <v>101</v>
      </c>
    </row>
    <row r="14" spans="1:3" ht="16">
      <c r="A14" s="71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152</v>
      </c>
      <c r="C18" s="37" t="s">
        <v>101</v>
      </c>
    </row>
    <row r="19" spans="1:3" ht="16">
      <c r="A19" s="32" t="s">
        <v>75</v>
      </c>
      <c r="B19" s="37" t="s">
        <v>153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144</v>
      </c>
      <c r="B29" s="29" t="s">
        <v>145</v>
      </c>
      <c r="C29" s="29" t="s">
        <v>146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4" sqref="H24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0" t="s">
        <v>4</v>
      </c>
      <c r="B1" s="130" t="s">
        <v>117</v>
      </c>
      <c r="C1" s="130" t="s">
        <v>117</v>
      </c>
      <c r="D1" s="130" t="s">
        <v>5</v>
      </c>
      <c r="E1" s="130" t="s">
        <v>19</v>
      </c>
      <c r="F1" s="130" t="s">
        <v>24</v>
      </c>
      <c r="G1" s="129" t="s">
        <v>25</v>
      </c>
      <c r="H1" s="126" t="s">
        <v>26</v>
      </c>
      <c r="I1" s="4" t="s">
        <v>27</v>
      </c>
      <c r="J1" s="53" t="s">
        <v>27</v>
      </c>
    </row>
    <row r="2" spans="1:10">
      <c r="A2" s="131"/>
      <c r="B2" s="131"/>
      <c r="C2" s="131"/>
      <c r="D2" s="131"/>
      <c r="E2" s="131"/>
      <c r="F2" s="131"/>
      <c r="G2" s="129"/>
      <c r="H2" s="126"/>
      <c r="I2" s="5" t="s">
        <v>28</v>
      </c>
      <c r="J2" s="54" t="s">
        <v>23</v>
      </c>
    </row>
    <row r="3" spans="1:10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8.1000000000000003E-2</v>
      </c>
      <c r="G3" s="50">
        <v>8.1000000000000003E-2</v>
      </c>
      <c r="H3" s="50">
        <v>8.1000000000000003E-2</v>
      </c>
      <c r="I3" s="51">
        <f>E3*(AVERAGE(F3:H3)*1.6007-0.0118)</f>
        <v>0.11785670000000001</v>
      </c>
      <c r="J3" s="51">
        <f>E3*(STDEV(F3:H3)*1.6007)</f>
        <v>0</v>
      </c>
    </row>
    <row r="4" spans="1:10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0.183</v>
      </c>
      <c r="G4" s="50">
        <v>0.183</v>
      </c>
      <c r="H4" s="50">
        <v>0.183</v>
      </c>
      <c r="I4" s="51">
        <f>E4*(AVERAGE(F4:H4)*1.6007-0.0118)</f>
        <v>0.28112809999999999</v>
      </c>
      <c r="J4" s="51">
        <f t="shared" ref="J4:J9" si="1">E4*(STDEV(F4:H4)*1.6007)</f>
        <v>5.4413393669642165E-17</v>
      </c>
    </row>
    <row r="5" spans="1:10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40">
        <v>1</v>
      </c>
      <c r="F5" s="50">
        <v>0.314</v>
      </c>
      <c r="G5" s="50">
        <v>0.314</v>
      </c>
      <c r="H5" s="50">
        <v>0.314</v>
      </c>
      <c r="I5" s="51">
        <f t="shared" ref="I5:I9" si="2">E5*(AVERAGE(F5:H5)*1.6007-0.0118)</f>
        <v>0.49081980000000008</v>
      </c>
      <c r="J5" s="51">
        <f t="shared" si="1"/>
        <v>0</v>
      </c>
    </row>
    <row r="6" spans="1:10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10</v>
      </c>
      <c r="F6" s="50">
        <v>6.4000000000000001E-2</v>
      </c>
      <c r="G6" s="50">
        <v>6.5000000000000002E-2</v>
      </c>
      <c r="H6" s="50">
        <v>6.5000000000000002E-2</v>
      </c>
      <c r="I6" s="51">
        <f t="shared" si="2"/>
        <v>0.91711933333333329</v>
      </c>
      <c r="J6" s="51">
        <f t="shared" si="1"/>
        <v>9.241645758918348E-3</v>
      </c>
    </row>
    <row r="7" spans="1:10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10</v>
      </c>
      <c r="F7" s="50">
        <v>0.10100000000000001</v>
      </c>
      <c r="G7" s="50">
        <v>9.5000000000000001E-2</v>
      </c>
      <c r="H7" s="50">
        <v>9.2999999999999999E-2</v>
      </c>
      <c r="I7" s="51">
        <f t="shared" si="2"/>
        <v>1.4240076666666668</v>
      </c>
      <c r="J7" s="51">
        <f t="shared" si="1"/>
        <v>6.6642455306908835E-2</v>
      </c>
    </row>
    <row r="8" spans="1:10">
      <c r="A8" s="65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10</v>
      </c>
      <c r="F8" s="50">
        <v>0.17</v>
      </c>
      <c r="G8" s="50" t="s">
        <v>158</v>
      </c>
      <c r="H8" s="50">
        <v>0.16800000000000001</v>
      </c>
      <c r="I8" s="51">
        <f t="shared" si="2"/>
        <v>2.5871830000000005</v>
      </c>
      <c r="J8" s="51">
        <f t="shared" si="1"/>
        <v>2.2637316492906154E-2</v>
      </c>
    </row>
    <row r="9" spans="1:10">
      <c r="A9" s="65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20</v>
      </c>
      <c r="F9" s="50">
        <v>0.13700000000000001</v>
      </c>
      <c r="G9" s="50">
        <v>0.14799999999999999</v>
      </c>
      <c r="H9" s="50">
        <v>0.14299999999999999</v>
      </c>
      <c r="I9" s="51">
        <f t="shared" si="2"/>
        <v>4.3313306666666671</v>
      </c>
      <c r="J9" s="51">
        <f t="shared" si="1"/>
        <v>0.17631936350081698</v>
      </c>
    </row>
    <row r="10" spans="1:10">
      <c r="A10" s="65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20</v>
      </c>
      <c r="F10" s="50">
        <v>0.22800000000000001</v>
      </c>
      <c r="G10" s="50">
        <v>0.223</v>
      </c>
      <c r="H10" s="50">
        <v>0.222</v>
      </c>
      <c r="I10" s="51">
        <f t="shared" ref="I10:I20" si="4">E10*(AVERAGE(F10:H10)*1.6007-0.0118)</f>
        <v>6.9458073333333346</v>
      </c>
      <c r="J10" s="51">
        <f t="shared" ref="J10:J20" si="5">E10*(STDEV(F10:H10)*1.6007)</f>
        <v>0.10291061182080959</v>
      </c>
    </row>
    <row r="11" spans="1:10">
      <c r="A11" s="65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20</v>
      </c>
      <c r="F11" s="50">
        <v>0.29599999999999999</v>
      </c>
      <c r="G11" s="50">
        <v>0.29199999999999998</v>
      </c>
      <c r="H11" s="50">
        <v>0.318</v>
      </c>
      <c r="I11" s="51">
        <f t="shared" si="4"/>
        <v>9.4322280000000003</v>
      </c>
      <c r="J11" s="51">
        <f t="shared" si="5"/>
        <v>0.44819600000000043</v>
      </c>
    </row>
    <row r="12" spans="1:10">
      <c r="A12" s="65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20</v>
      </c>
      <c r="F12" s="50">
        <v>0.31</v>
      </c>
      <c r="G12" s="50">
        <v>0.32100000000000001</v>
      </c>
      <c r="H12" s="50">
        <v>0.33500000000000002</v>
      </c>
      <c r="I12" s="51">
        <f t="shared" si="4"/>
        <v>10.072507999999999</v>
      </c>
      <c r="J12" s="51">
        <f t="shared" si="5"/>
        <v>0.40113427025373971</v>
      </c>
    </row>
    <row r="13" spans="1:10">
      <c r="A13" s="65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0.28999999999999998</v>
      </c>
      <c r="G13" s="50">
        <v>0.29899999999999999</v>
      </c>
      <c r="H13" s="50">
        <v>0.3</v>
      </c>
      <c r="I13" s="51">
        <f t="shared" si="4"/>
        <v>9.2508153333333336</v>
      </c>
      <c r="J13" s="51">
        <f t="shared" si="5"/>
        <v>0.17631936350081742</v>
      </c>
    </row>
    <row r="14" spans="1:10">
      <c r="A14" s="65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0.28999999999999998</v>
      </c>
      <c r="G14" s="50">
        <v>0.28299999999999997</v>
      </c>
      <c r="H14" s="50">
        <v>0.28299999999999997</v>
      </c>
      <c r="I14" s="51">
        <f t="shared" si="4"/>
        <v>8.8986613333333313</v>
      </c>
      <c r="J14" s="51">
        <f t="shared" si="5"/>
        <v>0.12938304062485687</v>
      </c>
    </row>
    <row r="15" spans="1:10">
      <c r="A15" s="65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0.28299999999999997</v>
      </c>
      <c r="G15" s="50">
        <v>0.26800000000000002</v>
      </c>
      <c r="H15" s="50">
        <v>0.27800000000000002</v>
      </c>
      <c r="I15" s="51">
        <f t="shared" si="4"/>
        <v>8.610535333333333</v>
      </c>
      <c r="J15" s="51">
        <f t="shared" si="5"/>
        <v>0.24451096383052653</v>
      </c>
    </row>
    <row r="16" spans="1:10">
      <c r="A16" s="65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0.25700000000000001</v>
      </c>
      <c r="G16" s="50">
        <v>0.25800000000000001</v>
      </c>
      <c r="H16" s="50">
        <v>0.27</v>
      </c>
      <c r="I16" s="51">
        <f t="shared" si="4"/>
        <v>8.1409966666666662</v>
      </c>
      <c r="J16" s="51">
        <f t="shared" si="5"/>
        <v>0.23159497891218073</v>
      </c>
    </row>
    <row r="17" spans="1:10">
      <c r="A17" s="65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0.27300000000000002</v>
      </c>
      <c r="G17" s="50">
        <v>0.252</v>
      </c>
      <c r="H17" s="50">
        <v>0.245</v>
      </c>
      <c r="I17" s="51">
        <f t="shared" si="4"/>
        <v>7.9809266666666669</v>
      </c>
      <c r="J17" s="51">
        <f t="shared" si="5"/>
        <v>0.46649718714836186</v>
      </c>
    </row>
    <row r="18" spans="1:10">
      <c r="A18" s="65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0.193</v>
      </c>
      <c r="G18" s="50">
        <v>0.191</v>
      </c>
      <c r="H18" s="50">
        <v>0.20300000000000001</v>
      </c>
      <c r="I18" s="51">
        <f>E18*(AVERAGE(F18:H18)*1.6007-0.0118)</f>
        <v>6.0280726666666675</v>
      </c>
      <c r="J18" s="51">
        <f t="shared" si="5"/>
        <v>0.20582122364161917</v>
      </c>
    </row>
    <row r="19" spans="1:10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0.13400000000000001</v>
      </c>
      <c r="G19" s="50">
        <v>0.13</v>
      </c>
      <c r="H19" s="50">
        <v>0.13600000000000001</v>
      </c>
      <c r="I19" s="51">
        <f>E19*(AVERAGE(F19:H19)*1.6007-0.0118)</f>
        <v>4.0325333333333333</v>
      </c>
      <c r="J19" s="51">
        <f t="shared" si="5"/>
        <v>9.7804385532210936E-2</v>
      </c>
    </row>
    <row r="20" spans="1:10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20</v>
      </c>
      <c r="F20" s="50">
        <v>4.7E-2</v>
      </c>
      <c r="G20" s="50">
        <v>4.8000000000000001E-2</v>
      </c>
      <c r="H20" s="50">
        <v>4.5999999999999999E-2</v>
      </c>
      <c r="I20" s="51">
        <f t="shared" si="4"/>
        <v>1.2686580000000001</v>
      </c>
      <c r="J20" s="51">
        <f t="shared" si="5"/>
        <v>3.2014000000000029E-2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0" t="s">
        <v>4</v>
      </c>
      <c r="B1" s="130" t="s">
        <v>117</v>
      </c>
      <c r="C1" s="130" t="s">
        <v>117</v>
      </c>
      <c r="D1" s="130" t="s">
        <v>5</v>
      </c>
      <c r="E1" s="4" t="s">
        <v>29</v>
      </c>
      <c r="F1" s="4" t="s">
        <v>2</v>
      </c>
      <c r="G1" s="4" t="s">
        <v>32</v>
      </c>
    </row>
    <row r="2" spans="1:7">
      <c r="A2" s="131"/>
      <c r="B2" s="131"/>
      <c r="C2" s="131"/>
      <c r="D2" s="131"/>
      <c r="E2" s="5" t="s">
        <v>30</v>
      </c>
      <c r="F2" s="5" t="s">
        <v>31</v>
      </c>
      <c r="G2" s="5" t="s">
        <v>33</v>
      </c>
    </row>
    <row r="3" spans="1:7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5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5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5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5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5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5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5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5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5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5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5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3" t="s">
        <v>3</v>
      </c>
      <c r="B22" s="154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70.5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9" t="s">
        <v>5</v>
      </c>
      <c r="B3" s="129" t="s">
        <v>36</v>
      </c>
      <c r="C3" s="129"/>
      <c r="D3" s="129" t="s">
        <v>52</v>
      </c>
      <c r="E3" s="129"/>
      <c r="F3" s="129"/>
      <c r="G3" s="23" t="s">
        <v>53</v>
      </c>
    </row>
    <row r="4" spans="1:10">
      <c r="A4" s="129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7">
        <v>1984.58</v>
      </c>
      <c r="C5" s="12">
        <f>B5/1000</f>
        <v>1.98458</v>
      </c>
      <c r="D5" s="12">
        <f>C5/1000*$B$1</f>
        <v>0.13991289000000001</v>
      </c>
      <c r="E5" s="12">
        <f>D5/22.4</f>
        <v>6.2461111607142869E-3</v>
      </c>
      <c r="F5" s="12">
        <f>E5/Calculation!K$4*1000</f>
        <v>4.0531937511014554E-3</v>
      </c>
      <c r="G5" s="12">
        <f>(0+F5)/2*30</f>
        <v>6.0797906266521831E-2</v>
      </c>
      <c r="I5" s="78">
        <v>-0.16666666666666666</v>
      </c>
      <c r="J5" t="s">
        <v>168</v>
      </c>
    </row>
    <row r="6" spans="1:10">
      <c r="A6" s="12">
        <v>0.5</v>
      </c>
      <c r="B6" s="77">
        <v>5679.76</v>
      </c>
      <c r="C6" s="12">
        <f t="shared" ref="C6:C69" si="0">B6/1000</f>
        <v>5.6797599999999999</v>
      </c>
      <c r="D6" s="12">
        <f>C6/1000*$B$1</f>
        <v>0.40042307999999999</v>
      </c>
      <c r="E6" s="12">
        <f>D6/22.4</f>
        <v>1.7876030357142858E-2</v>
      </c>
      <c r="F6" s="12">
        <f>E6/Calculation!K$4*1000</f>
        <v>1.1600020024265084E-2</v>
      </c>
      <c r="G6" s="12">
        <f>G5+(F6+F5)/2*30</f>
        <v>0.29559611289701992</v>
      </c>
      <c r="I6" s="78">
        <v>0.16666666666666666</v>
      </c>
      <c r="J6" t="s">
        <v>169</v>
      </c>
    </row>
    <row r="7" spans="1:10">
      <c r="A7" s="12">
        <v>1</v>
      </c>
      <c r="B7" s="77">
        <v>8410.26</v>
      </c>
      <c r="C7" s="12">
        <f t="shared" si="0"/>
        <v>8.410260000000001</v>
      </c>
      <c r="D7" s="12">
        <f t="shared" ref="D7:D69" si="1">C7/1000*$B$1</f>
        <v>0.59292333000000008</v>
      </c>
      <c r="E7" s="12">
        <f t="shared" ref="E7:E69" si="2">D7/22.4</f>
        <v>2.6469791517857149E-2</v>
      </c>
      <c r="F7" s="12">
        <f>E7/Calculation!K$4*1000</f>
        <v>1.7176638521570572E-2</v>
      </c>
      <c r="G7" s="12">
        <f t="shared" ref="G7:G70" si="3">G6+(F7+F6)/2*30</f>
        <v>0.72724599108455479</v>
      </c>
      <c r="I7" s="78">
        <v>2</v>
      </c>
      <c r="J7" t="s">
        <v>170</v>
      </c>
    </row>
    <row r="8" spans="1:10">
      <c r="A8" s="12">
        <v>1.5</v>
      </c>
      <c r="B8" s="77">
        <v>10572</v>
      </c>
      <c r="C8" s="12">
        <f t="shared" si="0"/>
        <v>10.571999999999999</v>
      </c>
      <c r="D8" s="12">
        <f t="shared" si="1"/>
        <v>0.74532599999999993</v>
      </c>
      <c r="E8" s="12">
        <f t="shared" si="2"/>
        <v>3.3273482142857143E-2</v>
      </c>
      <c r="F8" s="12">
        <f>E8/Calculation!K$4*1000</f>
        <v>2.159165381926885E-2</v>
      </c>
      <c r="G8" s="12">
        <f t="shared" si="3"/>
        <v>1.3087703761971461</v>
      </c>
      <c r="I8" s="78">
        <v>3.3333333333333335</v>
      </c>
      <c r="J8" t="s">
        <v>171</v>
      </c>
    </row>
    <row r="9" spans="1:10">
      <c r="A9" s="12">
        <v>2</v>
      </c>
      <c r="B9" s="77">
        <v>13894.94</v>
      </c>
      <c r="C9" s="12">
        <f t="shared" si="0"/>
        <v>13.89494</v>
      </c>
      <c r="D9" s="12">
        <f t="shared" si="1"/>
        <v>0.97959326999999996</v>
      </c>
      <c r="E9" s="12">
        <f t="shared" si="2"/>
        <v>4.3731842410714289E-2</v>
      </c>
      <c r="F9" s="12">
        <f>E9/Calculation!K$5*1000</f>
        <v>2.9191205723446686E-2</v>
      </c>
      <c r="G9" s="12">
        <f t="shared" si="3"/>
        <v>2.0705132693378792</v>
      </c>
      <c r="I9" s="78">
        <v>4.666666666666667</v>
      </c>
      <c r="J9" t="s">
        <v>172</v>
      </c>
    </row>
    <row r="10" spans="1:10">
      <c r="A10" s="12">
        <v>2.5</v>
      </c>
      <c r="B10" s="77">
        <v>16360.06</v>
      </c>
      <c r="C10" s="12">
        <f t="shared" si="0"/>
        <v>16.360060000000001</v>
      </c>
      <c r="D10" s="12">
        <f t="shared" si="1"/>
        <v>1.1533842299999999</v>
      </c>
      <c r="E10" s="12">
        <f t="shared" si="2"/>
        <v>5.1490367410714284E-2</v>
      </c>
      <c r="F10" s="12">
        <f>E10/Calculation!K$5*1000</f>
        <v>3.4370056805422058E-2</v>
      </c>
      <c r="G10" s="12">
        <f t="shared" si="3"/>
        <v>3.0239322072709105</v>
      </c>
      <c r="I10" s="78">
        <v>6</v>
      </c>
      <c r="J10" t="s">
        <v>173</v>
      </c>
    </row>
    <row r="11" spans="1:10">
      <c r="A11" s="12">
        <v>3</v>
      </c>
      <c r="B11" s="77">
        <v>23733.21</v>
      </c>
      <c r="C11" s="12">
        <f t="shared" si="0"/>
        <v>23.73321</v>
      </c>
      <c r="D11" s="12">
        <f t="shared" si="1"/>
        <v>1.673191305</v>
      </c>
      <c r="E11" s="12">
        <f t="shared" si="2"/>
        <v>7.4696040401785721E-2</v>
      </c>
      <c r="F11" s="12">
        <f>E11/Calculation!K$5*1000</f>
        <v>4.9859950139242215E-2</v>
      </c>
      <c r="G11" s="12">
        <f t="shared" si="3"/>
        <v>4.2873823114408749</v>
      </c>
      <c r="I11" s="78">
        <v>7.333333333333333</v>
      </c>
      <c r="J11" t="s">
        <v>174</v>
      </c>
    </row>
    <row r="12" spans="1:10">
      <c r="A12" s="12">
        <v>3.5</v>
      </c>
      <c r="B12" s="77">
        <v>29554.98</v>
      </c>
      <c r="C12" s="12">
        <f t="shared" si="0"/>
        <v>29.55498</v>
      </c>
      <c r="D12" s="12">
        <f t="shared" si="1"/>
        <v>2.0836260900000001</v>
      </c>
      <c r="E12" s="12">
        <f t="shared" si="2"/>
        <v>9.301902187500001E-2</v>
      </c>
      <c r="F12" s="12">
        <f>E12/Calculation!K$6*1000</f>
        <v>6.3874349642142558E-2</v>
      </c>
      <c r="G12" s="12">
        <f t="shared" si="3"/>
        <v>5.9933968081616467</v>
      </c>
      <c r="I12" s="78">
        <v>8.6666666666666661</v>
      </c>
      <c r="J12" t="s">
        <v>175</v>
      </c>
    </row>
    <row r="13" spans="1:10">
      <c r="A13" s="12">
        <v>4</v>
      </c>
      <c r="B13" s="77">
        <v>24054.53</v>
      </c>
      <c r="C13" s="12">
        <f t="shared" si="0"/>
        <v>24.05453</v>
      </c>
      <c r="D13" s="12">
        <f t="shared" si="1"/>
        <v>1.6958443650000001</v>
      </c>
      <c r="E13" s="12">
        <f t="shared" si="2"/>
        <v>7.5707337723214294E-2</v>
      </c>
      <c r="F13" s="12">
        <f>E13/Calculation!K$6*1000</f>
        <v>5.1986753491202069E-2</v>
      </c>
      <c r="G13" s="12">
        <f t="shared" si="3"/>
        <v>7.7313133551618165</v>
      </c>
      <c r="I13" s="78">
        <v>10</v>
      </c>
      <c r="J13" t="s">
        <v>176</v>
      </c>
    </row>
    <row r="14" spans="1:10">
      <c r="A14" s="12">
        <v>4.5</v>
      </c>
      <c r="B14" s="77">
        <v>28005.040000000001</v>
      </c>
      <c r="C14" s="12">
        <f t="shared" si="0"/>
        <v>28.005040000000001</v>
      </c>
      <c r="D14" s="12">
        <f t="shared" si="1"/>
        <v>1.9743553200000001</v>
      </c>
      <c r="E14" s="12">
        <f t="shared" si="2"/>
        <v>8.8140862500000014E-2</v>
      </c>
      <c r="F14" s="12">
        <f>E14/Calculation!K$6*1000</f>
        <v>6.0524612660952166E-2</v>
      </c>
      <c r="G14" s="12">
        <f t="shared" si="3"/>
        <v>9.4189838474441299</v>
      </c>
      <c r="I14" s="78">
        <v>11.333333333333334</v>
      </c>
      <c r="J14" t="s">
        <v>177</v>
      </c>
    </row>
    <row r="15" spans="1:10">
      <c r="A15" s="12">
        <v>5</v>
      </c>
      <c r="B15" s="77">
        <v>34510.33</v>
      </c>
      <c r="C15" s="12">
        <f t="shared" si="0"/>
        <v>34.510330000000003</v>
      </c>
      <c r="D15" s="12">
        <f t="shared" si="1"/>
        <v>2.4329782650000005</v>
      </c>
      <c r="E15" s="12">
        <f t="shared" si="2"/>
        <v>0.10861510111607145</v>
      </c>
      <c r="F15" s="12">
        <f>E15/Calculation!K$7*1000</f>
        <v>7.6947446783916129E-2</v>
      </c>
      <c r="G15" s="12">
        <f t="shared" si="3"/>
        <v>11.481064739117155</v>
      </c>
      <c r="I15" s="78">
        <v>12.666666666666666</v>
      </c>
      <c r="J15" t="s">
        <v>178</v>
      </c>
    </row>
    <row r="16" spans="1:10">
      <c r="A16" s="12">
        <v>5.5</v>
      </c>
      <c r="B16" s="77">
        <v>36900.15</v>
      </c>
      <c r="C16" s="12">
        <f t="shared" si="0"/>
        <v>36.900150000000004</v>
      </c>
      <c r="D16" s="12">
        <f t="shared" si="1"/>
        <v>2.6014605750000004</v>
      </c>
      <c r="E16" s="12">
        <f t="shared" si="2"/>
        <v>0.11613663281250003</v>
      </c>
      <c r="F16" s="12">
        <f>E16/Calculation!K$7*1000</f>
        <v>8.2276012093872267E-2</v>
      </c>
      <c r="G16" s="12">
        <f t="shared" si="3"/>
        <v>13.86941662228398</v>
      </c>
      <c r="I16" s="78">
        <v>14</v>
      </c>
      <c r="J16" t="s">
        <v>179</v>
      </c>
    </row>
    <row r="17" spans="1:10">
      <c r="A17" s="12">
        <v>6</v>
      </c>
      <c r="B17" s="77">
        <v>40542.26</v>
      </c>
      <c r="C17" s="12">
        <f t="shared" si="0"/>
        <v>40.542259999999999</v>
      </c>
      <c r="D17" s="12">
        <f t="shared" si="1"/>
        <v>2.8582293299999999</v>
      </c>
      <c r="E17" s="12">
        <f t="shared" si="2"/>
        <v>0.12759952366071428</v>
      </c>
      <c r="F17" s="12">
        <f>E17/Calculation!K$8*1000</f>
        <v>9.3003773171846188E-2</v>
      </c>
      <c r="G17" s="12">
        <f t="shared" si="3"/>
        <v>16.498613401269758</v>
      </c>
      <c r="I17" s="78">
        <v>15.333333333333334</v>
      </c>
      <c r="J17" t="s">
        <v>180</v>
      </c>
    </row>
    <row r="18" spans="1:10">
      <c r="A18" s="12">
        <v>6.5</v>
      </c>
      <c r="B18" s="77">
        <v>45084.49</v>
      </c>
      <c r="C18" s="12">
        <f t="shared" si="0"/>
        <v>45.084489999999995</v>
      </c>
      <c r="D18" s="12">
        <f t="shared" si="1"/>
        <v>3.178456545</v>
      </c>
      <c r="E18" s="12">
        <f t="shared" si="2"/>
        <v>0.14189538147321429</v>
      </c>
      <c r="F18" s="12">
        <f>E18/Calculation!K$8*1000</f>
        <v>0.10342362960348948</v>
      </c>
      <c r="G18" s="12">
        <f t="shared" si="3"/>
        <v>19.445024442899793</v>
      </c>
      <c r="I18" s="78">
        <v>16.666666666666668</v>
      </c>
      <c r="J18" t="s">
        <v>181</v>
      </c>
    </row>
    <row r="19" spans="1:10">
      <c r="A19" s="12">
        <v>7</v>
      </c>
      <c r="B19" s="77">
        <v>49649.67</v>
      </c>
      <c r="C19" s="12">
        <f t="shared" si="0"/>
        <v>49.64967</v>
      </c>
      <c r="D19" s="12">
        <f t="shared" si="1"/>
        <v>3.5003017349999999</v>
      </c>
      <c r="E19" s="12">
        <f t="shared" si="2"/>
        <v>0.15626347031250001</v>
      </c>
      <c r="F19" s="12">
        <f>E19/Calculation!K$8*1000</f>
        <v>0.113896133238182</v>
      </c>
      <c r="G19" s="12">
        <f t="shared" si="3"/>
        <v>22.704820885524867</v>
      </c>
      <c r="I19" s="78">
        <v>18</v>
      </c>
      <c r="J19" t="s">
        <v>182</v>
      </c>
    </row>
    <row r="20" spans="1:10">
      <c r="A20" s="12">
        <v>7.5</v>
      </c>
      <c r="B20" s="77">
        <v>53240.85</v>
      </c>
      <c r="C20" s="12">
        <f t="shared" si="0"/>
        <v>53.240850000000002</v>
      </c>
      <c r="D20" s="12">
        <f t="shared" si="1"/>
        <v>3.7534799250000002</v>
      </c>
      <c r="E20" s="12">
        <f t="shared" si="2"/>
        <v>0.16756606808035715</v>
      </c>
      <c r="F20" s="12">
        <f>E20/Calculation!K$9*1000</f>
        <v>0.12638007743896212</v>
      </c>
      <c r="G20" s="12">
        <f t="shared" si="3"/>
        <v>26.308964045682028</v>
      </c>
      <c r="I20" s="78">
        <v>24</v>
      </c>
      <c r="J20" t="s">
        <v>183</v>
      </c>
    </row>
    <row r="21" spans="1:10">
      <c r="A21" s="12">
        <v>8</v>
      </c>
      <c r="B21" s="77">
        <v>53188.49</v>
      </c>
      <c r="C21" s="12">
        <f t="shared" si="0"/>
        <v>53.188489999999994</v>
      </c>
      <c r="D21" s="12">
        <f t="shared" si="1"/>
        <v>3.7497885449999995</v>
      </c>
      <c r="E21" s="12">
        <f t="shared" si="2"/>
        <v>0.16740127433035712</v>
      </c>
      <c r="F21" s="12">
        <f>E21/Calculation!K$9*1000</f>
        <v>0.12625578827275413</v>
      </c>
      <c r="G21" s="12">
        <f t="shared" si="3"/>
        <v>30.098502031357771</v>
      </c>
      <c r="I21" s="78">
        <v>30</v>
      </c>
      <c r="J21" t="s">
        <v>184</v>
      </c>
    </row>
    <row r="22" spans="1:10">
      <c r="A22" s="12">
        <v>8.5</v>
      </c>
      <c r="B22" s="77">
        <v>54741.3</v>
      </c>
      <c r="C22" s="12">
        <f t="shared" si="0"/>
        <v>54.741300000000003</v>
      </c>
      <c r="D22" s="12">
        <f t="shared" si="1"/>
        <v>3.8592616500000001</v>
      </c>
      <c r="E22" s="12">
        <f t="shared" si="2"/>
        <v>0.17228846651785715</v>
      </c>
      <c r="F22" s="12">
        <f>E22/Calculation!K$9*1000</f>
        <v>0.12994175962835786</v>
      </c>
      <c r="G22" s="12">
        <f t="shared" si="3"/>
        <v>33.941465249874454</v>
      </c>
      <c r="I22" s="78">
        <v>48</v>
      </c>
      <c r="J22" t="s">
        <v>185</v>
      </c>
    </row>
    <row r="23" spans="1:10">
      <c r="A23" s="12">
        <v>9</v>
      </c>
      <c r="B23" s="77">
        <v>55419.8</v>
      </c>
      <c r="C23" s="12">
        <f t="shared" si="0"/>
        <v>55.419800000000002</v>
      </c>
      <c r="D23" s="12">
        <f t="shared" si="1"/>
        <v>3.9070959000000003</v>
      </c>
      <c r="E23" s="12">
        <f t="shared" si="2"/>
        <v>0.17442392410714289</v>
      </c>
      <c r="F23" s="12">
        <f>E23/Calculation!K$10*1000</f>
        <v>0.1363506058183705</v>
      </c>
      <c r="G23" s="12">
        <f t="shared" si="3"/>
        <v>37.935850731575378</v>
      </c>
    </row>
    <row r="24" spans="1:10">
      <c r="A24" s="12">
        <v>9.5</v>
      </c>
      <c r="B24" s="77">
        <v>52227.4</v>
      </c>
      <c r="C24" s="12">
        <f t="shared" si="0"/>
        <v>52.227400000000003</v>
      </c>
      <c r="D24" s="12">
        <f t="shared" si="1"/>
        <v>3.6820317</v>
      </c>
      <c r="E24" s="12">
        <f t="shared" si="2"/>
        <v>0.16437641517857143</v>
      </c>
      <c r="F24" s="12">
        <f>E24/Calculation!K$10*1000</f>
        <v>0.12849627083313839</v>
      </c>
      <c r="G24" s="12">
        <f t="shared" si="3"/>
        <v>41.908553881348013</v>
      </c>
    </row>
    <row r="25" spans="1:10">
      <c r="A25" s="12">
        <v>10</v>
      </c>
      <c r="B25" s="77">
        <v>51702.39</v>
      </c>
      <c r="C25" s="12">
        <f t="shared" si="0"/>
        <v>51.702390000000001</v>
      </c>
      <c r="D25" s="12">
        <f t="shared" si="1"/>
        <v>3.645018495</v>
      </c>
      <c r="E25" s="12">
        <f t="shared" si="2"/>
        <v>0.16272403995535714</v>
      </c>
      <c r="F25" s="12">
        <f>E25/Calculation!K$11*1000</f>
        <v>0.13197102451938814</v>
      </c>
      <c r="G25" s="12">
        <f t="shared" si="3"/>
        <v>45.815563311635913</v>
      </c>
    </row>
    <row r="26" spans="1:10">
      <c r="A26" s="12">
        <v>10.5</v>
      </c>
      <c r="B26" s="77">
        <v>48930.28</v>
      </c>
      <c r="C26" s="12">
        <f t="shared" si="0"/>
        <v>48.930279999999996</v>
      </c>
      <c r="D26" s="12">
        <f t="shared" si="1"/>
        <v>3.4495847400000001</v>
      </c>
      <c r="E26" s="12">
        <f t="shared" si="2"/>
        <v>0.15399931875</v>
      </c>
      <c r="F26" s="12">
        <f>E26/Calculation!K$11*1000</f>
        <v>0.12489517760437237</v>
      </c>
      <c r="G26" s="12">
        <f t="shared" si="3"/>
        <v>49.66855634349232</v>
      </c>
    </row>
    <row r="27" spans="1:10">
      <c r="A27" s="12">
        <v>11</v>
      </c>
      <c r="B27" s="77">
        <v>21567.88</v>
      </c>
      <c r="C27" s="12">
        <f t="shared" si="0"/>
        <v>21.567880000000002</v>
      </c>
      <c r="D27" s="12">
        <f t="shared" si="1"/>
        <v>1.52053554</v>
      </c>
      <c r="E27" s="12">
        <f t="shared" si="2"/>
        <v>6.7881050892857148E-2</v>
      </c>
      <c r="F27" s="12">
        <f>E27/Calculation!K$11*1000</f>
        <v>5.5052294880589096E-2</v>
      </c>
      <c r="G27" s="12">
        <f t="shared" si="3"/>
        <v>52.367768430766745</v>
      </c>
    </row>
    <row r="28" spans="1:10">
      <c r="A28" s="12">
        <v>11.5</v>
      </c>
      <c r="B28" s="77">
        <v>4689.26</v>
      </c>
      <c r="C28" s="12">
        <f t="shared" si="0"/>
        <v>4.68926</v>
      </c>
      <c r="D28" s="12">
        <f t="shared" si="1"/>
        <v>0.33059283</v>
      </c>
      <c r="E28" s="12">
        <f t="shared" si="2"/>
        <v>1.4758608482142858E-2</v>
      </c>
      <c r="F28" s="12">
        <f>E28/Calculation!K$12*1000</f>
        <v>1.2482233222511848E-2</v>
      </c>
      <c r="G28" s="12">
        <f t="shared" si="3"/>
        <v>53.380786352313258</v>
      </c>
    </row>
    <row r="29" spans="1:10">
      <c r="A29" s="12">
        <v>12</v>
      </c>
      <c r="B29" s="77">
        <v>1220.73</v>
      </c>
      <c r="C29" s="12">
        <f t="shared" si="0"/>
        <v>1.2207300000000001</v>
      </c>
      <c r="D29" s="12">
        <f t="shared" si="1"/>
        <v>8.6061465000000018E-2</v>
      </c>
      <c r="E29" s="12">
        <f t="shared" si="2"/>
        <v>3.8420296875000012E-3</v>
      </c>
      <c r="F29" s="12">
        <f>E29/Calculation!K$12*1000</f>
        <v>3.2494330793594066E-3</v>
      </c>
      <c r="G29" s="12">
        <f t="shared" si="3"/>
        <v>53.616761346841329</v>
      </c>
    </row>
    <row r="30" spans="1:10">
      <c r="A30" s="12">
        <v>12.5</v>
      </c>
      <c r="B30" s="77">
        <v>344.99</v>
      </c>
      <c r="C30" s="12">
        <f t="shared" si="0"/>
        <v>0.34499000000000002</v>
      </c>
      <c r="D30" s="12">
        <f t="shared" si="1"/>
        <v>2.4321795000000004E-2</v>
      </c>
      <c r="E30" s="12">
        <f t="shared" si="2"/>
        <v>1.0857944196428573E-3</v>
      </c>
      <c r="F30" s="12">
        <f>E30/Calculation!K$12*1000</f>
        <v>9.1832093751132631E-4</v>
      </c>
      <c r="G30" s="12">
        <f t="shared" si="3"/>
        <v>53.679277657094389</v>
      </c>
    </row>
    <row r="31" spans="1:10">
      <c r="A31" s="12">
        <v>13</v>
      </c>
      <c r="B31" s="77">
        <v>165.68</v>
      </c>
      <c r="C31" s="12">
        <f t="shared" si="0"/>
        <v>0.16567999999999999</v>
      </c>
      <c r="D31" s="12">
        <f t="shared" si="1"/>
        <v>1.168044E-2</v>
      </c>
      <c r="E31" s="12">
        <f t="shared" si="2"/>
        <v>5.2144821428571438E-4</v>
      </c>
      <c r="F31" s="12">
        <f>E31/Calculation!K$13*1000</f>
        <v>4.5757181217938249E-4</v>
      </c>
      <c r="G31" s="12">
        <f t="shared" si="3"/>
        <v>53.699916048339752</v>
      </c>
    </row>
    <row r="32" spans="1:10">
      <c r="A32" s="12">
        <v>13.5</v>
      </c>
      <c r="B32" s="77">
        <v>111.17</v>
      </c>
      <c r="C32" s="12">
        <f t="shared" si="0"/>
        <v>0.11117</v>
      </c>
      <c r="D32" s="12">
        <f t="shared" si="1"/>
        <v>7.8374849999999999E-3</v>
      </c>
      <c r="E32" s="12">
        <f t="shared" si="2"/>
        <v>3.4988772321428572E-4</v>
      </c>
      <c r="F32" s="12">
        <f>E32/Calculation!K$13*1000</f>
        <v>3.0702715089317933E-4</v>
      </c>
      <c r="G32" s="12">
        <f t="shared" si="3"/>
        <v>53.711385032785842</v>
      </c>
    </row>
    <row r="33" spans="1:7">
      <c r="A33" s="12">
        <v>14</v>
      </c>
      <c r="B33" s="77">
        <v>104</v>
      </c>
      <c r="C33" s="12">
        <f t="shared" si="0"/>
        <v>0.104</v>
      </c>
      <c r="D33" s="12">
        <f t="shared" si="1"/>
        <v>7.332E-3</v>
      </c>
      <c r="E33" s="12">
        <f t="shared" si="2"/>
        <v>3.2732142857142861E-4</v>
      </c>
      <c r="F33" s="12">
        <f>E33/Calculation!K$14*1000</f>
        <v>2.9764267760472014E-4</v>
      </c>
      <c r="G33" s="12">
        <f t="shared" si="3"/>
        <v>53.720455080213313</v>
      </c>
    </row>
    <row r="34" spans="1:7">
      <c r="A34" s="12">
        <v>14.5</v>
      </c>
      <c r="B34" s="77">
        <v>131.25</v>
      </c>
      <c r="C34" s="12">
        <f t="shared" si="0"/>
        <v>0.13125000000000001</v>
      </c>
      <c r="D34" s="12">
        <f t="shared" si="1"/>
        <v>9.2531250000000009E-3</v>
      </c>
      <c r="E34" s="12">
        <f t="shared" si="2"/>
        <v>4.1308593750000004E-4</v>
      </c>
      <c r="F34" s="12">
        <f>E34/Calculation!K$14*1000</f>
        <v>3.7563078303480307E-4</v>
      </c>
      <c r="G34" s="12">
        <f t="shared" si="3"/>
        <v>53.730554182122908</v>
      </c>
    </row>
    <row r="35" spans="1:7">
      <c r="A35" s="12">
        <v>15</v>
      </c>
      <c r="B35" s="77">
        <v>106.15</v>
      </c>
      <c r="C35" s="12">
        <f t="shared" si="0"/>
        <v>0.10615000000000001</v>
      </c>
      <c r="D35" s="12">
        <f t="shared" si="1"/>
        <v>7.4835750000000001E-3</v>
      </c>
      <c r="E35" s="12">
        <f t="shared" si="2"/>
        <v>3.3408816964285718E-4</v>
      </c>
      <c r="F35" s="12">
        <f>E35/Calculation!K$14*1000</f>
        <v>3.0379586757443313E-4</v>
      </c>
      <c r="G35" s="12">
        <f t="shared" si="3"/>
        <v>53.740745581882045</v>
      </c>
    </row>
    <row r="36" spans="1:7">
      <c r="A36" s="12">
        <v>15.5</v>
      </c>
      <c r="B36" s="77">
        <v>110.45</v>
      </c>
      <c r="C36" s="12">
        <f t="shared" si="0"/>
        <v>0.11045000000000001</v>
      </c>
      <c r="D36" s="12">
        <f t="shared" si="1"/>
        <v>7.7867250000000004E-3</v>
      </c>
      <c r="E36" s="12">
        <f t="shared" si="2"/>
        <v>3.4762165178571432E-4</v>
      </c>
      <c r="F36" s="12">
        <f>E36/Calculation!K$15*1000</f>
        <v>3.2975923030473687E-4</v>
      </c>
      <c r="G36" s="12">
        <f t="shared" si="3"/>
        <v>53.75024890835023</v>
      </c>
    </row>
    <row r="37" spans="1:7">
      <c r="A37" s="12">
        <v>16</v>
      </c>
      <c r="B37" s="77">
        <v>180.03</v>
      </c>
      <c r="C37" s="12">
        <f t="shared" si="0"/>
        <v>0.18003</v>
      </c>
      <c r="D37" s="12">
        <f t="shared" si="1"/>
        <v>1.2692115E-2</v>
      </c>
      <c r="E37" s="12">
        <f t="shared" si="2"/>
        <v>5.6661227678571433E-4</v>
      </c>
      <c r="F37" s="12">
        <f>E37/Calculation!K$15*1000</f>
        <v>5.3749709580590114E-4</v>
      </c>
      <c r="G37" s="12">
        <f t="shared" si="3"/>
        <v>53.763257753241888</v>
      </c>
    </row>
    <row r="38" spans="1:7">
      <c r="A38" s="12">
        <v>16.5</v>
      </c>
      <c r="B38" s="77">
        <v>132.69</v>
      </c>
      <c r="C38" s="12">
        <f t="shared" si="0"/>
        <v>0.13269</v>
      </c>
      <c r="D38" s="12">
        <f t="shared" si="1"/>
        <v>9.354645E-3</v>
      </c>
      <c r="E38" s="12">
        <f t="shared" si="2"/>
        <v>4.1761808035714289E-4</v>
      </c>
      <c r="F38" s="12">
        <f>E38/Calculation!K$15*1000</f>
        <v>3.9615891597225472E-4</v>
      </c>
      <c r="G38" s="12">
        <f t="shared" si="3"/>
        <v>53.777262593418563</v>
      </c>
    </row>
    <row r="39" spans="1:7">
      <c r="A39" s="12">
        <v>17</v>
      </c>
      <c r="B39" s="77">
        <v>137.71</v>
      </c>
      <c r="C39" s="12">
        <f t="shared" si="0"/>
        <v>0.13771</v>
      </c>
      <c r="D39" s="12">
        <f t="shared" si="1"/>
        <v>9.7085550000000007E-3</v>
      </c>
      <c r="E39" s="12">
        <f t="shared" si="2"/>
        <v>4.3341763392857149E-4</v>
      </c>
      <c r="F39" s="12">
        <f>E39/Calculation!K$16*1000</f>
        <v>4.2808523938548152E-4</v>
      </c>
      <c r="G39" s="12">
        <f t="shared" si="3"/>
        <v>53.789626255748928</v>
      </c>
    </row>
    <row r="40" spans="1:7">
      <c r="A40" s="12">
        <v>17.5</v>
      </c>
      <c r="B40" s="77">
        <v>130.54</v>
      </c>
      <c r="C40" s="12">
        <f t="shared" si="0"/>
        <v>0.13053999999999999</v>
      </c>
      <c r="D40" s="12">
        <f t="shared" si="1"/>
        <v>9.203069999999999E-3</v>
      </c>
      <c r="E40" s="12">
        <f t="shared" si="2"/>
        <v>4.1085133928571427E-4</v>
      </c>
      <c r="F40" s="12">
        <f>E40/Calculation!K$16*1000</f>
        <v>4.0579658085382867E-4</v>
      </c>
      <c r="G40" s="12">
        <f t="shared" si="3"/>
        <v>53.802134483052519</v>
      </c>
    </row>
    <row r="41" spans="1:7">
      <c r="A41" s="12">
        <v>18</v>
      </c>
      <c r="B41" s="77">
        <v>176.44</v>
      </c>
      <c r="C41" s="12">
        <f t="shared" si="0"/>
        <v>0.17643999999999999</v>
      </c>
      <c r="D41" s="12">
        <f t="shared" si="1"/>
        <v>1.2439019999999999E-2</v>
      </c>
      <c r="E41" s="12">
        <f t="shared" si="2"/>
        <v>5.5531339285714285E-4</v>
      </c>
      <c r="F41" s="12">
        <f>E41/Calculation!K$17*1000</f>
        <v>5.7482991005636578E-4</v>
      </c>
      <c r="G41" s="12">
        <f t="shared" si="3"/>
        <v>53.816843880416172</v>
      </c>
    </row>
    <row r="42" spans="1:7">
      <c r="A42" s="12">
        <v>18.5</v>
      </c>
      <c r="B42" s="77">
        <v>143.44999999999999</v>
      </c>
      <c r="C42" s="12">
        <f t="shared" si="0"/>
        <v>0.14344999999999999</v>
      </c>
      <c r="D42" s="12">
        <f t="shared" si="1"/>
        <v>1.0113225E-2</v>
      </c>
      <c r="E42" s="12">
        <f t="shared" si="2"/>
        <v>4.5148325892857148E-4</v>
      </c>
      <c r="F42" s="12">
        <f>E42/Calculation!K$17*1000</f>
        <v>4.6735066083419683E-4</v>
      </c>
      <c r="G42" s="12">
        <f t="shared" si="3"/>
        <v>53.832476588979532</v>
      </c>
    </row>
    <row r="43" spans="1:7">
      <c r="A43" s="12">
        <v>19</v>
      </c>
      <c r="B43" s="77">
        <v>109.74</v>
      </c>
      <c r="C43" s="12">
        <f t="shared" si="0"/>
        <v>0.10973999999999999</v>
      </c>
      <c r="D43" s="12">
        <f t="shared" si="1"/>
        <v>7.7366699999999993E-3</v>
      </c>
      <c r="E43" s="12">
        <f t="shared" si="2"/>
        <v>3.4538705357142855E-4</v>
      </c>
      <c r="F43" s="12">
        <f>E43/Calculation!K$17*1000</f>
        <v>3.5752569898880968E-4</v>
      </c>
      <c r="G43" s="12">
        <f t="shared" si="3"/>
        <v>53.844849734376879</v>
      </c>
    </row>
    <row r="44" spans="1:7">
      <c r="A44" s="12">
        <v>19.5</v>
      </c>
      <c r="B44" s="77">
        <v>130.54</v>
      </c>
      <c r="C44" s="12">
        <f t="shared" si="0"/>
        <v>0.13053999999999999</v>
      </c>
      <c r="D44" s="12">
        <f t="shared" si="1"/>
        <v>9.203069999999999E-3</v>
      </c>
      <c r="E44" s="12">
        <f t="shared" si="2"/>
        <v>4.1085133928571427E-4</v>
      </c>
      <c r="F44" s="12">
        <f>E44/Calculation!K$17*1000</f>
        <v>4.2529073032621849E-4</v>
      </c>
      <c r="G44" s="12">
        <f t="shared" si="3"/>
        <v>53.856591980816603</v>
      </c>
    </row>
    <row r="45" spans="1:7">
      <c r="A45" s="12">
        <v>20</v>
      </c>
      <c r="B45" s="77">
        <v>109.02</v>
      </c>
      <c r="C45" s="12">
        <f t="shared" si="0"/>
        <v>0.10901999999999999</v>
      </c>
      <c r="D45" s="12">
        <f t="shared" si="1"/>
        <v>7.6859099999999998E-3</v>
      </c>
      <c r="E45" s="12">
        <f t="shared" si="2"/>
        <v>3.4312098214285715E-4</v>
      </c>
      <c r="F45" s="12">
        <f>E45/Calculation!K$17*1000</f>
        <v>3.551799863655917E-4</v>
      </c>
      <c r="G45" s="12">
        <f t="shared" si="3"/>
        <v>53.868299041566978</v>
      </c>
    </row>
    <row r="46" spans="1:7">
      <c r="A46" s="12">
        <v>20.5</v>
      </c>
      <c r="B46" s="77">
        <v>157.07</v>
      </c>
      <c r="C46" s="12">
        <f t="shared" si="0"/>
        <v>0.15706999999999999</v>
      </c>
      <c r="D46" s="12">
        <f t="shared" si="1"/>
        <v>1.1073435E-2</v>
      </c>
      <c r="E46" s="12">
        <f t="shared" si="2"/>
        <v>4.9434977678571425E-4</v>
      </c>
      <c r="F46" s="12">
        <f>E46/Calculation!K$17*1000</f>
        <v>5.1172372462340388E-4</v>
      </c>
      <c r="G46" s="12">
        <f t="shared" si="3"/>
        <v>53.881302597231816</v>
      </c>
    </row>
    <row r="47" spans="1:7">
      <c r="A47" s="12">
        <v>21</v>
      </c>
      <c r="B47" s="77">
        <v>151.34</v>
      </c>
      <c r="C47" s="12">
        <f t="shared" si="0"/>
        <v>0.15134</v>
      </c>
      <c r="D47" s="12">
        <f t="shared" si="1"/>
        <v>1.066947E-2</v>
      </c>
      <c r="E47" s="12">
        <f t="shared" si="2"/>
        <v>4.7631562500000005E-4</v>
      </c>
      <c r="F47" s="12">
        <f>E47/Calculation!K$17*1000</f>
        <v>4.9305576166362741E-4</v>
      </c>
      <c r="G47" s="12">
        <f t="shared" si="3"/>
        <v>53.896374289526122</v>
      </c>
    </row>
    <row r="48" spans="1:7">
      <c r="A48" s="12">
        <v>21.5</v>
      </c>
      <c r="B48" s="77">
        <v>105.43</v>
      </c>
      <c r="C48" s="12">
        <f t="shared" si="0"/>
        <v>0.10543000000000001</v>
      </c>
      <c r="D48" s="12">
        <f t="shared" si="1"/>
        <v>7.4328150000000006E-3</v>
      </c>
      <c r="E48" s="12">
        <f t="shared" si="2"/>
        <v>3.3182209821428578E-4</v>
      </c>
      <c r="F48" s="12">
        <f>E48/Calculation!K$17*1000</f>
        <v>3.434840025914909E-4</v>
      </c>
      <c r="G48" s="12">
        <f t="shared" si="3"/>
        <v>53.908922385989946</v>
      </c>
    </row>
    <row r="49" spans="1:7">
      <c r="A49" s="12">
        <v>22</v>
      </c>
      <c r="B49" s="77">
        <v>140.58000000000001</v>
      </c>
      <c r="C49" s="12">
        <f t="shared" si="0"/>
        <v>0.14058000000000001</v>
      </c>
      <c r="D49" s="12">
        <f t="shared" si="1"/>
        <v>9.9108900000000003E-3</v>
      </c>
      <c r="E49" s="12">
        <f t="shared" si="2"/>
        <v>4.4245044642857146E-4</v>
      </c>
      <c r="F49" s="12">
        <f>E49/Calculation!K$17*1000</f>
        <v>4.5800038968331396E-4</v>
      </c>
      <c r="G49" s="12">
        <f t="shared" si="3"/>
        <v>53.920944651874066</v>
      </c>
    </row>
    <row r="50" spans="1:7">
      <c r="A50" s="12">
        <v>22.5</v>
      </c>
      <c r="B50" s="77">
        <v>133.41</v>
      </c>
      <c r="C50" s="12">
        <f t="shared" si="0"/>
        <v>0.13341</v>
      </c>
      <c r="D50" s="12">
        <f t="shared" si="1"/>
        <v>9.4054050000000004E-3</v>
      </c>
      <c r="E50" s="12">
        <f t="shared" si="2"/>
        <v>4.1988415178571435E-4</v>
      </c>
      <c r="F50" s="12">
        <f>E50/Calculation!K$17*1000</f>
        <v>4.3464100147710142E-4</v>
      </c>
      <c r="G50" s="12">
        <f t="shared" si="3"/>
        <v>53.934334272741474</v>
      </c>
    </row>
    <row r="51" spans="1:7">
      <c r="A51" s="12">
        <v>23</v>
      </c>
      <c r="B51" s="77">
        <v>139.13999999999999</v>
      </c>
      <c r="C51" s="12">
        <f t="shared" si="0"/>
        <v>0.13913999999999999</v>
      </c>
      <c r="D51" s="12">
        <f t="shared" si="1"/>
        <v>9.8093699999999995E-3</v>
      </c>
      <c r="E51" s="12">
        <f t="shared" si="2"/>
        <v>4.3791830357142861E-4</v>
      </c>
      <c r="F51" s="12">
        <f>E51/Calculation!K$17*1000</f>
        <v>4.5330896443687799E-4</v>
      </c>
      <c r="G51" s="12">
        <f t="shared" si="3"/>
        <v>53.947653522230183</v>
      </c>
    </row>
    <row r="52" spans="1:7">
      <c r="A52" s="12">
        <v>23.5</v>
      </c>
      <c r="B52" s="77">
        <v>219.47</v>
      </c>
      <c r="C52" s="12">
        <f t="shared" si="0"/>
        <v>0.21947</v>
      </c>
      <c r="D52" s="12">
        <f t="shared" si="1"/>
        <v>1.5472635E-2</v>
      </c>
      <c r="E52" s="12">
        <f t="shared" si="2"/>
        <v>6.9074263392857147E-4</v>
      </c>
      <c r="F52" s="12">
        <f>E52/Calculation!K$17*1000</f>
        <v>7.150188186356303E-4</v>
      </c>
      <c r="G52" s="12">
        <f t="shared" si="3"/>
        <v>53.965178438976274</v>
      </c>
    </row>
    <row r="53" spans="1:7">
      <c r="A53" s="12">
        <v>24</v>
      </c>
      <c r="B53" s="77">
        <v>151.34</v>
      </c>
      <c r="C53" s="12">
        <f t="shared" si="0"/>
        <v>0.15134</v>
      </c>
      <c r="D53" s="12">
        <f t="shared" si="1"/>
        <v>1.066947E-2</v>
      </c>
      <c r="E53" s="12">
        <f t="shared" si="2"/>
        <v>4.7631562500000005E-4</v>
      </c>
      <c r="F53" s="12">
        <f>E53/Calculation!K$18*1000</f>
        <v>5.1951489438448249E-4</v>
      </c>
      <c r="G53" s="12">
        <f t="shared" si="3"/>
        <v>53.983696444671573</v>
      </c>
    </row>
    <row r="54" spans="1:7">
      <c r="A54" s="12">
        <v>24.5</v>
      </c>
      <c r="B54" s="77">
        <v>209.43</v>
      </c>
      <c r="C54" s="12">
        <f t="shared" si="0"/>
        <v>0.20943000000000001</v>
      </c>
      <c r="D54" s="12">
        <f t="shared" si="1"/>
        <v>1.4764815000000001E-2</v>
      </c>
      <c r="E54" s="12">
        <f t="shared" si="2"/>
        <v>6.5914352678571439E-4</v>
      </c>
      <c r="F54" s="12">
        <f>E54/Calculation!K$18*1000</f>
        <v>7.1892430508089188E-4</v>
      </c>
      <c r="G54" s="12">
        <f t="shared" si="3"/>
        <v>54.002273032663552</v>
      </c>
    </row>
    <row r="55" spans="1:7">
      <c r="A55" s="12">
        <v>25</v>
      </c>
      <c r="B55" s="77">
        <v>210.87</v>
      </c>
      <c r="C55" s="12">
        <f t="shared" si="0"/>
        <v>0.21087</v>
      </c>
      <c r="D55" s="12">
        <f t="shared" si="1"/>
        <v>1.4866335E-2</v>
      </c>
      <c r="E55" s="12">
        <f t="shared" si="2"/>
        <v>6.6367566964285719E-4</v>
      </c>
      <c r="F55" s="12">
        <f>E55/Calculation!K$18*1000</f>
        <v>7.2386748895768348E-4</v>
      </c>
      <c r="G55" s="12">
        <f t="shared" si="3"/>
        <v>54.023914909574131</v>
      </c>
    </row>
    <row r="56" spans="1:7">
      <c r="A56" s="12">
        <v>25.5</v>
      </c>
      <c r="B56" s="77">
        <v>215.89</v>
      </c>
      <c r="C56" s="12">
        <f t="shared" si="0"/>
        <v>0.21589</v>
      </c>
      <c r="D56" s="12">
        <f t="shared" si="1"/>
        <v>1.5220245E-2</v>
      </c>
      <c r="E56" s="12">
        <f t="shared" si="2"/>
        <v>6.7947522321428573E-4</v>
      </c>
      <c r="F56" s="12">
        <f>E56/Calculation!K$18*1000</f>
        <v>7.4109997719483227E-4</v>
      </c>
      <c r="G56" s="12">
        <f t="shared" si="3"/>
        <v>54.045889421566422</v>
      </c>
    </row>
    <row r="57" spans="1:7">
      <c r="A57" s="12">
        <v>26</v>
      </c>
      <c r="B57" s="77">
        <v>238.12</v>
      </c>
      <c r="C57" s="12">
        <f t="shared" si="0"/>
        <v>0.23812</v>
      </c>
      <c r="D57" s="12">
        <f t="shared" si="1"/>
        <v>1.6787460000000001E-2</v>
      </c>
      <c r="E57" s="12">
        <f t="shared" si="2"/>
        <v>7.4944017857142867E-4</v>
      </c>
      <c r="F57" s="12">
        <f>E57/Calculation!K$18*1000</f>
        <v>8.1741037829280406E-4</v>
      </c>
      <c r="G57" s="12">
        <f t="shared" si="3"/>
        <v>54.069267076898733</v>
      </c>
    </row>
    <row r="58" spans="1:7">
      <c r="A58" s="12">
        <v>26.5</v>
      </c>
      <c r="B58" s="77">
        <v>261.07</v>
      </c>
      <c r="C58" s="12">
        <f t="shared" si="0"/>
        <v>0.26106999999999997</v>
      </c>
      <c r="D58" s="12">
        <f t="shared" si="1"/>
        <v>1.8405434999999998E-2</v>
      </c>
      <c r="E58" s="12">
        <f t="shared" si="2"/>
        <v>8.216712053571428E-4</v>
      </c>
      <c r="F58" s="12">
        <f>E58/Calculation!K$18*1000</f>
        <v>8.961923713291716E-4</v>
      </c>
      <c r="G58" s="12">
        <f t="shared" si="3"/>
        <v>54.094971118143064</v>
      </c>
    </row>
    <row r="59" spans="1:7">
      <c r="A59" s="12">
        <v>27</v>
      </c>
      <c r="B59" s="77">
        <v>286.89</v>
      </c>
      <c r="C59" s="12">
        <f t="shared" si="0"/>
        <v>0.28688999999999998</v>
      </c>
      <c r="D59" s="12">
        <f t="shared" si="1"/>
        <v>2.0225745E-2</v>
      </c>
      <c r="E59" s="12">
        <f t="shared" si="2"/>
        <v>9.0293504464285723E-4</v>
      </c>
      <c r="F59" s="12">
        <f>E59/Calculation!K$18*1000</f>
        <v>9.8482640445331161E-4</v>
      </c>
      <c r="G59" s="12">
        <f t="shared" si="3"/>
        <v>54.123186399779804</v>
      </c>
    </row>
    <row r="60" spans="1:7">
      <c r="A60" s="12">
        <v>27.5</v>
      </c>
      <c r="B60" s="77">
        <v>301.24</v>
      </c>
      <c r="C60" s="12">
        <f t="shared" si="0"/>
        <v>0.30124000000000001</v>
      </c>
      <c r="D60" s="12">
        <f t="shared" si="1"/>
        <v>2.123742E-2</v>
      </c>
      <c r="E60" s="12">
        <f t="shared" si="2"/>
        <v>9.4809910714285719E-4</v>
      </c>
      <c r="F60" s="12">
        <f>E60/Calculation!K$18*1000</f>
        <v>1.0340866048921733E-3</v>
      </c>
      <c r="G60" s="12">
        <f t="shared" si="3"/>
        <v>54.153470094919989</v>
      </c>
    </row>
    <row r="61" spans="1:7">
      <c r="A61" s="12">
        <v>28</v>
      </c>
      <c r="B61" s="77">
        <v>326.33999999999997</v>
      </c>
      <c r="C61" s="12">
        <f t="shared" si="0"/>
        <v>0.32633999999999996</v>
      </c>
      <c r="D61" s="12">
        <f t="shared" si="1"/>
        <v>2.3006969999999995E-2</v>
      </c>
      <c r="E61" s="12">
        <f t="shared" si="2"/>
        <v>1.0270968749999999E-3</v>
      </c>
      <c r="F61" s="12">
        <f>E61/Calculation!K$18*1000</f>
        <v>1.1202490460779171E-3</v>
      </c>
      <c r="G61" s="12">
        <f t="shared" si="3"/>
        <v>54.18578512968454</v>
      </c>
    </row>
    <row r="62" spans="1:7">
      <c r="A62" s="12">
        <v>28.5</v>
      </c>
      <c r="B62" s="77">
        <v>346.42</v>
      </c>
      <c r="C62" s="12">
        <f t="shared" si="0"/>
        <v>0.34642000000000001</v>
      </c>
      <c r="D62" s="12">
        <f t="shared" si="1"/>
        <v>2.4422610000000001E-2</v>
      </c>
      <c r="E62" s="12">
        <f t="shared" si="2"/>
        <v>1.0902950892857145E-3</v>
      </c>
      <c r="F62" s="12">
        <f>E62/Calculation!K$18*1000</f>
        <v>1.1891789990265127E-3</v>
      </c>
      <c r="G62" s="12">
        <f t="shared" si="3"/>
        <v>54.220426550361104</v>
      </c>
    </row>
    <row r="63" spans="1:7">
      <c r="A63" s="12">
        <v>29</v>
      </c>
      <c r="B63" s="77">
        <v>340.69</v>
      </c>
      <c r="C63" s="12">
        <f t="shared" si="0"/>
        <v>0.34068999999999999</v>
      </c>
      <c r="D63" s="12">
        <f t="shared" si="1"/>
        <v>2.4018644999999998E-2</v>
      </c>
      <c r="E63" s="12">
        <f t="shared" si="2"/>
        <v>1.0722609375E-3</v>
      </c>
      <c r="F63" s="12">
        <f>E63/Calculation!K$18*1000</f>
        <v>1.169509246516779E-3</v>
      </c>
      <c r="G63" s="12">
        <f t="shared" si="3"/>
        <v>54.255806874044254</v>
      </c>
    </row>
    <row r="64" spans="1:7">
      <c r="A64" s="12">
        <v>29.5</v>
      </c>
      <c r="B64" s="77">
        <v>341.4</v>
      </c>
      <c r="C64" s="12">
        <f t="shared" si="0"/>
        <v>0.34139999999999998</v>
      </c>
      <c r="D64" s="12">
        <f t="shared" si="1"/>
        <v>2.4068700000000002E-2</v>
      </c>
      <c r="E64" s="12">
        <f t="shared" si="2"/>
        <v>1.0744955357142858E-3</v>
      </c>
      <c r="F64" s="12">
        <f>E64/Calculation!K$18*1000</f>
        <v>1.1719465107893638E-3</v>
      </c>
      <c r="G64" s="12">
        <f t="shared" si="3"/>
        <v>54.290928710403847</v>
      </c>
    </row>
    <row r="65" spans="1:7">
      <c r="A65" s="12">
        <v>30</v>
      </c>
      <c r="B65" s="77">
        <v>370.81</v>
      </c>
      <c r="C65" s="12">
        <f t="shared" si="0"/>
        <v>0.37081000000000003</v>
      </c>
      <c r="D65" s="12">
        <f t="shared" si="1"/>
        <v>2.6142105000000002E-2</v>
      </c>
      <c r="E65" s="12">
        <f t="shared" si="2"/>
        <v>1.1670582589285716E-3</v>
      </c>
      <c r="F65" s="12">
        <f>E65/Calculation!K$19*1000</f>
        <v>1.3509793499293999E-3</v>
      </c>
      <c r="G65" s="12">
        <f t="shared" si="3"/>
        <v>54.328772598314629</v>
      </c>
    </row>
    <row r="66" spans="1:7">
      <c r="A66" s="12">
        <v>30.5</v>
      </c>
      <c r="B66" s="77">
        <v>334.95</v>
      </c>
      <c r="C66" s="12">
        <f t="shared" si="0"/>
        <v>0.33494999999999997</v>
      </c>
      <c r="D66" s="12">
        <f t="shared" si="1"/>
        <v>2.3613974999999999E-2</v>
      </c>
      <c r="E66" s="12">
        <f t="shared" si="2"/>
        <v>1.0541953125E-3</v>
      </c>
      <c r="F66" s="12">
        <f>E66/Calculation!K$19*1000</f>
        <v>1.2203299081978707E-3</v>
      </c>
      <c r="G66" s="12">
        <f t="shared" si="3"/>
        <v>54.367342237186541</v>
      </c>
    </row>
    <row r="67" spans="1:7">
      <c r="A67" s="12">
        <v>31</v>
      </c>
      <c r="B67" s="77">
        <v>346.42</v>
      </c>
      <c r="C67" s="12">
        <f t="shared" si="0"/>
        <v>0.34642000000000001</v>
      </c>
      <c r="D67" s="12">
        <f t="shared" si="1"/>
        <v>2.4422610000000001E-2</v>
      </c>
      <c r="E67" s="12">
        <f t="shared" si="2"/>
        <v>1.0902950892857145E-3</v>
      </c>
      <c r="F67" s="12">
        <f>E67/Calculation!K$19*1000</f>
        <v>1.2621187842899132E-3</v>
      </c>
      <c r="G67" s="12">
        <f t="shared" si="3"/>
        <v>54.404578967573855</v>
      </c>
    </row>
    <row r="68" spans="1:7">
      <c r="A68" s="12">
        <v>31.5</v>
      </c>
      <c r="B68" s="77">
        <v>273.98</v>
      </c>
      <c r="C68" s="12">
        <f t="shared" si="0"/>
        <v>0.27398</v>
      </c>
      <c r="D68" s="12">
        <f t="shared" si="1"/>
        <v>1.9315590000000001E-2</v>
      </c>
      <c r="E68" s="12">
        <f t="shared" si="2"/>
        <v>8.6230312500000007E-4</v>
      </c>
      <c r="F68" s="12">
        <f>E68/Calculation!K$19*1000</f>
        <v>9.9819671069727623E-4</v>
      </c>
      <c r="G68" s="12">
        <f t="shared" si="3"/>
        <v>54.438483699998663</v>
      </c>
    </row>
    <row r="69" spans="1:7">
      <c r="A69" s="12">
        <v>32</v>
      </c>
      <c r="B69" s="77">
        <v>290.48</v>
      </c>
      <c r="C69" s="12">
        <f t="shared" si="0"/>
        <v>0.29048000000000002</v>
      </c>
      <c r="D69" s="12">
        <f t="shared" si="1"/>
        <v>2.0478840000000002E-2</v>
      </c>
      <c r="E69" s="12">
        <f t="shared" si="2"/>
        <v>9.1423392857142871E-4</v>
      </c>
      <c r="F69" s="12">
        <f>E69/Calculation!K$19*1000</f>
        <v>1.058311484500127E-3</v>
      </c>
      <c r="G69" s="12">
        <f t="shared" si="3"/>
        <v>54.469331322926621</v>
      </c>
    </row>
    <row r="70" spans="1:7">
      <c r="A70" s="12">
        <v>32.5</v>
      </c>
      <c r="B70" s="77">
        <v>269.68</v>
      </c>
      <c r="C70" s="12">
        <f t="shared" ref="C70:C101" si="4">B70/1000</f>
        <v>0.26968000000000003</v>
      </c>
      <c r="D70" s="12">
        <f t="shared" ref="D70:D101" si="5">C70/1000*$B$1</f>
        <v>1.9012440000000002E-2</v>
      </c>
      <c r="E70" s="12">
        <f t="shared" ref="E70:E101" si="6">D70/22.4</f>
        <v>8.4876964285714304E-4</v>
      </c>
      <c r="F70" s="12">
        <f>E70/Calculation!K$19*1000</f>
        <v>9.8253043631229089E-4</v>
      </c>
      <c r="G70" s="12">
        <f t="shared" si="3"/>
        <v>54.499943951738807</v>
      </c>
    </row>
    <row r="71" spans="1:7">
      <c r="A71" s="12">
        <v>33</v>
      </c>
      <c r="B71" s="77">
        <v>118.34</v>
      </c>
      <c r="C71" s="12">
        <f t="shared" si="4"/>
        <v>0.11834</v>
      </c>
      <c r="D71" s="12">
        <f t="shared" si="5"/>
        <v>8.3429699999999999E-3</v>
      </c>
      <c r="E71" s="12">
        <f t="shared" si="6"/>
        <v>3.7245401785714288E-4</v>
      </c>
      <c r="F71" s="12">
        <f>E71/Calculation!K$19*1000</f>
        <v>4.3115044435329466E-4</v>
      </c>
      <c r="G71" s="12">
        <f t="shared" ref="G71:G101" si="7">G70+(F71+F70)/2*30</f>
        <v>54.521149164948788</v>
      </c>
    </row>
    <row r="72" spans="1:7">
      <c r="A72" s="12">
        <v>33.5</v>
      </c>
      <c r="B72" s="77">
        <v>211.58</v>
      </c>
      <c r="C72" s="12">
        <f t="shared" si="4"/>
        <v>0.21158000000000002</v>
      </c>
      <c r="D72" s="12">
        <f t="shared" si="5"/>
        <v>1.4916390000000002E-2</v>
      </c>
      <c r="E72" s="12">
        <f t="shared" si="6"/>
        <v>6.6591026785714296E-4</v>
      </c>
      <c r="F72" s="12">
        <f>E72/Calculation!K$19*1000</f>
        <v>7.7085356613376785E-4</v>
      </c>
      <c r="G72" s="12">
        <f t="shared" si="7"/>
        <v>54.539179225106096</v>
      </c>
    </row>
    <row r="73" spans="1:7">
      <c r="A73" s="12">
        <v>34</v>
      </c>
      <c r="B73" s="77">
        <v>258.92</v>
      </c>
      <c r="C73" s="12">
        <f t="shared" si="4"/>
        <v>0.25892000000000004</v>
      </c>
      <c r="D73" s="12">
        <f t="shared" si="5"/>
        <v>1.8253860000000004E-2</v>
      </c>
      <c r="E73" s="12">
        <f t="shared" si="6"/>
        <v>8.1490446428571445E-4</v>
      </c>
      <c r="F73" s="12">
        <f>E73/Calculation!K$19*1000</f>
        <v>9.4332831715358346E-4</v>
      </c>
      <c r="G73" s="12">
        <f t="shared" si="7"/>
        <v>54.564891953355406</v>
      </c>
    </row>
    <row r="74" spans="1:7">
      <c r="A74" s="12">
        <v>34.5</v>
      </c>
      <c r="B74" s="77">
        <v>214.45</v>
      </c>
      <c r="C74" s="12">
        <f t="shared" si="4"/>
        <v>0.21445</v>
      </c>
      <c r="D74" s="12">
        <f t="shared" si="5"/>
        <v>1.5118725000000001E-2</v>
      </c>
      <c r="E74" s="12">
        <f t="shared" si="6"/>
        <v>6.7494308035714293E-4</v>
      </c>
      <c r="F74" s="12">
        <f>E74/Calculation!K$19*1000</f>
        <v>7.8130989345583937E-4</v>
      </c>
      <c r="G74" s="12">
        <f t="shared" si="7"/>
        <v>54.590761526514548</v>
      </c>
    </row>
    <row r="75" spans="1:7">
      <c r="A75" s="12">
        <v>35</v>
      </c>
      <c r="B75" s="77">
        <v>182.89</v>
      </c>
      <c r="C75" s="12">
        <f t="shared" si="4"/>
        <v>0.18289</v>
      </c>
      <c r="D75" s="12">
        <f t="shared" si="5"/>
        <v>1.2893745E-2</v>
      </c>
      <c r="E75" s="12">
        <f t="shared" si="6"/>
        <v>5.7561361607142857E-4</v>
      </c>
      <c r="F75" s="12">
        <f>E75/Calculation!K$19*1000</f>
        <v>6.663267261092957E-4</v>
      </c>
      <c r="G75" s="12">
        <f t="shared" si="7"/>
        <v>54.612476075808026</v>
      </c>
    </row>
    <row r="76" spans="1:7">
      <c r="A76" s="12">
        <v>35.5</v>
      </c>
      <c r="B76" s="77">
        <v>0</v>
      </c>
      <c r="C76" s="12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54.622470976699667</v>
      </c>
    </row>
    <row r="77" spans="1:7">
      <c r="A77" s="12">
        <v>36</v>
      </c>
      <c r="B77" s="77">
        <v>211.58</v>
      </c>
      <c r="C77" s="12">
        <f t="shared" si="4"/>
        <v>0.21158000000000002</v>
      </c>
      <c r="D77" s="12">
        <f t="shared" si="5"/>
        <v>1.4916390000000002E-2</v>
      </c>
      <c r="E77" s="12">
        <f t="shared" si="6"/>
        <v>6.6591026785714296E-4</v>
      </c>
      <c r="F77" s="12">
        <f>E77/Calculation!K$19*1000</f>
        <v>7.7085356613376785E-4</v>
      </c>
      <c r="G77" s="12">
        <f t="shared" si="7"/>
        <v>54.634033780191672</v>
      </c>
    </row>
    <row r="78" spans="1:7">
      <c r="A78" s="12">
        <v>36.5</v>
      </c>
      <c r="B78" s="77">
        <v>167.12</v>
      </c>
      <c r="C78" s="12">
        <f t="shared" si="4"/>
        <v>0.16711999999999999</v>
      </c>
      <c r="D78" s="12">
        <f t="shared" si="5"/>
        <v>1.1781959999999999E-2</v>
      </c>
      <c r="E78" s="12">
        <f t="shared" si="6"/>
        <v>5.2598035714285717E-4</v>
      </c>
      <c r="F78" s="12">
        <f>E78/Calculation!K$19*1000</f>
        <v>6.0887157563226796E-4</v>
      </c>
      <c r="G78" s="12">
        <f t="shared" si="7"/>
        <v>54.654729657318164</v>
      </c>
    </row>
    <row r="79" spans="1:7">
      <c r="A79" s="12">
        <v>37</v>
      </c>
      <c r="B79" s="77">
        <v>173.57</v>
      </c>
      <c r="C79" s="12">
        <f t="shared" si="4"/>
        <v>0.17357</v>
      </c>
      <c r="D79" s="12">
        <f t="shared" si="5"/>
        <v>1.2236685000000001E-2</v>
      </c>
      <c r="E79" s="12">
        <f t="shared" si="6"/>
        <v>5.4628058035714288E-4</v>
      </c>
      <c r="F79" s="12">
        <f>E79/Calculation!K$19*1000</f>
        <v>6.3237098720974607E-4</v>
      </c>
      <c r="G79" s="12">
        <f t="shared" si="7"/>
        <v>54.673348295760796</v>
      </c>
    </row>
    <row r="80" spans="1:7">
      <c r="A80" s="12">
        <v>37.5</v>
      </c>
      <c r="B80" s="77">
        <v>169.27</v>
      </c>
      <c r="C80" s="12">
        <f t="shared" si="4"/>
        <v>0.16927</v>
      </c>
      <c r="D80" s="12">
        <f t="shared" si="5"/>
        <v>1.1933535E-2</v>
      </c>
      <c r="E80" s="12">
        <f t="shared" si="6"/>
        <v>5.3274709821428574E-4</v>
      </c>
      <c r="F80" s="12">
        <f>E80/Calculation!K$19*1000</f>
        <v>6.1670471282476063E-4</v>
      </c>
      <c r="G80" s="12">
        <f t="shared" si="7"/>
        <v>54.692084431261314</v>
      </c>
    </row>
    <row r="81" spans="1:7">
      <c r="A81" s="12">
        <v>38</v>
      </c>
      <c r="B81" s="77">
        <v>202.26</v>
      </c>
      <c r="C81" s="12">
        <f t="shared" si="4"/>
        <v>0.20226</v>
      </c>
      <c r="D81" s="12">
        <f t="shared" si="5"/>
        <v>1.4259330000000001E-2</v>
      </c>
      <c r="E81" s="12">
        <f t="shared" si="6"/>
        <v>6.3657723214285717E-4</v>
      </c>
      <c r="F81" s="12">
        <f>E81/Calculation!K$19*1000</f>
        <v>7.3689782723421811E-4</v>
      </c>
      <c r="G81" s="12">
        <f t="shared" si="7"/>
        <v>54.712388469362196</v>
      </c>
    </row>
    <row r="82" spans="1:7">
      <c r="A82" s="12">
        <v>38.5</v>
      </c>
      <c r="B82" s="77">
        <v>153.49</v>
      </c>
      <c r="C82" s="12">
        <f t="shared" si="4"/>
        <v>0.15349000000000002</v>
      </c>
      <c r="D82" s="12">
        <f t="shared" si="5"/>
        <v>1.0821045000000001E-2</v>
      </c>
      <c r="E82" s="12">
        <f t="shared" si="6"/>
        <v>4.8308236607142867E-4</v>
      </c>
      <c r="F82" s="12">
        <f>E82/Calculation!K$19*1000</f>
        <v>5.592131291514889E-4</v>
      </c>
      <c r="G82" s="12">
        <f t="shared" si="7"/>
        <v>54.73183013370798</v>
      </c>
    </row>
    <row r="83" spans="1:7">
      <c r="A83" s="12">
        <v>39</v>
      </c>
      <c r="B83" s="77">
        <v>162.81</v>
      </c>
      <c r="C83" s="12">
        <f t="shared" si="4"/>
        <v>0.16281000000000001</v>
      </c>
      <c r="D83" s="12">
        <f t="shared" si="5"/>
        <v>1.1478105000000002E-2</v>
      </c>
      <c r="E83" s="12">
        <f t="shared" si="6"/>
        <v>5.1241540178571441E-4</v>
      </c>
      <c r="F83" s="12">
        <f>E83/Calculation!K$19*1000</f>
        <v>5.9316886805103864E-4</v>
      </c>
      <c r="G83" s="12">
        <f t="shared" si="7"/>
        <v>54.74911586366602</v>
      </c>
    </row>
    <row r="84" spans="1:7">
      <c r="A84" s="12">
        <v>39.5</v>
      </c>
      <c r="B84" s="77">
        <v>164.25</v>
      </c>
      <c r="C84" s="12">
        <f t="shared" si="4"/>
        <v>0.16425000000000001</v>
      </c>
      <c r="D84" s="12">
        <f t="shared" si="5"/>
        <v>1.1579625000000001E-2</v>
      </c>
      <c r="E84" s="12">
        <f t="shared" si="6"/>
        <v>5.169475446428572E-4</v>
      </c>
      <c r="F84" s="12">
        <f>E84/Calculation!K$19*1000</f>
        <v>5.9841524831019633E-4</v>
      </c>
      <c r="G84" s="12">
        <f t="shared" si="7"/>
        <v>54.766989625411441</v>
      </c>
    </row>
    <row r="85" spans="1:7">
      <c r="A85" s="12">
        <v>40</v>
      </c>
      <c r="B85" s="77">
        <v>177.16</v>
      </c>
      <c r="C85" s="12">
        <f t="shared" si="4"/>
        <v>0.17715999999999998</v>
      </c>
      <c r="D85" s="12">
        <f t="shared" si="5"/>
        <v>1.2489779999999999E-2</v>
      </c>
      <c r="E85" s="12">
        <f t="shared" si="6"/>
        <v>5.5757946428571425E-4</v>
      </c>
      <c r="F85" s="12">
        <f>E85/Calculation!K$19*1000</f>
        <v>6.4545050466139654E-4</v>
      </c>
      <c r="G85" s="12">
        <f t="shared" si="7"/>
        <v>54.785647611706011</v>
      </c>
    </row>
    <row r="86" spans="1:7">
      <c r="A86" s="12">
        <v>40.5</v>
      </c>
      <c r="B86" s="77">
        <v>182.18</v>
      </c>
      <c r="C86" s="12">
        <f t="shared" si="4"/>
        <v>0.18218000000000001</v>
      </c>
      <c r="D86" s="12">
        <f t="shared" si="5"/>
        <v>1.2843690000000001E-2</v>
      </c>
      <c r="E86" s="12">
        <f t="shared" si="6"/>
        <v>5.733790178571429E-4</v>
      </c>
      <c r="F86" s="12">
        <f>E86/Calculation!K$19*1000</f>
        <v>6.6373996917596094E-4</v>
      </c>
      <c r="G86" s="12">
        <f t="shared" si="7"/>
        <v>54.805285468813572</v>
      </c>
    </row>
    <row r="87" spans="1:7">
      <c r="A87" s="12">
        <v>41</v>
      </c>
      <c r="B87" s="77">
        <v>164.25</v>
      </c>
      <c r="C87" s="12">
        <f t="shared" si="4"/>
        <v>0.16425000000000001</v>
      </c>
      <c r="D87" s="12">
        <f t="shared" si="5"/>
        <v>1.1579625000000001E-2</v>
      </c>
      <c r="E87" s="12">
        <f t="shared" si="6"/>
        <v>5.169475446428572E-4</v>
      </c>
      <c r="F87" s="12">
        <f>E87/Calculation!K$19*1000</f>
        <v>5.9841524831019633E-4</v>
      </c>
      <c r="G87" s="12">
        <f t="shared" si="7"/>
        <v>54.824217797075868</v>
      </c>
    </row>
    <row r="88" spans="1:7">
      <c r="A88" s="12">
        <v>41.5</v>
      </c>
      <c r="B88" s="77">
        <v>182.18</v>
      </c>
      <c r="C88" s="12">
        <f t="shared" si="4"/>
        <v>0.18218000000000001</v>
      </c>
      <c r="D88" s="12">
        <f t="shared" si="5"/>
        <v>1.2843690000000001E-2</v>
      </c>
      <c r="E88" s="12">
        <f t="shared" si="6"/>
        <v>5.733790178571429E-4</v>
      </c>
      <c r="F88" s="12">
        <f>E88/Calculation!K$19*1000</f>
        <v>6.6373996917596094E-4</v>
      </c>
      <c r="G88" s="12">
        <f t="shared" si="7"/>
        <v>54.843150125338163</v>
      </c>
    </row>
    <row r="89" spans="1:7">
      <c r="A89" s="12">
        <v>42</v>
      </c>
      <c r="B89" s="77">
        <v>180.03</v>
      </c>
      <c r="C89" s="12">
        <f t="shared" si="4"/>
        <v>0.18003</v>
      </c>
      <c r="D89" s="12">
        <f t="shared" si="5"/>
        <v>1.2692115E-2</v>
      </c>
      <c r="E89" s="12">
        <f t="shared" si="6"/>
        <v>5.6661227678571433E-4</v>
      </c>
      <c r="F89" s="12">
        <f>E89/Calculation!K$19*1000</f>
        <v>6.5590683198346828E-4</v>
      </c>
      <c r="G89" s="12">
        <f t="shared" si="7"/>
        <v>54.862944827355555</v>
      </c>
    </row>
    <row r="90" spans="1:7">
      <c r="A90" s="12">
        <v>42.5</v>
      </c>
      <c r="B90" s="77">
        <v>167.12</v>
      </c>
      <c r="C90" s="12">
        <f t="shared" si="4"/>
        <v>0.16711999999999999</v>
      </c>
      <c r="D90" s="12">
        <f t="shared" si="5"/>
        <v>1.1781959999999999E-2</v>
      </c>
      <c r="E90" s="12">
        <f t="shared" si="6"/>
        <v>5.2598035714285717E-4</v>
      </c>
      <c r="F90" s="12">
        <f>E90/Calculation!K$19*1000</f>
        <v>6.0887157563226796E-4</v>
      </c>
      <c r="G90" s="12">
        <f t="shared" si="7"/>
        <v>54.881916503469789</v>
      </c>
    </row>
    <row r="91" spans="1:7">
      <c r="A91" s="12">
        <v>43</v>
      </c>
      <c r="B91" s="77">
        <v>175.72</v>
      </c>
      <c r="C91" s="12">
        <f t="shared" si="4"/>
        <v>0.17571999999999999</v>
      </c>
      <c r="D91" s="12">
        <f t="shared" si="5"/>
        <v>1.2388259999999998E-2</v>
      </c>
      <c r="E91" s="12">
        <f t="shared" si="6"/>
        <v>5.5304732142857135E-4</v>
      </c>
      <c r="F91" s="12">
        <f>E91/Calculation!K$19*1000</f>
        <v>6.4020412440223863E-4</v>
      </c>
      <c r="G91" s="12">
        <f t="shared" si="7"/>
        <v>54.900652638970307</v>
      </c>
    </row>
    <row r="92" spans="1:7">
      <c r="A92" s="12">
        <v>43.5</v>
      </c>
      <c r="B92" s="77">
        <v>180.74</v>
      </c>
      <c r="C92" s="12">
        <f t="shared" si="4"/>
        <v>0.18074000000000001</v>
      </c>
      <c r="D92" s="12">
        <f t="shared" si="5"/>
        <v>1.2742170000000001E-2</v>
      </c>
      <c r="E92" s="12">
        <f t="shared" si="6"/>
        <v>5.688468750000001E-4</v>
      </c>
      <c r="F92" s="12">
        <f>E92/Calculation!K$19*1000</f>
        <v>6.5849358891680314E-4</v>
      </c>
      <c r="G92" s="12">
        <f t="shared" si="7"/>
        <v>54.920133104670093</v>
      </c>
    </row>
    <row r="93" spans="1:7">
      <c r="A93" s="12">
        <v>44</v>
      </c>
      <c r="B93" s="77">
        <v>150.62</v>
      </c>
      <c r="C93" s="12">
        <f t="shared" si="4"/>
        <v>0.15062</v>
      </c>
      <c r="D93" s="12">
        <f t="shared" si="5"/>
        <v>1.061871E-2</v>
      </c>
      <c r="E93" s="12">
        <f t="shared" si="6"/>
        <v>4.7404955357142859E-4</v>
      </c>
      <c r="F93" s="12">
        <f>E93/Calculation!K$19*1000</f>
        <v>5.4875680182941728E-4</v>
      </c>
      <c r="G93" s="12">
        <f t="shared" si="7"/>
        <v>54.938241860531285</v>
      </c>
    </row>
    <row r="94" spans="1:7">
      <c r="A94" s="12">
        <v>44.5</v>
      </c>
      <c r="B94" s="77">
        <v>180.74</v>
      </c>
      <c r="C94" s="12">
        <f t="shared" si="4"/>
        <v>0.18074000000000001</v>
      </c>
      <c r="D94" s="12">
        <f t="shared" si="5"/>
        <v>1.2742170000000001E-2</v>
      </c>
      <c r="E94" s="12">
        <f t="shared" si="6"/>
        <v>5.688468750000001E-4</v>
      </c>
      <c r="F94" s="12">
        <f>E94/Calculation!K$19*1000</f>
        <v>6.5849358891680314E-4</v>
      </c>
      <c r="G94" s="12">
        <f t="shared" si="7"/>
        <v>54.956350616392477</v>
      </c>
    </row>
    <row r="95" spans="1:7">
      <c r="A95" s="12">
        <v>45</v>
      </c>
      <c r="B95" s="77">
        <v>152.77000000000001</v>
      </c>
      <c r="C95" s="12">
        <f t="shared" si="4"/>
        <v>0.15277000000000002</v>
      </c>
      <c r="D95" s="12">
        <f t="shared" si="5"/>
        <v>1.0770285000000001E-2</v>
      </c>
      <c r="E95" s="12">
        <f t="shared" si="6"/>
        <v>4.8081629464285722E-4</v>
      </c>
      <c r="F95" s="12">
        <f>E95/Calculation!K$19*1000</f>
        <v>5.5658993902191005E-4</v>
      </c>
      <c r="G95" s="12">
        <f t="shared" si="7"/>
        <v>54.974576869311555</v>
      </c>
    </row>
    <row r="96" spans="1:7">
      <c r="A96" s="12">
        <v>45.5</v>
      </c>
      <c r="B96" s="77">
        <v>207.28</v>
      </c>
      <c r="C96" s="12">
        <f t="shared" si="4"/>
        <v>0.20727999999999999</v>
      </c>
      <c r="D96" s="12">
        <f t="shared" si="5"/>
        <v>1.4613239999999998E-2</v>
      </c>
      <c r="E96" s="12">
        <f t="shared" si="6"/>
        <v>6.5237678571428571E-4</v>
      </c>
      <c r="F96" s="12">
        <f>E96/Calculation!K$19*1000</f>
        <v>7.5518729174878241E-4</v>
      </c>
      <c r="G96" s="12">
        <f t="shared" si="7"/>
        <v>54.994253527773118</v>
      </c>
    </row>
    <row r="97" spans="1:7">
      <c r="A97" s="12">
        <v>46</v>
      </c>
      <c r="B97" s="77">
        <v>209.43</v>
      </c>
      <c r="C97" s="12">
        <f t="shared" si="4"/>
        <v>0.20943000000000001</v>
      </c>
      <c r="D97" s="12">
        <f t="shared" si="5"/>
        <v>1.4764815000000001E-2</v>
      </c>
      <c r="E97" s="12">
        <f t="shared" si="6"/>
        <v>6.5914352678571439E-4</v>
      </c>
      <c r="F97" s="12">
        <f>E97/Calculation!K$19*1000</f>
        <v>7.6302042894127518E-4</v>
      </c>
      <c r="G97" s="12">
        <f t="shared" si="7"/>
        <v>55.017026643583471</v>
      </c>
    </row>
    <row r="98" spans="1:7">
      <c r="A98" s="12">
        <v>46.5</v>
      </c>
      <c r="B98" s="77">
        <v>182.18</v>
      </c>
      <c r="C98" s="12">
        <f t="shared" si="4"/>
        <v>0.18218000000000001</v>
      </c>
      <c r="D98" s="12">
        <f t="shared" si="5"/>
        <v>1.2843690000000001E-2</v>
      </c>
      <c r="E98" s="12">
        <f t="shared" si="6"/>
        <v>5.733790178571429E-4</v>
      </c>
      <c r="F98" s="12">
        <f>E98/Calculation!K$19*1000</f>
        <v>6.6373996917596094E-4</v>
      </c>
      <c r="G98" s="12">
        <f t="shared" si="7"/>
        <v>55.038428049555229</v>
      </c>
    </row>
    <row r="99" spans="1:7">
      <c r="A99" s="12">
        <v>47</v>
      </c>
      <c r="B99" s="77">
        <v>175.72</v>
      </c>
      <c r="C99" s="12">
        <f t="shared" si="4"/>
        <v>0.17571999999999999</v>
      </c>
      <c r="D99" s="12">
        <f t="shared" si="5"/>
        <v>1.2388259999999998E-2</v>
      </c>
      <c r="E99" s="12">
        <f t="shared" si="6"/>
        <v>5.5304732142857135E-4</v>
      </c>
      <c r="F99" s="12">
        <f>E99/Calculation!K$19*1000</f>
        <v>6.4020412440223863E-4</v>
      </c>
      <c r="G99" s="12">
        <f t="shared" si="7"/>
        <v>55.057987210958899</v>
      </c>
    </row>
    <row r="100" spans="1:7">
      <c r="A100" s="12">
        <v>47.5</v>
      </c>
      <c r="B100" s="77">
        <v>190.78</v>
      </c>
      <c r="C100" s="12">
        <f t="shared" si="4"/>
        <v>0.19078000000000001</v>
      </c>
      <c r="D100" s="12">
        <f t="shared" si="5"/>
        <v>1.344999E-2</v>
      </c>
      <c r="E100" s="12">
        <f t="shared" si="6"/>
        <v>6.0044598214285718E-4</v>
      </c>
      <c r="F100" s="12">
        <f>E100/Calculation!K$19*1000</f>
        <v>6.9507251794593162E-4</v>
      </c>
      <c r="G100" s="12">
        <f t="shared" si="7"/>
        <v>55.07801636059412</v>
      </c>
    </row>
    <row r="101" spans="1:7">
      <c r="A101" s="12">
        <v>48</v>
      </c>
      <c r="B101" s="77">
        <v>217.32</v>
      </c>
      <c r="C101" s="12">
        <f t="shared" si="4"/>
        <v>0.21731999999999999</v>
      </c>
      <c r="D101" s="12">
        <f t="shared" si="5"/>
        <v>1.5321059999999999E-2</v>
      </c>
      <c r="E101" s="12">
        <f t="shared" si="6"/>
        <v>6.839758928571429E-4</v>
      </c>
      <c r="F101" s="12">
        <f>E101/Calculation!K$20*1000</f>
        <v>8.4547667785992125E-4</v>
      </c>
      <c r="G101" s="12">
        <f t="shared" si="7"/>
        <v>55.101124598531207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F5" sqref="F5:F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70.5</v>
      </c>
      <c r="C1" s="9" t="s">
        <v>51</v>
      </c>
    </row>
    <row r="3" spans="1:12">
      <c r="A3" s="129" t="s">
        <v>5</v>
      </c>
      <c r="B3" s="129" t="s">
        <v>36</v>
      </c>
      <c r="C3" s="129"/>
      <c r="D3" s="129" t="s">
        <v>52</v>
      </c>
      <c r="E3" s="129"/>
      <c r="F3" s="129"/>
      <c r="G3" s="8" t="s">
        <v>53</v>
      </c>
    </row>
    <row r="4" spans="1:12">
      <c r="A4" s="129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7">
        <v>2543.16</v>
      </c>
      <c r="C5" s="36">
        <f>B5/1000</f>
        <v>2.5431599999999999</v>
      </c>
      <c r="D5" s="12">
        <f>C5/1000*$B$1</f>
        <v>0.17929278000000001</v>
      </c>
      <c r="E5" s="12">
        <f>D5/22.4</f>
        <v>8.0041419642857149E-3</v>
      </c>
      <c r="F5" s="12">
        <f>E5/Calculation!K$4*1000</f>
        <v>5.194005895479737E-3</v>
      </c>
      <c r="G5" s="12">
        <f>(0+F5)/2*30</f>
        <v>7.7910088432196059E-2</v>
      </c>
    </row>
    <row r="6" spans="1:12">
      <c r="A6" s="35">
        <v>0.5</v>
      </c>
      <c r="B6" s="77">
        <v>3216.7</v>
      </c>
      <c r="C6" s="36">
        <f t="shared" ref="C6:C69" si="0">B6/1000</f>
        <v>3.2166999999999999</v>
      </c>
      <c r="D6" s="12">
        <f>C6/1000*$B$1</f>
        <v>0.22677734999999999</v>
      </c>
      <c r="E6" s="12">
        <f t="shared" ref="E6:E69" si="1">D6/22.4</f>
        <v>1.0123988839285714E-2</v>
      </c>
      <c r="F6" s="12">
        <f>E6/Calculation!K$4*1000</f>
        <v>6.5696058305374687E-3</v>
      </c>
      <c r="G6" s="12">
        <f>G5+(F6+F5)/2*30</f>
        <v>0.25436426432245413</v>
      </c>
    </row>
    <row r="7" spans="1:12">
      <c r="A7" s="35">
        <v>1</v>
      </c>
      <c r="B7" s="77">
        <v>3688.79</v>
      </c>
      <c r="C7" s="36">
        <f t="shared" si="0"/>
        <v>3.68879</v>
      </c>
      <c r="D7" s="12">
        <f t="shared" ref="D7:D69" si="2">C7/1000*$B$1</f>
        <v>0.26005969499999998</v>
      </c>
      <c r="E7" s="12">
        <f t="shared" si="1"/>
        <v>1.1609807812499999E-2</v>
      </c>
      <c r="F7" s="12">
        <f>E7/Calculation!K$4*1000</f>
        <v>7.5337756992036268E-3</v>
      </c>
      <c r="G7" s="12">
        <f>G6+(F7+F6)/2*30</f>
        <v>0.46591498726857056</v>
      </c>
    </row>
    <row r="8" spans="1:12">
      <c r="A8" s="35">
        <v>1.5</v>
      </c>
      <c r="B8" s="77">
        <v>4238.71</v>
      </c>
      <c r="C8" s="36">
        <f t="shared" si="0"/>
        <v>4.2387100000000002</v>
      </c>
      <c r="D8" s="12">
        <f t="shared" si="2"/>
        <v>0.29882905500000007</v>
      </c>
      <c r="E8" s="12">
        <f t="shared" si="1"/>
        <v>1.3340582812500003E-2</v>
      </c>
      <c r="F8" s="12">
        <f>E8/Calculation!K$4*1000</f>
        <v>8.6569011502339293E-3</v>
      </c>
      <c r="G8" s="12">
        <f t="shared" ref="G8:G70" si="3">G7+(F8+F7)/2*30</f>
        <v>0.70877514001013386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7">
        <v>4819.66</v>
      </c>
      <c r="C9" s="36">
        <f t="shared" si="0"/>
        <v>4.8196599999999998</v>
      </c>
      <c r="D9" s="12">
        <f t="shared" si="2"/>
        <v>0.33978603000000002</v>
      </c>
      <c r="E9" s="12">
        <f t="shared" si="1"/>
        <v>1.5169019196428574E-2</v>
      </c>
      <c r="F9" s="12">
        <f>E9/Calculation!K$5*1000</f>
        <v>1.0125390003632046E-2</v>
      </c>
      <c r="G9" s="12">
        <f t="shared" si="3"/>
        <v>0.99050950731812348</v>
      </c>
    </row>
    <row r="10" spans="1:12">
      <c r="A10" s="35">
        <v>2.5</v>
      </c>
      <c r="B10" s="77">
        <v>5767.33</v>
      </c>
      <c r="C10" s="36">
        <f t="shared" si="0"/>
        <v>5.7673300000000003</v>
      </c>
      <c r="D10" s="12">
        <f t="shared" si="2"/>
        <v>0.40659676500000003</v>
      </c>
      <c r="E10" s="12">
        <f t="shared" si="1"/>
        <v>1.8151641294642858E-2</v>
      </c>
      <c r="F10" s="12">
        <f>E10/Calculation!K$5*1000</f>
        <v>1.2116303957052408E-2</v>
      </c>
      <c r="G10" s="12">
        <f t="shared" si="3"/>
        <v>1.3241349167283905</v>
      </c>
    </row>
    <row r="11" spans="1:12">
      <c r="A11" s="35">
        <v>3</v>
      </c>
      <c r="B11" s="77">
        <v>7342.07</v>
      </c>
      <c r="C11" s="36">
        <f t="shared" si="0"/>
        <v>7.3420699999999997</v>
      </c>
      <c r="D11" s="12">
        <f t="shared" si="2"/>
        <v>0.51761593500000003</v>
      </c>
      <c r="E11" s="12">
        <f t="shared" si="1"/>
        <v>2.3107854241071431E-2</v>
      </c>
      <c r="F11" s="12">
        <f>E11/Calculation!K$5*1000</f>
        <v>1.5424598868792973E-2</v>
      </c>
      <c r="G11" s="12">
        <f t="shared" si="3"/>
        <v>1.7372484591160711</v>
      </c>
    </row>
    <row r="12" spans="1:12">
      <c r="A12" s="35">
        <v>3.5</v>
      </c>
      <c r="B12" s="77">
        <v>9130.7099999999991</v>
      </c>
      <c r="C12" s="36">
        <f t="shared" si="0"/>
        <v>9.1307099999999988</v>
      </c>
      <c r="D12" s="12">
        <f t="shared" si="2"/>
        <v>0.64371505499999992</v>
      </c>
      <c r="E12" s="12">
        <f t="shared" si="1"/>
        <v>2.8737279241071428E-2</v>
      </c>
      <c r="F12" s="12">
        <f>E12/Calculation!K$6*1000</f>
        <v>1.9733329646002377E-2</v>
      </c>
      <c r="G12" s="12">
        <f t="shared" si="3"/>
        <v>2.2646173868380011</v>
      </c>
    </row>
    <row r="13" spans="1:12">
      <c r="A13" s="35">
        <v>4</v>
      </c>
      <c r="B13" s="77">
        <v>10633.61</v>
      </c>
      <c r="C13" s="36">
        <f t="shared" si="0"/>
        <v>10.633610000000001</v>
      </c>
      <c r="D13" s="12">
        <f t="shared" si="2"/>
        <v>0.74966950500000007</v>
      </c>
      <c r="E13" s="12">
        <f t="shared" si="1"/>
        <v>3.3467388616071431E-2</v>
      </c>
      <c r="F13" s="12">
        <f>E13/Calculation!K$6*1000</f>
        <v>2.298140357727136E-2</v>
      </c>
      <c r="G13" s="12">
        <f t="shared" si="3"/>
        <v>2.9053383851871071</v>
      </c>
    </row>
    <row r="14" spans="1:12">
      <c r="A14" s="35">
        <v>4.5</v>
      </c>
      <c r="B14" s="77">
        <v>12776.69</v>
      </c>
      <c r="C14" s="36">
        <f t="shared" si="0"/>
        <v>12.77669</v>
      </c>
      <c r="D14" s="12">
        <f t="shared" si="2"/>
        <v>0.90075664499999997</v>
      </c>
      <c r="E14" s="12">
        <f t="shared" si="1"/>
        <v>4.0212350223214288E-2</v>
      </c>
      <c r="F14" s="12">
        <f>E14/Calculation!K$6*1000</f>
        <v>2.7613037272543117E-2</v>
      </c>
      <c r="G14" s="12">
        <f t="shared" si="3"/>
        <v>3.6642549979343242</v>
      </c>
    </row>
    <row r="15" spans="1:12">
      <c r="A15" s="35">
        <v>5</v>
      </c>
      <c r="B15" s="77">
        <v>15591.66</v>
      </c>
      <c r="C15" s="36">
        <f t="shared" si="0"/>
        <v>15.591659999999999</v>
      </c>
      <c r="D15" s="12">
        <f t="shared" si="2"/>
        <v>1.0992120299999999</v>
      </c>
      <c r="E15" s="12">
        <f t="shared" si="1"/>
        <v>4.9071965624999998E-2</v>
      </c>
      <c r="F15" s="12">
        <f>E15/Calculation!K$7*1000</f>
        <v>3.4764617670213924E-2</v>
      </c>
      <c r="G15" s="12">
        <f t="shared" si="3"/>
        <v>4.5999198220756803</v>
      </c>
    </row>
    <row r="16" spans="1:12">
      <c r="A16" s="35">
        <v>5.5</v>
      </c>
      <c r="B16" s="77">
        <v>18636.28</v>
      </c>
      <c r="C16" s="36">
        <f t="shared" si="0"/>
        <v>18.636279999999999</v>
      </c>
      <c r="D16" s="12">
        <f t="shared" si="2"/>
        <v>1.3138577399999998</v>
      </c>
      <c r="E16" s="12">
        <f t="shared" si="1"/>
        <v>5.8654363392857137E-2</v>
      </c>
      <c r="F16" s="12">
        <f>E16/Calculation!K$7*1000</f>
        <v>4.155318606197507E-2</v>
      </c>
      <c r="G16" s="12">
        <f t="shared" si="3"/>
        <v>5.7446868780585154</v>
      </c>
    </row>
    <row r="17" spans="1:7">
      <c r="A17" s="35">
        <v>6</v>
      </c>
      <c r="B17" s="77">
        <v>22831.18</v>
      </c>
      <c r="C17" s="36">
        <f t="shared" si="0"/>
        <v>22.83118</v>
      </c>
      <c r="D17" s="12">
        <f t="shared" si="2"/>
        <v>1.60959819</v>
      </c>
      <c r="E17" s="12">
        <f t="shared" si="1"/>
        <v>7.1857062053571438E-2</v>
      </c>
      <c r="F17" s="12">
        <f>E17/Calculation!K$8*1000</f>
        <v>5.2374630471157535E-2</v>
      </c>
      <c r="G17" s="12">
        <f t="shared" si="3"/>
        <v>7.1536041260555043</v>
      </c>
    </row>
    <row r="18" spans="1:7">
      <c r="A18" s="35">
        <v>6.5</v>
      </c>
      <c r="B18" s="77">
        <v>27111.54</v>
      </c>
      <c r="C18" s="36">
        <f t="shared" si="0"/>
        <v>27.111540000000002</v>
      </c>
      <c r="D18" s="12">
        <f t="shared" si="2"/>
        <v>1.91136357</v>
      </c>
      <c r="E18" s="12">
        <f t="shared" si="1"/>
        <v>8.5328730803571437E-2</v>
      </c>
      <c r="F18" s="12">
        <f>E18/Calculation!K$8*1000</f>
        <v>6.2193758229053715E-2</v>
      </c>
      <c r="G18" s="12">
        <f t="shared" si="3"/>
        <v>8.8721299565586733</v>
      </c>
    </row>
    <row r="19" spans="1:7">
      <c r="A19" s="35">
        <v>7</v>
      </c>
      <c r="B19" s="77">
        <v>31615.25</v>
      </c>
      <c r="C19" s="36">
        <f t="shared" si="0"/>
        <v>31.61525</v>
      </c>
      <c r="D19" s="12">
        <f t="shared" si="2"/>
        <v>2.2288751249999996</v>
      </c>
      <c r="E19" s="12">
        <f t="shared" si="1"/>
        <v>9.950335379464284E-2</v>
      </c>
      <c r="F19" s="12">
        <f>E19/Calculation!K$8*1000</f>
        <v>7.2525249943422229E-2</v>
      </c>
      <c r="G19" s="12">
        <f t="shared" si="3"/>
        <v>10.892915079145812</v>
      </c>
    </row>
    <row r="20" spans="1:7">
      <c r="A20" s="35">
        <v>7.5</v>
      </c>
      <c r="B20" s="77">
        <v>36729.78</v>
      </c>
      <c r="C20" s="36">
        <f t="shared" si="0"/>
        <v>36.729779999999998</v>
      </c>
      <c r="D20" s="12">
        <f t="shared" si="2"/>
        <v>2.5894494899999998</v>
      </c>
      <c r="E20" s="12">
        <f t="shared" si="1"/>
        <v>0.11560042366071428</v>
      </c>
      <c r="F20" s="12">
        <f>E20/Calculation!K$9*1000</f>
        <v>8.7187046050467676E-2</v>
      </c>
      <c r="G20" s="12">
        <f t="shared" si="3"/>
        <v>13.288599519054161</v>
      </c>
    </row>
    <row r="21" spans="1:7">
      <c r="A21" s="35">
        <v>8</v>
      </c>
      <c r="B21" s="77">
        <v>42078.44</v>
      </c>
      <c r="C21" s="36">
        <f t="shared" si="0"/>
        <v>42.078440000000001</v>
      </c>
      <c r="D21" s="12">
        <f t="shared" si="2"/>
        <v>2.96653002</v>
      </c>
      <c r="E21" s="12">
        <f t="shared" si="1"/>
        <v>0.13243437589285714</v>
      </c>
      <c r="F21" s="12">
        <f>E21/Calculation!K$9*1000</f>
        <v>9.9883388520482327E-2</v>
      </c>
      <c r="G21" s="12">
        <f t="shared" si="3"/>
        <v>16.09465603761841</v>
      </c>
    </row>
    <row r="22" spans="1:7">
      <c r="A22" s="35">
        <v>8.5</v>
      </c>
      <c r="B22" s="77">
        <v>47767.95</v>
      </c>
      <c r="C22" s="36">
        <f t="shared" si="0"/>
        <v>47.767949999999999</v>
      </c>
      <c r="D22" s="12">
        <f t="shared" si="2"/>
        <v>3.367640475</v>
      </c>
      <c r="E22" s="12">
        <f t="shared" si="1"/>
        <v>0.15034109263392859</v>
      </c>
      <c r="F22" s="12">
        <f>E22/Calculation!K$9*1000</f>
        <v>0.1133888211796106</v>
      </c>
      <c r="G22" s="12">
        <f t="shared" si="3"/>
        <v>19.293739183119804</v>
      </c>
    </row>
    <row r="23" spans="1:7">
      <c r="A23" s="35">
        <v>9</v>
      </c>
      <c r="B23" s="77">
        <v>53097.86</v>
      </c>
      <c r="C23" s="36">
        <f t="shared" si="0"/>
        <v>53.097859999999997</v>
      </c>
      <c r="D23" s="12">
        <f t="shared" si="2"/>
        <v>3.7433991299999998</v>
      </c>
      <c r="E23" s="12">
        <f t="shared" si="1"/>
        <v>0.16711603258928573</v>
      </c>
      <c r="F23" s="12">
        <f>E23/Calculation!K$10*1000</f>
        <v>0.13063788354810052</v>
      </c>
      <c r="G23" s="12">
        <f t="shared" si="3"/>
        <v>22.95413975403547</v>
      </c>
    </row>
    <row r="24" spans="1:7">
      <c r="A24" s="35">
        <v>9.5</v>
      </c>
      <c r="B24" s="77">
        <v>57412.4</v>
      </c>
      <c r="C24" s="36">
        <f t="shared" si="0"/>
        <v>57.412399999999998</v>
      </c>
      <c r="D24" s="12">
        <f t="shared" si="2"/>
        <v>4.0475741999999997</v>
      </c>
      <c r="E24" s="12">
        <f t="shared" si="1"/>
        <v>0.18069527678571429</v>
      </c>
      <c r="F24" s="12">
        <f>E24/Calculation!K$10*1000</f>
        <v>0.14125304532832333</v>
      </c>
      <c r="G24" s="12">
        <f t="shared" si="3"/>
        <v>27.03250368718183</v>
      </c>
    </row>
    <row r="25" spans="1:7">
      <c r="A25" s="35">
        <v>10</v>
      </c>
      <c r="B25" s="77">
        <v>62378.91</v>
      </c>
      <c r="C25" s="36">
        <f t="shared" si="0"/>
        <v>62.378910000000005</v>
      </c>
      <c r="D25" s="12">
        <f t="shared" si="2"/>
        <v>4.3977131549999999</v>
      </c>
      <c r="E25" s="12">
        <f t="shared" si="1"/>
        <v>0.19632648013392859</v>
      </c>
      <c r="F25" s="12">
        <f>E25/Calculation!K$11*1000</f>
        <v>0.15922298100924745</v>
      </c>
      <c r="G25" s="12">
        <f t="shared" si="3"/>
        <v>31.539644082245392</v>
      </c>
    </row>
    <row r="26" spans="1:7">
      <c r="A26" s="35">
        <v>10.5</v>
      </c>
      <c r="B26" s="77">
        <v>64581.07</v>
      </c>
      <c r="C26" s="36">
        <f t="shared" si="0"/>
        <v>64.581069999999997</v>
      </c>
      <c r="D26" s="12">
        <f t="shared" si="2"/>
        <v>4.5529654349999991</v>
      </c>
      <c r="E26" s="12">
        <f t="shared" si="1"/>
        <v>0.20325738549107139</v>
      </c>
      <c r="F26" s="12">
        <f>E26/Calculation!K$11*1000</f>
        <v>0.16484402311882138</v>
      </c>
      <c r="G26" s="12">
        <f t="shared" si="3"/>
        <v>36.400649144166422</v>
      </c>
    </row>
    <row r="27" spans="1:7">
      <c r="A27" s="35">
        <v>11</v>
      </c>
      <c r="B27" s="77">
        <v>58413.01</v>
      </c>
      <c r="C27" s="36">
        <f t="shared" si="0"/>
        <v>58.41301</v>
      </c>
      <c r="D27" s="12">
        <f t="shared" si="2"/>
        <v>4.1181172049999999</v>
      </c>
      <c r="E27" s="12">
        <f t="shared" si="1"/>
        <v>0.18384451808035715</v>
      </c>
      <c r="F27" s="12">
        <f>E27/Calculation!K$11*1000</f>
        <v>0.14909996955578386</v>
      </c>
      <c r="G27" s="12">
        <f t="shared" si="3"/>
        <v>41.109809034285504</v>
      </c>
    </row>
    <row r="28" spans="1:7">
      <c r="A28" s="35">
        <v>11.5</v>
      </c>
      <c r="B28" s="77">
        <v>49094.45</v>
      </c>
      <c r="C28" s="36">
        <f t="shared" si="0"/>
        <v>49.094449999999995</v>
      </c>
      <c r="D28" s="12">
        <f t="shared" si="2"/>
        <v>3.4611587249999998</v>
      </c>
      <c r="E28" s="12">
        <f t="shared" si="1"/>
        <v>0.15451601450892857</v>
      </c>
      <c r="F28" s="12">
        <f>E28/Calculation!K$12*1000</f>
        <v>0.13068338604192276</v>
      </c>
      <c r="G28" s="12">
        <f t="shared" si="3"/>
        <v>45.306559368251101</v>
      </c>
    </row>
    <row r="29" spans="1:7">
      <c r="A29" s="35">
        <v>12</v>
      </c>
      <c r="B29" s="77">
        <v>43465.35</v>
      </c>
      <c r="C29" s="36">
        <f t="shared" si="0"/>
        <v>43.465350000000001</v>
      </c>
      <c r="D29" s="12">
        <f t="shared" si="2"/>
        <v>3.0643071750000002</v>
      </c>
      <c r="E29" s="12">
        <f t="shared" si="1"/>
        <v>0.13679942745535717</v>
      </c>
      <c r="F29" s="12">
        <f>E29/Calculation!K$12*1000</f>
        <v>0.11569941436348281</v>
      </c>
      <c r="G29" s="12">
        <f t="shared" si="3"/>
        <v>49.002301374332184</v>
      </c>
    </row>
    <row r="30" spans="1:7">
      <c r="A30" s="35">
        <v>12.5</v>
      </c>
      <c r="B30" s="77">
        <v>37092.85</v>
      </c>
      <c r="C30" s="36">
        <f t="shared" si="0"/>
        <v>37.092849999999999</v>
      </c>
      <c r="D30" s="12">
        <f t="shared" si="2"/>
        <v>2.6150459249999995</v>
      </c>
      <c r="E30" s="12">
        <f t="shared" si="1"/>
        <v>0.1167431216517857</v>
      </c>
      <c r="F30" s="12">
        <f>E30/Calculation!K$12*1000</f>
        <v>9.8736603342030188E-2</v>
      </c>
      <c r="G30" s="12">
        <f t="shared" si="3"/>
        <v>52.218841639914878</v>
      </c>
    </row>
    <row r="31" spans="1:7">
      <c r="A31" s="35">
        <v>13</v>
      </c>
      <c r="B31" s="77">
        <v>31419.279999999999</v>
      </c>
      <c r="C31" s="36">
        <f t="shared" si="0"/>
        <v>31.419280000000001</v>
      </c>
      <c r="D31" s="12">
        <f t="shared" si="2"/>
        <v>2.21505924</v>
      </c>
      <c r="E31" s="12">
        <f t="shared" si="1"/>
        <v>9.888657321428572E-2</v>
      </c>
      <c r="F31" s="12">
        <f>E31/Calculation!K$13*1000</f>
        <v>8.6773158419673035E-2</v>
      </c>
      <c r="G31" s="12">
        <f t="shared" si="3"/>
        <v>55.001488066340428</v>
      </c>
    </row>
    <row r="32" spans="1:7">
      <c r="A32" s="35">
        <v>13.5</v>
      </c>
      <c r="B32" s="77">
        <v>26162.38</v>
      </c>
      <c r="C32" s="36">
        <f t="shared" si="0"/>
        <v>26.162380000000002</v>
      </c>
      <c r="D32" s="12">
        <f t="shared" si="2"/>
        <v>1.8444477900000003</v>
      </c>
      <c r="E32" s="12">
        <f t="shared" si="1"/>
        <v>8.2341419196428595E-2</v>
      </c>
      <c r="F32" s="12">
        <f>E32/Calculation!K$13*1000</f>
        <v>7.2254753908290892E-2</v>
      </c>
      <c r="G32" s="12">
        <f t="shared" si="3"/>
        <v>57.386906751259886</v>
      </c>
    </row>
    <row r="33" spans="1:7">
      <c r="A33" s="35">
        <v>14</v>
      </c>
      <c r="B33" s="77">
        <v>21420.71</v>
      </c>
      <c r="C33" s="36">
        <f t="shared" si="0"/>
        <v>21.42071</v>
      </c>
      <c r="D33" s="12">
        <f t="shared" si="2"/>
        <v>1.5101600549999998</v>
      </c>
      <c r="E33" s="12">
        <f t="shared" si="1"/>
        <v>6.741785959821428E-2</v>
      </c>
      <c r="F33" s="12">
        <f>E33/Calculation!K$14*1000</f>
        <v>6.1304975774944266E-2</v>
      </c>
      <c r="G33" s="12">
        <f t="shared" si="3"/>
        <v>59.390302696508414</v>
      </c>
    </row>
    <row r="34" spans="1:7">
      <c r="A34" s="35">
        <v>14.5</v>
      </c>
      <c r="B34" s="77">
        <v>17829.66</v>
      </c>
      <c r="C34" s="36">
        <f t="shared" si="0"/>
        <v>17.829660000000001</v>
      </c>
      <c r="D34" s="12">
        <f t="shared" si="2"/>
        <v>1.25699103</v>
      </c>
      <c r="E34" s="12">
        <f t="shared" si="1"/>
        <v>5.611567098214286E-2</v>
      </c>
      <c r="F34" s="12">
        <f>E34/Calculation!K$14*1000</f>
        <v>5.1027574453670906E-2</v>
      </c>
      <c r="G34" s="12">
        <f t="shared" si="3"/>
        <v>61.075290949937639</v>
      </c>
    </row>
    <row r="35" spans="1:7">
      <c r="A35" s="35">
        <v>15</v>
      </c>
      <c r="B35" s="77">
        <v>14859.87</v>
      </c>
      <c r="C35" s="36">
        <f t="shared" si="0"/>
        <v>14.859870000000001</v>
      </c>
      <c r="D35" s="12">
        <f t="shared" si="2"/>
        <v>1.047620835</v>
      </c>
      <c r="E35" s="12">
        <f t="shared" si="1"/>
        <v>4.6768787276785719E-2</v>
      </c>
      <c r="F35" s="12">
        <f>E35/Calculation!K$14*1000</f>
        <v>4.2528187458250502E-2</v>
      </c>
      <c r="G35" s="12">
        <f t="shared" si="3"/>
        <v>62.478627378616459</v>
      </c>
    </row>
    <row r="36" spans="1:7">
      <c r="A36" s="35">
        <v>15.5</v>
      </c>
      <c r="B36" s="77">
        <v>12241.71</v>
      </c>
      <c r="C36" s="36">
        <f t="shared" si="0"/>
        <v>12.241709999999999</v>
      </c>
      <c r="D36" s="12">
        <f t="shared" si="2"/>
        <v>0.86304055499999999</v>
      </c>
      <c r="E36" s="12">
        <f t="shared" si="1"/>
        <v>3.8528596205357146E-2</v>
      </c>
      <c r="F36" s="12">
        <f>E36/Calculation!K$15*1000</f>
        <v>3.6548817267666824E-2</v>
      </c>
      <c r="G36" s="12">
        <f t="shared" si="3"/>
        <v>63.664782449505218</v>
      </c>
    </row>
    <row r="37" spans="1:7">
      <c r="A37" s="35">
        <v>16</v>
      </c>
      <c r="B37" s="77">
        <v>10057.48</v>
      </c>
      <c r="C37" s="36">
        <f t="shared" si="0"/>
        <v>10.05748</v>
      </c>
      <c r="D37" s="12">
        <f t="shared" si="2"/>
        <v>0.70905234000000006</v>
      </c>
      <c r="E37" s="12">
        <f t="shared" si="1"/>
        <v>3.1654122321428578E-2</v>
      </c>
      <c r="F37" s="12">
        <f>E37/Calculation!K$15*1000</f>
        <v>3.0027585908603757E-2</v>
      </c>
      <c r="G37" s="12">
        <f t="shared" si="3"/>
        <v>64.663428497149283</v>
      </c>
    </row>
    <row r="38" spans="1:7">
      <c r="A38" s="35">
        <v>16.5</v>
      </c>
      <c r="B38" s="77">
        <v>8413.0300000000007</v>
      </c>
      <c r="C38" s="36">
        <f t="shared" si="0"/>
        <v>8.4130300000000009</v>
      </c>
      <c r="D38" s="12">
        <f t="shared" si="2"/>
        <v>0.59311861499999996</v>
      </c>
      <c r="E38" s="12">
        <f t="shared" si="1"/>
        <v>2.6478509598214284E-2</v>
      </c>
      <c r="F38" s="12">
        <f>E38/Calculation!K$15*1000</f>
        <v>2.5117920301771481E-2</v>
      </c>
      <c r="G38" s="12">
        <f t="shared" si="3"/>
        <v>65.49061109030491</v>
      </c>
    </row>
    <row r="39" spans="1:7">
      <c r="A39" s="35">
        <v>17</v>
      </c>
      <c r="B39" s="77">
        <v>6821.03</v>
      </c>
      <c r="C39" s="36">
        <f t="shared" si="0"/>
        <v>6.8210299999999995</v>
      </c>
      <c r="D39" s="12">
        <f t="shared" si="2"/>
        <v>0.48088261499999996</v>
      </c>
      <c r="E39" s="12">
        <f t="shared" si="1"/>
        <v>2.1467973883928571E-2</v>
      </c>
      <c r="F39" s="12">
        <f>E39/Calculation!K$16*1000</f>
        <v>2.1203850558460174E-2</v>
      </c>
      <c r="G39" s="12">
        <f>G38+(F39+F38)/2*30</f>
        <v>66.185437653208382</v>
      </c>
    </row>
    <row r="40" spans="1:7">
      <c r="A40" s="35">
        <v>17.5</v>
      </c>
      <c r="B40" s="77">
        <v>5613.5</v>
      </c>
      <c r="C40" s="36">
        <f t="shared" si="0"/>
        <v>5.6135000000000002</v>
      </c>
      <c r="D40" s="12">
        <f t="shared" si="2"/>
        <v>0.39575175000000001</v>
      </c>
      <c r="E40" s="12">
        <f t="shared" si="1"/>
        <v>1.7667488839285716E-2</v>
      </c>
      <c r="F40" s="12">
        <f>E40/Calculation!K$16*1000</f>
        <v>1.7450123384579189E-2</v>
      </c>
      <c r="G40" s="12">
        <f t="shared" si="3"/>
        <v>66.765247262353967</v>
      </c>
    </row>
    <row r="41" spans="1:7">
      <c r="A41" s="35">
        <v>18</v>
      </c>
      <c r="B41" s="77">
        <v>4538.72</v>
      </c>
      <c r="C41" s="36">
        <f t="shared" si="0"/>
        <v>4.5387200000000005</v>
      </c>
      <c r="D41" s="12">
        <f t="shared" si="2"/>
        <v>0.31997976000000006</v>
      </c>
      <c r="E41" s="12">
        <f t="shared" si="1"/>
        <v>1.4284810714285718E-2</v>
      </c>
      <c r="F41" s="12">
        <f>E41/Calculation!K$17*1000</f>
        <v>1.4786851107294429E-2</v>
      </c>
      <c r="G41" s="12">
        <f t="shared" si="3"/>
        <v>67.248801879732071</v>
      </c>
    </row>
    <row r="42" spans="1:7">
      <c r="A42" s="35">
        <v>18.5</v>
      </c>
      <c r="B42" s="77">
        <v>3768.28</v>
      </c>
      <c r="C42" s="36">
        <f t="shared" si="0"/>
        <v>3.7682800000000003</v>
      </c>
      <c r="D42" s="12">
        <f t="shared" si="2"/>
        <v>0.26566374000000004</v>
      </c>
      <c r="E42" s="12">
        <f t="shared" si="1"/>
        <v>1.1859988392857145E-2</v>
      </c>
      <c r="F42" s="12">
        <f>E42/Calculation!K$17*1000</f>
        <v>1.2276808283083215E-2</v>
      </c>
      <c r="G42" s="12">
        <f t="shared" si="3"/>
        <v>67.654756770587738</v>
      </c>
    </row>
    <row r="43" spans="1:7">
      <c r="A43" s="35">
        <v>19</v>
      </c>
      <c r="B43" s="77">
        <v>3063.37</v>
      </c>
      <c r="C43" s="36">
        <f t="shared" si="0"/>
        <v>3.0633699999999999</v>
      </c>
      <c r="D43" s="12">
        <f t="shared" si="2"/>
        <v>0.21596758499999999</v>
      </c>
      <c r="E43" s="12">
        <f t="shared" si="1"/>
        <v>9.6414100446428567E-3</v>
      </c>
      <c r="F43" s="12">
        <f>E43/Calculation!K$17*1000</f>
        <v>9.9802578869268264E-3</v>
      </c>
      <c r="G43" s="12">
        <f t="shared" si="3"/>
        <v>67.988612763137894</v>
      </c>
    </row>
    <row r="44" spans="1:7">
      <c r="A44" s="35">
        <v>19.5</v>
      </c>
      <c r="B44" s="77">
        <v>2512.13</v>
      </c>
      <c r="C44" s="36">
        <f t="shared" si="0"/>
        <v>2.51213</v>
      </c>
      <c r="D44" s="12">
        <f t="shared" si="2"/>
        <v>0.17710516500000001</v>
      </c>
      <c r="E44" s="12">
        <f t="shared" si="1"/>
        <v>7.906480580357143E-3</v>
      </c>
      <c r="F44" s="12">
        <f>E44/Calculation!K$17*1000</f>
        <v>8.1843542391175361E-3</v>
      </c>
      <c r="G44" s="12">
        <f t="shared" si="3"/>
        <v>68.261081945028565</v>
      </c>
    </row>
    <row r="45" spans="1:7">
      <c r="A45" s="35">
        <v>20</v>
      </c>
      <c r="B45" s="77">
        <v>2091.31</v>
      </c>
      <c r="C45" s="36">
        <f t="shared" si="0"/>
        <v>2.09131</v>
      </c>
      <c r="D45" s="12">
        <f t="shared" si="2"/>
        <v>0.14743735499999999</v>
      </c>
      <c r="E45" s="12">
        <f t="shared" si="1"/>
        <v>6.5820247767857144E-3</v>
      </c>
      <c r="F45" s="12">
        <f>E45/Calculation!K$17*1000</f>
        <v>6.8133503695305964E-3</v>
      </c>
      <c r="G45" s="12">
        <f t="shared" si="3"/>
        <v>68.486047514158287</v>
      </c>
    </row>
    <row r="46" spans="1:7">
      <c r="A46" s="35">
        <v>20.5</v>
      </c>
      <c r="B46" s="77">
        <v>1794.61</v>
      </c>
      <c r="C46" s="36">
        <f t="shared" si="0"/>
        <v>1.7946099999999998</v>
      </c>
      <c r="D46" s="12">
        <f t="shared" si="2"/>
        <v>0.12652000499999999</v>
      </c>
      <c r="E46" s="12">
        <f t="shared" si="1"/>
        <v>5.6482145089285715E-3</v>
      </c>
      <c r="F46" s="12">
        <f>E46/Calculation!K$17*1000</f>
        <v>5.8467212927128471E-3</v>
      </c>
      <c r="G46" s="12">
        <f t="shared" si="3"/>
        <v>68.675948589091945</v>
      </c>
    </row>
    <row r="47" spans="1:7">
      <c r="A47" s="35">
        <v>21</v>
      </c>
      <c r="B47" s="77">
        <v>1504.89</v>
      </c>
      <c r="C47" s="36">
        <f t="shared" si="0"/>
        <v>1.5048900000000001</v>
      </c>
      <c r="D47" s="12">
        <f t="shared" si="2"/>
        <v>0.106094745</v>
      </c>
      <c r="E47" s="12">
        <f t="shared" si="1"/>
        <v>4.7363725446428577E-3</v>
      </c>
      <c r="F47" s="12">
        <f>E47/Calculation!K$17*1000</f>
        <v>4.9028325966035168E-3</v>
      </c>
      <c r="G47" s="12">
        <f t="shared" si="3"/>
        <v>68.837191897431694</v>
      </c>
    </row>
    <row r="48" spans="1:7">
      <c r="A48" s="35">
        <v>21.5</v>
      </c>
      <c r="B48" s="77">
        <v>1265.6099999999999</v>
      </c>
      <c r="C48" s="36">
        <f t="shared" si="0"/>
        <v>1.2656099999999999</v>
      </c>
      <c r="D48" s="12">
        <f t="shared" si="2"/>
        <v>8.9225504999999997E-2</v>
      </c>
      <c r="E48" s="12">
        <f t="shared" si="1"/>
        <v>3.9832814732142854E-3</v>
      </c>
      <c r="F48" s="12">
        <f>E48/Calculation!K$17*1000</f>
        <v>4.1232741014874015E-3</v>
      </c>
      <c r="G48" s="12">
        <f t="shared" si="3"/>
        <v>68.972583497903059</v>
      </c>
    </row>
    <row r="49" spans="1:7">
      <c r="A49" s="35">
        <v>22</v>
      </c>
      <c r="B49" s="77">
        <v>1103.6500000000001</v>
      </c>
      <c r="C49" s="36">
        <f t="shared" si="0"/>
        <v>1.10365</v>
      </c>
      <c r="D49" s="12">
        <f t="shared" si="2"/>
        <v>7.7807325000000011E-2</v>
      </c>
      <c r="E49" s="12">
        <f t="shared" si="1"/>
        <v>3.473541294642858E-3</v>
      </c>
      <c r="F49" s="12">
        <f>E49/Calculation!K$17*1000</f>
        <v>3.5956190786313098E-3</v>
      </c>
      <c r="G49" s="12">
        <f t="shared" si="3"/>
        <v>69.088366895604835</v>
      </c>
    </row>
    <row r="50" spans="1:7">
      <c r="A50" s="35">
        <v>22.5</v>
      </c>
      <c r="B50" s="77">
        <v>951.98</v>
      </c>
      <c r="C50" s="36">
        <f t="shared" si="0"/>
        <v>0.95198000000000005</v>
      </c>
      <c r="D50" s="12">
        <f t="shared" si="2"/>
        <v>6.7114590000000002E-2</v>
      </c>
      <c r="E50" s="12">
        <f t="shared" si="1"/>
        <v>2.996187053571429E-3</v>
      </c>
      <c r="F50" s="12">
        <f>E50/Calculation!K$17*1000</f>
        <v>3.1014881986820403E-3</v>
      </c>
      <c r="G50" s="12">
        <f t="shared" si="3"/>
        <v>69.188823504764542</v>
      </c>
    </row>
    <row r="51" spans="1:7">
      <c r="A51" s="35">
        <v>23</v>
      </c>
      <c r="B51" s="77">
        <v>839.31</v>
      </c>
      <c r="C51" s="36">
        <f t="shared" si="0"/>
        <v>0.83931</v>
      </c>
      <c r="D51" s="12">
        <f t="shared" si="2"/>
        <v>5.9171355000000002E-2</v>
      </c>
      <c r="E51" s="12">
        <f t="shared" si="1"/>
        <v>2.6415783482142859E-3</v>
      </c>
      <c r="F51" s="12">
        <f>E51/Calculation!K$17*1000</f>
        <v>2.7344167524904128E-3</v>
      </c>
      <c r="G51" s="12">
        <f t="shared" si="3"/>
        <v>69.276362079032126</v>
      </c>
    </row>
    <row r="52" spans="1:7">
      <c r="A52" s="35">
        <v>23.5</v>
      </c>
      <c r="B52" s="77">
        <v>774.1</v>
      </c>
      <c r="C52" s="36">
        <f t="shared" si="0"/>
        <v>0.77410000000000001</v>
      </c>
      <c r="D52" s="12">
        <f t="shared" si="2"/>
        <v>5.4574049999999999E-2</v>
      </c>
      <c r="E52" s="12">
        <f t="shared" si="1"/>
        <v>2.4363415178571429E-3</v>
      </c>
      <c r="F52" s="12">
        <f>E52/Calculation!K$17*1000</f>
        <v>2.5219668633792384E-3</v>
      </c>
      <c r="G52" s="12">
        <f t="shared" si="3"/>
        <v>69.355207833270171</v>
      </c>
    </row>
    <row r="53" spans="1:7">
      <c r="A53" s="35">
        <v>24</v>
      </c>
      <c r="B53" s="77">
        <v>707.56</v>
      </c>
      <c r="C53" s="36">
        <f t="shared" si="0"/>
        <v>0.70755999999999997</v>
      </c>
      <c r="D53" s="12">
        <f t="shared" si="2"/>
        <v>4.988298E-2</v>
      </c>
      <c r="E53" s="12">
        <f t="shared" si="1"/>
        <v>2.2269187500000001E-3</v>
      </c>
      <c r="F53" s="12">
        <f>E53/Calculation!K$18*1000</f>
        <v>2.4288883221268956E-3</v>
      </c>
      <c r="G53" s="12">
        <f t="shared" si="3"/>
        <v>69.429470661052761</v>
      </c>
    </row>
    <row r="54" spans="1:7">
      <c r="A54" s="35">
        <v>24.5</v>
      </c>
      <c r="B54" s="77">
        <v>642.51</v>
      </c>
      <c r="C54" s="36">
        <f t="shared" si="0"/>
        <v>0.64251000000000003</v>
      </c>
      <c r="D54" s="12">
        <f t="shared" si="2"/>
        <v>4.5296955E-2</v>
      </c>
      <c r="E54" s="12">
        <f t="shared" si="1"/>
        <v>2.0221854910714289E-3</v>
      </c>
      <c r="F54" s="12">
        <f>E54/Calculation!K$18*1000</f>
        <v>2.2055868560259934E-3</v>
      </c>
      <c r="G54" s="12">
        <f t="shared" si="3"/>
        <v>69.49898778872506</v>
      </c>
    </row>
    <row r="55" spans="1:7">
      <c r="A55" s="35">
        <v>25</v>
      </c>
      <c r="B55" s="77">
        <v>590.41</v>
      </c>
      <c r="C55" s="36">
        <f t="shared" si="0"/>
        <v>0.59040999999999999</v>
      </c>
      <c r="D55" s="12">
        <f t="shared" si="2"/>
        <v>4.1623904999999996E-2</v>
      </c>
      <c r="E55" s="12">
        <f t="shared" si="1"/>
        <v>1.858210044642857E-3</v>
      </c>
      <c r="F55" s="12">
        <f>E55/Calculation!K$18*1000</f>
        <v>2.0267397171504047E-3</v>
      </c>
      <c r="G55" s="12">
        <f t="shared" si="3"/>
        <v>69.56247268732271</v>
      </c>
    </row>
    <row r="56" spans="1:7">
      <c r="A56" s="35">
        <v>25.5</v>
      </c>
      <c r="B56" s="77">
        <v>535.65</v>
      </c>
      <c r="C56" s="36">
        <f t="shared" si="0"/>
        <v>0.53564999999999996</v>
      </c>
      <c r="D56" s="12">
        <f t="shared" si="2"/>
        <v>3.7763324999999993E-2</v>
      </c>
      <c r="E56" s="12">
        <f t="shared" si="1"/>
        <v>1.6858627232142855E-3</v>
      </c>
      <c r="F56" s="12">
        <f>E56/Calculation!K$18*1000</f>
        <v>1.8387614191690761E-3</v>
      </c>
      <c r="G56" s="12">
        <f t="shared" si="3"/>
        <v>69.620455204367502</v>
      </c>
    </row>
    <row r="57" spans="1:7">
      <c r="A57" s="35">
        <v>26</v>
      </c>
      <c r="B57" s="77">
        <v>503.62</v>
      </c>
      <c r="C57" s="36">
        <f t="shared" si="0"/>
        <v>0.50361999999999996</v>
      </c>
      <c r="D57" s="12">
        <f t="shared" si="2"/>
        <v>3.5505209999999995E-2</v>
      </c>
      <c r="E57" s="12">
        <f t="shared" si="1"/>
        <v>1.5850540178571427E-3</v>
      </c>
      <c r="F57" s="12">
        <f>E57/Calculation!K$18*1000</f>
        <v>1.7288099055762719E-3</v>
      </c>
      <c r="G57" s="12">
        <f t="shared" si="3"/>
        <v>69.673968774238688</v>
      </c>
    </row>
    <row r="58" spans="1:7">
      <c r="A58" s="35">
        <v>26.5</v>
      </c>
      <c r="B58" s="77">
        <v>488.85</v>
      </c>
      <c r="C58" s="36">
        <f t="shared" si="0"/>
        <v>0.48885000000000001</v>
      </c>
      <c r="D58" s="12">
        <f t="shared" si="2"/>
        <v>3.4463924999999999E-2</v>
      </c>
      <c r="E58" s="12">
        <f t="shared" si="1"/>
        <v>1.538568080357143E-3</v>
      </c>
      <c r="F58" s="12">
        <f>E58/Calculation!K$18*1000</f>
        <v>1.6781079431733466E-3</v>
      </c>
      <c r="G58" s="12">
        <f t="shared" si="3"/>
        <v>69.725072541969936</v>
      </c>
    </row>
    <row r="59" spans="1:7">
      <c r="A59" s="35">
        <v>27</v>
      </c>
      <c r="B59" s="77">
        <v>494.83</v>
      </c>
      <c r="C59" s="36">
        <f t="shared" si="0"/>
        <v>0.49482999999999999</v>
      </c>
      <c r="D59" s="12">
        <f t="shared" si="2"/>
        <v>3.4885514999999999E-2</v>
      </c>
      <c r="E59" s="12">
        <f t="shared" si="1"/>
        <v>1.5573890625000001E-3</v>
      </c>
      <c r="F59" s="12">
        <f>E59/Calculation!K$18*1000</f>
        <v>1.6986358873283566E-3</v>
      </c>
      <c r="G59" s="12">
        <f t="shared" si="3"/>
        <v>69.775723699427459</v>
      </c>
    </row>
    <row r="60" spans="1:7">
      <c r="A60" s="35">
        <v>27.5</v>
      </c>
      <c r="B60" s="77">
        <v>493.66</v>
      </c>
      <c r="C60" s="36">
        <f t="shared" si="0"/>
        <v>0.49366000000000004</v>
      </c>
      <c r="D60" s="12">
        <f t="shared" si="2"/>
        <v>3.4803030000000006E-2</v>
      </c>
      <c r="E60" s="12">
        <f t="shared" si="1"/>
        <v>1.5537066964285717E-3</v>
      </c>
      <c r="F60" s="12">
        <f>E60/Calculation!K$18*1000</f>
        <v>1.6946195504284633E-3</v>
      </c>
      <c r="G60" s="12">
        <f t="shared" si="3"/>
        <v>69.826622530993816</v>
      </c>
    </row>
    <row r="61" spans="1:7">
      <c r="A61" s="35">
        <v>28</v>
      </c>
      <c r="B61" s="77">
        <v>506.44</v>
      </c>
      <c r="C61" s="36">
        <f t="shared" si="0"/>
        <v>0.50644</v>
      </c>
      <c r="D61" s="12">
        <f t="shared" si="2"/>
        <v>3.5704020000000003E-2</v>
      </c>
      <c r="E61" s="12">
        <f t="shared" si="1"/>
        <v>1.5939294642857145E-3</v>
      </c>
      <c r="F61" s="12">
        <f>E61/Calculation!K$18*1000</f>
        <v>1.7384903073349896E-3</v>
      </c>
      <c r="G61" s="12">
        <f t="shared" si="3"/>
        <v>69.878119178860274</v>
      </c>
    </row>
    <row r="62" spans="1:7">
      <c r="A62" s="35">
        <v>28.5</v>
      </c>
      <c r="B62" s="77">
        <v>524.36</v>
      </c>
      <c r="C62" s="36">
        <f t="shared" si="0"/>
        <v>0.52436000000000005</v>
      </c>
      <c r="D62" s="12">
        <f t="shared" si="2"/>
        <v>3.6967380000000008E-2</v>
      </c>
      <c r="E62" s="12">
        <f t="shared" si="1"/>
        <v>1.6503294642857148E-3</v>
      </c>
      <c r="F62" s="12">
        <f>E62/Calculation!K$18*1000</f>
        <v>1.8000054844683976E-3</v>
      </c>
      <c r="G62" s="12">
        <f t="shared" si="3"/>
        <v>69.931196615737321</v>
      </c>
    </row>
    <row r="63" spans="1:7">
      <c r="A63" s="35">
        <v>29</v>
      </c>
      <c r="B63" s="77">
        <v>538.63</v>
      </c>
      <c r="C63" s="36">
        <f t="shared" si="0"/>
        <v>0.53862999999999994</v>
      </c>
      <c r="D63" s="12">
        <f t="shared" si="2"/>
        <v>3.7973414999999996E-2</v>
      </c>
      <c r="E63" s="12">
        <f t="shared" si="1"/>
        <v>1.6952417410714285E-3</v>
      </c>
      <c r="F63" s="12">
        <f>E63/Calculation!K$18*1000</f>
        <v>1.8489910635807701E-3</v>
      </c>
      <c r="G63" s="12">
        <f t="shared" si="3"/>
        <v>69.985931563958061</v>
      </c>
    </row>
    <row r="64" spans="1:7">
      <c r="A64" s="35">
        <v>29.5</v>
      </c>
      <c r="B64" s="77">
        <v>598.20000000000005</v>
      </c>
      <c r="C64" s="36">
        <f t="shared" si="0"/>
        <v>0.59820000000000007</v>
      </c>
      <c r="D64" s="12">
        <f t="shared" si="2"/>
        <v>4.2173099999999998E-2</v>
      </c>
      <c r="E64" s="12">
        <f t="shared" si="1"/>
        <v>1.8827276785714287E-3</v>
      </c>
      <c r="F64" s="12">
        <f>E64/Calculation!K$18*1000</f>
        <v>2.0534809688172156E-3</v>
      </c>
      <c r="G64" s="12">
        <f t="shared" si="3"/>
        <v>70.044468644444038</v>
      </c>
    </row>
    <row r="65" spans="1:7">
      <c r="A65" s="35">
        <v>30</v>
      </c>
      <c r="B65" s="77">
        <v>630.05999999999995</v>
      </c>
      <c r="C65" s="36">
        <f t="shared" si="0"/>
        <v>0.63005999999999995</v>
      </c>
      <c r="D65" s="12">
        <f t="shared" si="2"/>
        <v>4.4419229999999997E-2</v>
      </c>
      <c r="E65" s="12">
        <f t="shared" si="1"/>
        <v>1.9830013392857144E-3</v>
      </c>
      <c r="F65" s="12">
        <f>E65/Calculation!K$19*1000</f>
        <v>2.2955099625590401E-3</v>
      </c>
      <c r="G65" s="12">
        <f t="shared" si="3"/>
        <v>70.109703508414682</v>
      </c>
    </row>
    <row r="66" spans="1:7">
      <c r="A66" s="35">
        <v>30.5</v>
      </c>
      <c r="B66" s="77">
        <v>666.41</v>
      </c>
      <c r="C66" s="36">
        <f t="shared" si="0"/>
        <v>0.66640999999999995</v>
      </c>
      <c r="D66" s="12">
        <f t="shared" si="2"/>
        <v>4.6981904999999997E-2</v>
      </c>
      <c r="E66" s="12">
        <f t="shared" si="1"/>
        <v>2.0974064732142859E-3</v>
      </c>
      <c r="F66" s="12">
        <f>E66/Calculation!K$19*1000</f>
        <v>2.4279446309065328E-3</v>
      </c>
      <c r="G66" s="12">
        <f t="shared" si="3"/>
        <v>70.180555327316668</v>
      </c>
    </row>
    <row r="67" spans="1:7">
      <c r="A67" s="35">
        <v>31</v>
      </c>
      <c r="B67" s="77">
        <v>702.75</v>
      </c>
      <c r="C67" s="36">
        <f t="shared" si="0"/>
        <v>0.70274999999999999</v>
      </c>
      <c r="D67" s="12">
        <f t="shared" si="2"/>
        <v>4.9543875000000001E-2</v>
      </c>
      <c r="E67" s="12">
        <f t="shared" si="1"/>
        <v>2.2117801339285718E-3</v>
      </c>
      <c r="F67" s="12">
        <f>E67/Calculation!K$19*1000</f>
        <v>2.5603428660577812E-3</v>
      </c>
      <c r="G67" s="12">
        <f t="shared" si="3"/>
        <v>70.255379639771135</v>
      </c>
    </row>
    <row r="68" spans="1:7">
      <c r="A68" s="35">
        <v>31.5</v>
      </c>
      <c r="B68" s="77">
        <v>728.47</v>
      </c>
      <c r="C68" s="36">
        <f t="shared" si="0"/>
        <v>0.72847000000000006</v>
      </c>
      <c r="D68" s="12">
        <f t="shared" si="2"/>
        <v>5.1357135000000005E-2</v>
      </c>
      <c r="E68" s="12">
        <f t="shared" si="1"/>
        <v>2.2927292410714287E-3</v>
      </c>
      <c r="F68" s="12">
        <f>E68/Calculation!K$19*1000</f>
        <v>2.6540490467977401E-3</v>
      </c>
      <c r="G68" s="12">
        <f t="shared" si="3"/>
        <v>70.333595518463966</v>
      </c>
    </row>
    <row r="69" spans="1:7">
      <c r="A69" s="35">
        <v>32</v>
      </c>
      <c r="B69" s="77">
        <v>739.92</v>
      </c>
      <c r="C69" s="36">
        <f t="shared" si="0"/>
        <v>0.73991999999999991</v>
      </c>
      <c r="D69" s="12">
        <f t="shared" si="2"/>
        <v>5.2164359999999993E-2</v>
      </c>
      <c r="E69" s="12">
        <f t="shared" si="1"/>
        <v>2.3287660714285713E-3</v>
      </c>
      <c r="F69" s="12">
        <f>E69/Calculation!K$19*1000</f>
        <v>2.6957650564972935E-3</v>
      </c>
      <c r="G69" s="12">
        <f t="shared" si="3"/>
        <v>70.413842730013386</v>
      </c>
    </row>
    <row r="70" spans="1:7">
      <c r="A70" s="35">
        <v>32.5</v>
      </c>
      <c r="B70" s="77">
        <v>757.34</v>
      </c>
      <c r="C70" s="36">
        <f t="shared" ref="C70:C101" si="4">B70/1000</f>
        <v>0.75734000000000001</v>
      </c>
      <c r="D70" s="12">
        <f t="shared" ref="D70:D101" si="5">C70/1000*$B$1</f>
        <v>5.3392469999999997E-2</v>
      </c>
      <c r="E70" s="12">
        <f t="shared" ref="E70:E101" si="6">D70/22.4</f>
        <v>2.3835924107142858E-3</v>
      </c>
      <c r="F70" s="12">
        <f>E70/Calculation!K$19*1000</f>
        <v>2.7592316843546064E-3</v>
      </c>
      <c r="G70" s="12">
        <f t="shared" si="3"/>
        <v>70.495667681126164</v>
      </c>
    </row>
    <row r="71" spans="1:7">
      <c r="A71" s="35">
        <v>33</v>
      </c>
      <c r="B71" s="77">
        <v>768.95</v>
      </c>
      <c r="C71" s="36">
        <f t="shared" si="4"/>
        <v>0.76895000000000002</v>
      </c>
      <c r="D71" s="12">
        <f t="shared" si="5"/>
        <v>5.4210975000000002E-2</v>
      </c>
      <c r="E71" s="12">
        <f t="shared" si="6"/>
        <v>2.4201328125000002E-3</v>
      </c>
      <c r="F71" s="12">
        <f>E71/Calculation!K$19*1000</f>
        <v>2.8015306251940675E-3</v>
      </c>
      <c r="G71" s="12">
        <f t="shared" ref="G71:G101" si="7">G70+(F71+F70)/2*30</f>
        <v>70.579079115769389</v>
      </c>
    </row>
    <row r="72" spans="1:7">
      <c r="A72" s="35">
        <v>33.5</v>
      </c>
      <c r="B72" s="77">
        <v>761.16</v>
      </c>
      <c r="C72" s="36">
        <f t="shared" si="4"/>
        <v>0.76115999999999995</v>
      </c>
      <c r="D72" s="12">
        <f t="shared" si="5"/>
        <v>5.3661779999999999E-2</v>
      </c>
      <c r="E72" s="12">
        <f t="shared" si="6"/>
        <v>2.3956151785714287E-3</v>
      </c>
      <c r="F72" s="12">
        <f>E72/Calculation!K$19*1000</f>
        <v>2.7731491653198727E-3</v>
      </c>
      <c r="G72" s="12">
        <f t="shared" si="7"/>
        <v>70.662699312627097</v>
      </c>
    </row>
    <row r="73" spans="1:7">
      <c r="A73" s="35">
        <v>34</v>
      </c>
      <c r="B73" s="77">
        <v>754.68</v>
      </c>
      <c r="C73" s="36">
        <f t="shared" si="4"/>
        <v>0.75467999999999991</v>
      </c>
      <c r="D73" s="12">
        <f t="shared" si="5"/>
        <v>5.3204939999999992E-2</v>
      </c>
      <c r="E73" s="12">
        <f t="shared" si="6"/>
        <v>2.3752205357142854E-3</v>
      </c>
      <c r="F73" s="12">
        <f>E73/Calculation!K$19*1000</f>
        <v>2.7495404541536617E-3</v>
      </c>
      <c r="G73" s="12">
        <f t="shared" si="7"/>
        <v>70.745539656919206</v>
      </c>
    </row>
    <row r="74" spans="1:7">
      <c r="A74" s="35">
        <v>34.5</v>
      </c>
      <c r="B74" s="77">
        <v>743.07</v>
      </c>
      <c r="C74" s="36">
        <f t="shared" si="4"/>
        <v>0.74307000000000001</v>
      </c>
      <c r="D74" s="12">
        <f t="shared" si="5"/>
        <v>5.2386434999999995E-2</v>
      </c>
      <c r="E74" s="12">
        <f t="shared" si="6"/>
        <v>2.3386801339285715E-3</v>
      </c>
      <c r="F74" s="12">
        <f>E74/Calculation!K$19*1000</f>
        <v>2.7072415133142015E-3</v>
      </c>
      <c r="G74" s="12">
        <f t="shared" si="7"/>
        <v>70.827391386431231</v>
      </c>
    </row>
    <row r="75" spans="1:7">
      <c r="A75" s="35">
        <v>35</v>
      </c>
      <c r="B75" s="77">
        <v>730.46</v>
      </c>
      <c r="C75" s="36">
        <f t="shared" si="4"/>
        <v>0.73046</v>
      </c>
      <c r="D75" s="12">
        <f t="shared" si="5"/>
        <v>5.1497430000000004E-2</v>
      </c>
      <c r="E75" s="12">
        <f t="shared" si="6"/>
        <v>2.2989924107142861E-3</v>
      </c>
      <c r="F75" s="12">
        <f>E75/Calculation!K$19*1000</f>
        <v>2.6612992528503264E-3</v>
      </c>
      <c r="G75" s="12">
        <f t="shared" si="7"/>
        <v>70.9079194979237</v>
      </c>
    </row>
    <row r="76" spans="1:7">
      <c r="A76" s="35">
        <v>35.5</v>
      </c>
      <c r="B76" s="77">
        <v>729.63</v>
      </c>
      <c r="C76" s="36">
        <f t="shared" si="4"/>
        <v>0.72963</v>
      </c>
      <c r="D76" s="12">
        <f t="shared" si="5"/>
        <v>5.1438915000000002E-2</v>
      </c>
      <c r="E76" s="12">
        <f t="shared" si="6"/>
        <v>2.2963801339285716E-3</v>
      </c>
      <c r="F76" s="12">
        <f>E76/Calculation!K$19*1000</f>
        <v>2.6582752975620617E-3</v>
      </c>
      <c r="G76" s="12">
        <f t="shared" si="7"/>
        <v>70.98771311617989</v>
      </c>
    </row>
    <row r="77" spans="1:7">
      <c r="A77" s="35">
        <v>36</v>
      </c>
      <c r="B77" s="77">
        <v>677.36</v>
      </c>
      <c r="C77" s="36">
        <f t="shared" si="4"/>
        <v>0.67735999999999996</v>
      </c>
      <c r="D77" s="12">
        <f t="shared" si="5"/>
        <v>4.7753879999999999E-2</v>
      </c>
      <c r="E77" s="12">
        <f t="shared" si="6"/>
        <v>2.1318696428571427E-3</v>
      </c>
      <c r="F77" s="12">
        <f>E77/Calculation!K$19*1000</f>
        <v>2.4678389807938788E-3</v>
      </c>
      <c r="G77" s="12">
        <f t="shared" si="7"/>
        <v>71.064604830355222</v>
      </c>
    </row>
    <row r="78" spans="1:7">
      <c r="A78" s="35">
        <v>36.5</v>
      </c>
      <c r="B78" s="77">
        <v>648.15</v>
      </c>
      <c r="C78" s="36">
        <f t="shared" si="4"/>
        <v>0.64815</v>
      </c>
      <c r="D78" s="12">
        <f t="shared" si="5"/>
        <v>4.5694575000000001E-2</v>
      </c>
      <c r="E78" s="12">
        <f t="shared" si="6"/>
        <v>2.0399363839285717E-3</v>
      </c>
      <c r="F78" s="12">
        <f>E78/Calculation!K$19*1000</f>
        <v>2.361417614564711E-3</v>
      </c>
      <c r="G78" s="12">
        <f t="shared" si="7"/>
        <v>71.137043679285597</v>
      </c>
    </row>
    <row r="79" spans="1:7">
      <c r="A79" s="35">
        <v>37</v>
      </c>
      <c r="B79" s="77">
        <v>594.22</v>
      </c>
      <c r="C79" s="36">
        <f t="shared" si="4"/>
        <v>0.59422000000000008</v>
      </c>
      <c r="D79" s="12">
        <f t="shared" si="5"/>
        <v>4.1892510000000008E-2</v>
      </c>
      <c r="E79" s="12">
        <f t="shared" si="6"/>
        <v>1.8702013392857147E-3</v>
      </c>
      <c r="F79" s="12">
        <f>E79/Calculation!K$19*1000</f>
        <v>2.1649333872199999E-3</v>
      </c>
      <c r="G79" s="12">
        <f t="shared" si="7"/>
        <v>71.204938944312374</v>
      </c>
    </row>
    <row r="80" spans="1:7">
      <c r="A80" s="35">
        <v>37.5</v>
      </c>
      <c r="B80" s="77">
        <v>570.16</v>
      </c>
      <c r="C80" s="36">
        <f t="shared" si="4"/>
        <v>0.57016</v>
      </c>
      <c r="D80" s="12">
        <f t="shared" si="5"/>
        <v>4.0196280000000001E-2</v>
      </c>
      <c r="E80" s="12">
        <f t="shared" si="6"/>
        <v>1.7944767857142859E-3</v>
      </c>
      <c r="F80" s="12">
        <f>E80/Calculation!K$19*1000</f>
        <v>2.0772751170565697E-3</v>
      </c>
      <c r="G80" s="12">
        <f t="shared" si="7"/>
        <v>71.26857207187652</v>
      </c>
    </row>
    <row r="81" spans="1:7">
      <c r="A81" s="35">
        <v>38</v>
      </c>
      <c r="B81" s="77">
        <v>541.95000000000005</v>
      </c>
      <c r="C81" s="36">
        <f t="shared" si="4"/>
        <v>0.54195000000000004</v>
      </c>
      <c r="D81" s="12">
        <f t="shared" si="5"/>
        <v>3.8207475000000005E-2</v>
      </c>
      <c r="E81" s="12">
        <f t="shared" si="6"/>
        <v>1.7056908482142861E-3</v>
      </c>
      <c r="F81" s="12">
        <f>E81/Calculation!K$19*1000</f>
        <v>1.9744970704518171E-3</v>
      </c>
      <c r="G81" s="12">
        <f t="shared" si="7"/>
        <v>71.329348654689142</v>
      </c>
    </row>
    <row r="82" spans="1:7">
      <c r="A82" s="35">
        <v>38.5</v>
      </c>
      <c r="B82" s="77">
        <v>508.43</v>
      </c>
      <c r="C82" s="36">
        <f t="shared" si="4"/>
        <v>0.50843000000000005</v>
      </c>
      <c r="D82" s="12">
        <f t="shared" si="5"/>
        <v>3.5844315000000002E-2</v>
      </c>
      <c r="E82" s="12">
        <f t="shared" si="6"/>
        <v>1.6001926339285716E-3</v>
      </c>
      <c r="F82" s="12">
        <f>E82/Calculation!K$19*1000</f>
        <v>1.8523729966414197E-3</v>
      </c>
      <c r="G82" s="12">
        <f t="shared" si="7"/>
        <v>71.386751705695545</v>
      </c>
    </row>
    <row r="83" spans="1:7">
      <c r="A83" s="35">
        <v>39</v>
      </c>
      <c r="B83" s="77">
        <v>477.07</v>
      </c>
      <c r="C83" s="36">
        <f t="shared" si="4"/>
        <v>0.47706999999999999</v>
      </c>
      <c r="D83" s="12">
        <f t="shared" si="5"/>
        <v>3.3633435000000003E-2</v>
      </c>
      <c r="E83" s="12">
        <f t="shared" si="6"/>
        <v>1.5014926339285716E-3</v>
      </c>
      <c r="F83" s="12">
        <f>E83/Calculation!K$19*1000</f>
        <v>1.7381184932197592E-3</v>
      </c>
      <c r="G83" s="12">
        <f t="shared" si="7"/>
        <v>71.440609078043465</v>
      </c>
    </row>
    <row r="84" spans="1:7">
      <c r="A84" s="35">
        <v>39.5</v>
      </c>
      <c r="B84" s="77">
        <v>454.67</v>
      </c>
      <c r="C84" s="36">
        <f t="shared" si="4"/>
        <v>0.45467000000000002</v>
      </c>
      <c r="D84" s="12">
        <f t="shared" si="5"/>
        <v>3.2054235E-2</v>
      </c>
      <c r="E84" s="12">
        <f t="shared" si="6"/>
        <v>1.4309926339285716E-3</v>
      </c>
      <c r="F84" s="12">
        <f>E84/Calculation!K$19*1000</f>
        <v>1.6565081336328584E-3</v>
      </c>
      <c r="G84" s="12">
        <f t="shared" si="7"/>
        <v>71.491528477446252</v>
      </c>
    </row>
    <row r="85" spans="1:7">
      <c r="A85" s="35">
        <v>40</v>
      </c>
      <c r="B85" s="77">
        <v>423.97</v>
      </c>
      <c r="C85" s="36">
        <f t="shared" si="4"/>
        <v>0.42397000000000001</v>
      </c>
      <c r="D85" s="12">
        <f t="shared" si="5"/>
        <v>2.9889885000000001E-2</v>
      </c>
      <c r="E85" s="12">
        <f t="shared" si="6"/>
        <v>1.3343698660714287E-3</v>
      </c>
      <c r="F85" s="12">
        <f>E85/Calculation!K$19*1000</f>
        <v>1.544658221163312E-3</v>
      </c>
      <c r="G85" s="12">
        <f t="shared" si="7"/>
        <v>71.539545972768195</v>
      </c>
    </row>
    <row r="86" spans="1:7">
      <c r="A86" s="35">
        <v>40.5</v>
      </c>
      <c r="B86" s="77">
        <v>387.46</v>
      </c>
      <c r="C86" s="36">
        <f t="shared" si="4"/>
        <v>0.38745999999999997</v>
      </c>
      <c r="D86" s="12">
        <f t="shared" si="5"/>
        <v>2.7315929999999995E-2</v>
      </c>
      <c r="E86" s="12">
        <f t="shared" si="6"/>
        <v>1.2194611607142857E-3</v>
      </c>
      <c r="F86" s="12">
        <f>E86/Calculation!K$19*1000</f>
        <v>1.4116406216759128E-3</v>
      </c>
      <c r="G86" s="12">
        <f t="shared" si="7"/>
        <v>71.583890455410781</v>
      </c>
    </row>
    <row r="87" spans="1:7">
      <c r="A87" s="35">
        <v>41</v>
      </c>
      <c r="B87" s="77">
        <v>374.19</v>
      </c>
      <c r="C87" s="36">
        <f t="shared" si="4"/>
        <v>0.37419000000000002</v>
      </c>
      <c r="D87" s="12">
        <f t="shared" si="5"/>
        <v>2.6380395000000004E-2</v>
      </c>
      <c r="E87" s="12">
        <f t="shared" si="6"/>
        <v>1.1776962053571432E-3</v>
      </c>
      <c r="F87" s="12">
        <f>E87/Calculation!K$19*1000</f>
        <v>1.3632937702599236E-3</v>
      </c>
      <c r="G87" s="12">
        <f t="shared" si="7"/>
        <v>71.625514471289819</v>
      </c>
    </row>
    <row r="88" spans="1:7">
      <c r="A88" s="35">
        <v>41.5</v>
      </c>
      <c r="B88" s="77">
        <v>341.67</v>
      </c>
      <c r="C88" s="36">
        <f t="shared" si="4"/>
        <v>0.34167000000000003</v>
      </c>
      <c r="D88" s="12">
        <f t="shared" si="5"/>
        <v>2.4087735000000002E-2</v>
      </c>
      <c r="E88" s="12">
        <f t="shared" si="6"/>
        <v>1.0753453125000002E-3</v>
      </c>
      <c r="F88" s="12">
        <f>E88/Calculation!K$19*1000</f>
        <v>1.244813016073941E-3</v>
      </c>
      <c r="G88" s="12">
        <f t="shared" si="7"/>
        <v>71.664636073084822</v>
      </c>
    </row>
    <row r="89" spans="1:7">
      <c r="A89" s="35">
        <v>42</v>
      </c>
      <c r="B89" s="77">
        <v>323.08</v>
      </c>
      <c r="C89" s="36">
        <f t="shared" si="4"/>
        <v>0.32307999999999998</v>
      </c>
      <c r="D89" s="12">
        <f t="shared" si="5"/>
        <v>2.2777140000000001E-2</v>
      </c>
      <c r="E89" s="12">
        <f t="shared" si="6"/>
        <v>1.0168366071428572E-3</v>
      </c>
      <c r="F89" s="12">
        <f>E89/Calculation!K$19*1000</f>
        <v>1.1770837042560623E-3</v>
      </c>
      <c r="G89" s="12">
        <f t="shared" si="7"/>
        <v>71.700964523889766</v>
      </c>
    </row>
    <row r="90" spans="1:7">
      <c r="A90" s="35">
        <v>42.5</v>
      </c>
      <c r="B90" s="77">
        <v>285.08</v>
      </c>
      <c r="C90" s="36">
        <f t="shared" si="4"/>
        <v>0.28508</v>
      </c>
      <c r="D90" s="12">
        <f t="shared" si="5"/>
        <v>2.009814E-2</v>
      </c>
      <c r="E90" s="12">
        <f t="shared" si="6"/>
        <v>8.9723839285714294E-4</v>
      </c>
      <c r="F90" s="12">
        <f>E90/Calculation!K$19*1000</f>
        <v>1.0386375585282848E-3</v>
      </c>
      <c r="G90" s="12">
        <f t="shared" si="7"/>
        <v>71.734200342831528</v>
      </c>
    </row>
    <row r="91" spans="1:7">
      <c r="A91" s="35">
        <v>43</v>
      </c>
      <c r="B91" s="77">
        <v>272.8</v>
      </c>
      <c r="C91" s="36">
        <f t="shared" si="4"/>
        <v>0.27279999999999999</v>
      </c>
      <c r="D91" s="12">
        <f t="shared" si="5"/>
        <v>1.9232399999999997E-2</v>
      </c>
      <c r="E91" s="12">
        <f t="shared" si="6"/>
        <v>8.5858928571428566E-4</v>
      </c>
      <c r="F91" s="12">
        <f>E91/Calculation!K$19*1000</f>
        <v>9.93897593540466E-4</v>
      </c>
      <c r="G91" s="12">
        <f t="shared" si="7"/>
        <v>71.764688370112566</v>
      </c>
    </row>
    <row r="92" spans="1:7">
      <c r="A92" s="35">
        <v>43.5</v>
      </c>
      <c r="B92" s="77">
        <v>262.02</v>
      </c>
      <c r="C92" s="36">
        <f t="shared" si="4"/>
        <v>0.26201999999999998</v>
      </c>
      <c r="D92" s="12">
        <f t="shared" si="5"/>
        <v>1.8472409999999998E-2</v>
      </c>
      <c r="E92" s="12">
        <f t="shared" si="6"/>
        <v>8.2466116071428571E-4</v>
      </c>
      <c r="F92" s="12">
        <f>E92/Calculation!K$19*1000</f>
        <v>9.5462260798927039E-4</v>
      </c>
      <c r="G92" s="12">
        <f t="shared" si="7"/>
        <v>71.793916173135514</v>
      </c>
    </row>
    <row r="93" spans="1:7">
      <c r="A93" s="35">
        <v>44</v>
      </c>
      <c r="B93" s="77">
        <v>251.56</v>
      </c>
      <c r="C93" s="36">
        <f t="shared" si="4"/>
        <v>0.25156000000000001</v>
      </c>
      <c r="D93" s="12">
        <f t="shared" si="5"/>
        <v>1.7734980000000001E-2</v>
      </c>
      <c r="E93" s="12">
        <f t="shared" si="6"/>
        <v>7.9174017857142867E-4</v>
      </c>
      <c r="F93" s="12">
        <f>E93/Calculation!K$19*1000</f>
        <v>9.1651348471788745E-4</v>
      </c>
      <c r="G93" s="12">
        <f t="shared" si="7"/>
        <v>71.821983214526128</v>
      </c>
    </row>
    <row r="94" spans="1:7">
      <c r="A94" s="35">
        <v>44.5</v>
      </c>
      <c r="B94" s="77">
        <v>241.77</v>
      </c>
      <c r="C94" s="36">
        <f t="shared" si="4"/>
        <v>0.24177000000000001</v>
      </c>
      <c r="D94" s="12">
        <f t="shared" si="5"/>
        <v>1.7044785E-2</v>
      </c>
      <c r="E94" s="12">
        <f t="shared" si="6"/>
        <v>7.6092790178571435E-4</v>
      </c>
      <c r="F94" s="12">
        <f>E94/Calculation!K$19*1000</f>
        <v>8.8084538559486268E-4</v>
      </c>
      <c r="G94" s="12">
        <f t="shared" si="7"/>
        <v>71.848943597580814</v>
      </c>
    </row>
    <row r="95" spans="1:7">
      <c r="A95" s="35">
        <v>45</v>
      </c>
      <c r="B95" s="77">
        <v>226.84</v>
      </c>
      <c r="C95" s="36">
        <f t="shared" si="4"/>
        <v>0.22684000000000001</v>
      </c>
      <c r="D95" s="12">
        <f t="shared" si="5"/>
        <v>1.5992220000000001E-2</v>
      </c>
      <c r="E95" s="12">
        <f t="shared" si="6"/>
        <v>7.1393839285714298E-4</v>
      </c>
      <c r="F95" s="12">
        <f>E95/Calculation!K$19*1000</f>
        <v>8.2645062360234376E-4</v>
      </c>
      <c r="G95" s="12">
        <f t="shared" si="7"/>
        <v>71.874553037718769</v>
      </c>
    </row>
    <row r="96" spans="1:7">
      <c r="A96" s="35">
        <v>45.5</v>
      </c>
      <c r="B96" s="77">
        <v>220.7</v>
      </c>
      <c r="C96" s="36">
        <f t="shared" si="4"/>
        <v>0.22069999999999998</v>
      </c>
      <c r="D96" s="12">
        <f t="shared" si="5"/>
        <v>1.5559349999999998E-2</v>
      </c>
      <c r="E96" s="12">
        <f t="shared" si="6"/>
        <v>6.9461383928571424E-4</v>
      </c>
      <c r="F96" s="12">
        <f>E96/Calculation!K$19*1000</f>
        <v>8.0408064110843423E-4</v>
      </c>
      <c r="G96" s="12">
        <f t="shared" si="7"/>
        <v>71.899011006689435</v>
      </c>
    </row>
    <row r="97" spans="1:7">
      <c r="A97" s="35">
        <v>46</v>
      </c>
      <c r="B97" s="77">
        <v>201.28</v>
      </c>
      <c r="C97" s="36">
        <f t="shared" si="4"/>
        <v>0.20128000000000001</v>
      </c>
      <c r="D97" s="12">
        <f t="shared" si="5"/>
        <v>1.4190240000000002E-2</v>
      </c>
      <c r="E97" s="12">
        <f t="shared" si="6"/>
        <v>6.3349285714285727E-4</v>
      </c>
      <c r="F97" s="12">
        <f>E97/Calculation!K$19*1000</f>
        <v>7.3332737400229136E-4</v>
      </c>
      <c r="G97" s="12">
        <f t="shared" si="7"/>
        <v>71.922072126916092</v>
      </c>
    </row>
    <row r="98" spans="1:7">
      <c r="A98" s="35">
        <v>46.5</v>
      </c>
      <c r="B98" s="77">
        <v>196.97</v>
      </c>
      <c r="C98" s="36">
        <f t="shared" si="4"/>
        <v>0.19697000000000001</v>
      </c>
      <c r="D98" s="12">
        <f t="shared" si="5"/>
        <v>1.3886385000000001E-2</v>
      </c>
      <c r="E98" s="12">
        <f t="shared" si="6"/>
        <v>6.199279017857144E-4</v>
      </c>
      <c r="F98" s="12">
        <f>E98/Calculation!K$19*1000</f>
        <v>7.1762466642106182E-4</v>
      </c>
      <c r="G98" s="12">
        <f t="shared" si="7"/>
        <v>71.94383640752244</v>
      </c>
    </row>
    <row r="99" spans="1:7">
      <c r="A99" s="35">
        <v>47</v>
      </c>
      <c r="B99" s="77">
        <v>190</v>
      </c>
      <c r="C99" s="36">
        <f t="shared" si="4"/>
        <v>0.19</v>
      </c>
      <c r="D99" s="12">
        <f t="shared" si="5"/>
        <v>1.3395000000000001E-2</v>
      </c>
      <c r="E99" s="12">
        <f t="shared" si="6"/>
        <v>5.9799107142857147E-4</v>
      </c>
      <c r="F99" s="12">
        <f>E99/Calculation!K$19*1000</f>
        <v>6.9223072863888767E-4</v>
      </c>
      <c r="G99" s="12">
        <f t="shared" si="7"/>
        <v>71.964984238448338</v>
      </c>
    </row>
    <row r="100" spans="1:7">
      <c r="A100" s="35">
        <v>47.5</v>
      </c>
      <c r="B100" s="77">
        <v>175.56</v>
      </c>
      <c r="C100" s="36">
        <f t="shared" si="4"/>
        <v>0.17555999999999999</v>
      </c>
      <c r="D100" s="12">
        <f t="shared" si="5"/>
        <v>1.2376980000000001E-2</v>
      </c>
      <c r="E100" s="12">
        <f t="shared" si="6"/>
        <v>5.5254375000000011E-4</v>
      </c>
      <c r="F100" s="12">
        <f>E100/Calculation!K$19*1000</f>
        <v>6.3962119326233229E-4</v>
      </c>
      <c r="G100" s="12">
        <f t="shared" si="7"/>
        <v>71.984962017276857</v>
      </c>
    </row>
    <row r="101" spans="1:7">
      <c r="A101" s="35">
        <v>48</v>
      </c>
      <c r="B101" s="77">
        <v>183.69</v>
      </c>
      <c r="C101" s="36">
        <f t="shared" si="4"/>
        <v>0.18368999999999999</v>
      </c>
      <c r="D101" s="12">
        <f t="shared" si="5"/>
        <v>1.2950145E-2</v>
      </c>
      <c r="E101" s="12">
        <f t="shared" si="6"/>
        <v>5.7813147321428575E-4</v>
      </c>
      <c r="F101" s="12">
        <f>E101/Calculation!K$20*1000</f>
        <v>7.1464021238767234E-4</v>
      </c>
      <c r="G101" s="12">
        <f t="shared" si="7"/>
        <v>72.005275938361606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9" t="s">
        <v>41</v>
      </c>
      <c r="B1" s="129"/>
      <c r="D1" s="157" t="s">
        <v>4</v>
      </c>
      <c r="E1" s="157" t="s">
        <v>5</v>
      </c>
      <c r="F1" s="129" t="s">
        <v>141</v>
      </c>
      <c r="G1" s="129"/>
      <c r="H1" s="129"/>
      <c r="I1" s="129"/>
      <c r="J1" s="129" t="s">
        <v>42</v>
      </c>
      <c r="K1" s="129"/>
      <c r="L1" s="129"/>
      <c r="M1" s="129"/>
      <c r="N1" s="155" t="s">
        <v>43</v>
      </c>
      <c r="O1" s="127"/>
      <c r="P1" s="127"/>
      <c r="Q1" s="156"/>
      <c r="R1" s="129" t="s">
        <v>65</v>
      </c>
      <c r="S1" s="129"/>
      <c r="T1" s="129"/>
      <c r="U1" s="129"/>
    </row>
    <row r="2" spans="1:21">
      <c r="A2" s="129" t="s">
        <v>34</v>
      </c>
      <c r="B2" s="129"/>
      <c r="D2" s="157"/>
      <c r="E2" s="157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29" t="s">
        <v>35</v>
      </c>
      <c r="B3" s="14" t="s">
        <v>38</v>
      </c>
      <c r="D3" s="16">
        <v>0</v>
      </c>
      <c r="E3" s="64">
        <v>-0.16666666666666666</v>
      </c>
      <c r="F3" s="52">
        <v>49.807578448786259</v>
      </c>
      <c r="G3" s="52">
        <v>8.1828539030107741E-2</v>
      </c>
      <c r="H3" s="13">
        <f>F3*Calculation!I3/Calculation!F22</f>
        <v>49.807578448786252</v>
      </c>
      <c r="I3" s="13">
        <f>G3*Calculation!I3/Calculation!F22</f>
        <v>8.1828539030107741E-2</v>
      </c>
      <c r="J3" s="13">
        <v>0.35523978685612789</v>
      </c>
      <c r="K3" s="13">
        <v>2.2202486678508014E-2</v>
      </c>
      <c r="L3" s="13">
        <f>J3*Calculation!I3/Calculation!F22</f>
        <v>0.35523978685612795</v>
      </c>
      <c r="M3" s="13">
        <f>K3*Calculation!I3/Calculation!F22</f>
        <v>2.2202486678508014E-2</v>
      </c>
      <c r="N3" s="13">
        <v>50.113794060505121</v>
      </c>
      <c r="O3" s="13">
        <v>0.13460289373280002</v>
      </c>
      <c r="P3" s="13">
        <f>N3*Calculation!I3/Calculation!F22</f>
        <v>50.113794060505121</v>
      </c>
      <c r="Q3" s="13">
        <f>O3*Calculation!I3/Calculation!F22</f>
        <v>0.13460289373280002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29"/>
      <c r="B4" s="14" t="s">
        <v>39</v>
      </c>
      <c r="D4" s="16">
        <v>0</v>
      </c>
      <c r="E4" s="66">
        <v>0.16666666666666666</v>
      </c>
      <c r="F4" s="52">
        <v>47.572528123149802</v>
      </c>
      <c r="G4" s="52">
        <v>0.29315130728742611</v>
      </c>
      <c r="H4" s="13">
        <f>F4*Calculation!I4/Calculation!K3</f>
        <v>47.60233547159789</v>
      </c>
      <c r="I4" s="13">
        <f>G4*Calculation!I4/Calculation!K3</f>
        <v>0.29333498605139069</v>
      </c>
      <c r="J4" s="13">
        <v>0.58466548253404382</v>
      </c>
      <c r="K4" s="13">
        <v>2.563722332103132E-2</v>
      </c>
      <c r="L4" s="13">
        <f>J4*Calculation!I4/Calculation!K3</f>
        <v>0.58503181429001749</v>
      </c>
      <c r="M4" s="13">
        <f>K4*Calculation!I4/Calculation!K3</f>
        <v>2.5653286744164797E-2</v>
      </c>
      <c r="N4" s="13">
        <v>47.960033305578698</v>
      </c>
      <c r="O4" s="13">
        <v>0.43297252289758692</v>
      </c>
      <c r="P4" s="13">
        <f>N4*Calculation!I4/Calculation!K3</f>
        <v>47.990083451760135</v>
      </c>
      <c r="Q4" s="13">
        <f>O4*Calculation!I4/Calculation!K3</f>
        <v>0.43324380893950271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66">
        <v>2</v>
      </c>
      <c r="F5" s="52">
        <v>46.813943161634107</v>
      </c>
      <c r="G5" s="52">
        <v>0.78301154416440133</v>
      </c>
      <c r="H5" s="13">
        <f>F5*Calculation!I5/Calculation!K4</f>
        <v>46.904031723998798</v>
      </c>
      <c r="I5" s="13">
        <f>G5*Calculation!I5/Calculation!K4</f>
        <v>0.7845183684044611</v>
      </c>
      <c r="J5" s="13">
        <v>0.56986382474837183</v>
      </c>
      <c r="K5" s="13">
        <v>1.2818611660515638E-2</v>
      </c>
      <c r="L5" s="13">
        <f>J5*Calculation!I5/Calculation!K4</f>
        <v>0.57096046838161529</v>
      </c>
      <c r="M5" s="13">
        <f>K5*Calculation!I5/Calculation!K4</f>
        <v>1.2843279744808813E-2</v>
      </c>
      <c r="N5" s="13">
        <v>47.238412434082726</v>
      </c>
      <c r="O5" s="13">
        <v>0.86935429144388165</v>
      </c>
      <c r="P5" s="13">
        <f>N5*Calculation!I5/Calculation!K4</f>
        <v>47.329317843393866</v>
      </c>
      <c r="Q5" s="13">
        <f>O5*Calculation!I5/Calculation!K4</f>
        <v>0.87102727331664009</v>
      </c>
      <c r="R5" s="13">
        <v>0</v>
      </c>
      <c r="S5" s="13">
        <v>0</v>
      </c>
      <c r="T5" s="13">
        <f>R5*Calculation!I5/Calculation!K4</f>
        <v>0</v>
      </c>
      <c r="U5" s="13">
        <f>S5*Calculation!I5/Calculation!K4</f>
        <v>0</v>
      </c>
    </row>
    <row r="6" spans="1:21">
      <c r="A6" s="15" t="s">
        <v>40</v>
      </c>
      <c r="B6" s="15">
        <v>180.16</v>
      </c>
      <c r="D6" s="16">
        <v>2</v>
      </c>
      <c r="E6" s="66">
        <v>3.3333333333333335</v>
      </c>
      <c r="F6" s="52">
        <v>47.450414446418009</v>
      </c>
      <c r="G6" s="52">
        <v>0.39877009409556341</v>
      </c>
      <c r="H6" s="13">
        <f>F6*Calculation!I6/Calculation!K5</f>
        <v>47.63674794046571</v>
      </c>
      <c r="I6" s="13">
        <f>G6*Calculation!I6/Calculation!K5</f>
        <v>0.40033602825697018</v>
      </c>
      <c r="J6" s="13">
        <v>0.62907045589105981</v>
      </c>
      <c r="K6" s="13">
        <v>1.2818611660515679E-2</v>
      </c>
      <c r="L6" s="13">
        <f>J6*Calculation!I6/Calculation!K5</f>
        <v>0.63154075878337124</v>
      </c>
      <c r="M6" s="13">
        <f>K6*Calculation!I6/Calculation!K5</f>
        <v>1.2868949191334123E-2</v>
      </c>
      <c r="N6" s="13">
        <v>48.281987232861511</v>
      </c>
      <c r="O6" s="13">
        <v>0.59236509894883516</v>
      </c>
      <c r="P6" s="13">
        <f>N6*Calculation!I6/Calculation!K5</f>
        <v>48.471586238173138</v>
      </c>
      <c r="Q6" s="13">
        <f>O6*Calculation!I6/Calculation!K5</f>
        <v>0.59469126321793098</v>
      </c>
      <c r="R6" s="13">
        <v>0</v>
      </c>
      <c r="S6" s="13">
        <v>0</v>
      </c>
      <c r="T6" s="13">
        <f>R6*Calculation!I6/Calculation!K5</f>
        <v>0</v>
      </c>
      <c r="U6" s="13">
        <f>S6*Calculation!I6/Calculation!K5</f>
        <v>0</v>
      </c>
    </row>
    <row r="7" spans="1:21">
      <c r="A7" s="32" t="s">
        <v>116</v>
      </c>
      <c r="B7" s="32">
        <v>46.03</v>
      </c>
      <c r="D7" s="16">
        <v>3</v>
      </c>
      <c r="E7" s="66">
        <v>4.666666666666667</v>
      </c>
      <c r="F7" s="52">
        <v>45.115452930728246</v>
      </c>
      <c r="G7" s="52">
        <v>0.28018271456758548</v>
      </c>
      <c r="H7" s="13">
        <f>F7*Calculation!I7/Calculation!K6</f>
        <v>45.385556948749709</v>
      </c>
      <c r="I7" s="13">
        <f>G7*Calculation!I7/Calculation!K6</f>
        <v>0.28186015482516341</v>
      </c>
      <c r="J7" s="13">
        <v>0.56986382474837183</v>
      </c>
      <c r="K7" s="13">
        <v>1.2818611660515638E-2</v>
      </c>
      <c r="L7" s="13">
        <f>J7*Calculation!I7/Calculation!K6</f>
        <v>0.5732755716951653</v>
      </c>
      <c r="M7" s="13">
        <f>K7*Calculation!I7/Calculation!K6</f>
        <v>1.2895356063819717E-2</v>
      </c>
      <c r="N7" s="13">
        <v>47.327227310574521</v>
      </c>
      <c r="O7" s="13">
        <v>0.35089604505754191</v>
      </c>
      <c r="P7" s="13">
        <f>N7*Calculation!I7/Calculation!K6</f>
        <v>47.610573114018614</v>
      </c>
      <c r="Q7" s="13">
        <f>O7*Calculation!I7/Calculation!K6</f>
        <v>0.35299684257859099</v>
      </c>
      <c r="R7" s="13">
        <v>0</v>
      </c>
      <c r="S7" s="13">
        <v>0</v>
      </c>
      <c r="T7" s="13">
        <f>R7*Calculation!I7/Calculation!K6</f>
        <v>0</v>
      </c>
      <c r="U7" s="13">
        <f>S7*Calculation!I7/Calculation!K6</f>
        <v>0</v>
      </c>
    </row>
    <row r="8" spans="1:21">
      <c r="A8" s="15" t="s">
        <v>43</v>
      </c>
      <c r="B8" s="15">
        <v>60.05</v>
      </c>
      <c r="D8" s="16">
        <v>4</v>
      </c>
      <c r="E8" s="66">
        <v>6</v>
      </c>
      <c r="F8" s="52">
        <v>40.064387211367674</v>
      </c>
      <c r="G8" s="52">
        <v>0.99917357220358027</v>
      </c>
      <c r="H8" s="13">
        <f>F8*Calculation!I8/Calculation!K7</f>
        <v>40.502933671296191</v>
      </c>
      <c r="I8" s="13">
        <f>G8*Calculation!I8/Calculation!K7</f>
        <v>1.0101105679607421</v>
      </c>
      <c r="J8" s="13">
        <v>0.48105387803433985</v>
      </c>
      <c r="K8" s="13">
        <v>3.391485860683717E-2</v>
      </c>
      <c r="L8" s="13">
        <f>J8*Calculation!I8/Calculation!K7</f>
        <v>0.4863195139252337</v>
      </c>
      <c r="M8" s="13">
        <f>K8*Calculation!I8/Calculation!K7</f>
        <v>3.4286092069177126E-2</v>
      </c>
      <c r="N8" s="13">
        <v>45.972800444074387</v>
      </c>
      <c r="O8" s="13">
        <v>0.95508259623660674</v>
      </c>
      <c r="P8" s="13">
        <f>N8*Calculation!I8/Calculation!K7</f>
        <v>46.476020642635888</v>
      </c>
      <c r="Q8" s="13">
        <f>O8*Calculation!I8/Calculation!K7</f>
        <v>0.96553697032472607</v>
      </c>
      <c r="R8" s="13">
        <v>0</v>
      </c>
      <c r="S8" s="13">
        <v>0</v>
      </c>
      <c r="T8" s="13">
        <f>R8*Calculation!I8/Calculation!K7</f>
        <v>0</v>
      </c>
      <c r="U8" s="13">
        <f>S8*Calculation!I8/Calculation!K7</f>
        <v>0</v>
      </c>
    </row>
    <row r="9" spans="1:21">
      <c r="A9" s="32" t="s">
        <v>67</v>
      </c>
      <c r="B9" s="32">
        <v>74.08</v>
      </c>
      <c r="D9" s="16">
        <v>5</v>
      </c>
      <c r="E9" s="66">
        <v>7.333333333333333</v>
      </c>
      <c r="F9" s="52">
        <v>32.286116044997037</v>
      </c>
      <c r="G9" s="52">
        <v>0.18653172233760382</v>
      </c>
      <c r="H9" s="13">
        <f>F9*Calculation!I9/Calculation!K8</f>
        <v>32.921910736164008</v>
      </c>
      <c r="I9" s="13">
        <f>G9*Calculation!I9/Calculation!K8</f>
        <v>0.19020500030734142</v>
      </c>
      <c r="J9" s="13">
        <v>0.63647128478389581</v>
      </c>
      <c r="K9" s="13">
        <v>4.6218161622249836E-2</v>
      </c>
      <c r="L9" s="13">
        <f>J9*Calculation!I9/Calculation!K8</f>
        <v>0.64900500247796089</v>
      </c>
      <c r="M9" s="13">
        <f>K9*Calculation!I9/Calculation!K8</f>
        <v>4.7128313272388533E-2</v>
      </c>
      <c r="N9" s="13">
        <v>44.995836802664449</v>
      </c>
      <c r="O9" s="13">
        <v>0.24016994341142334</v>
      </c>
      <c r="P9" s="13">
        <f>N9*Calculation!I9/Calculation!K8</f>
        <v>45.881917808006754</v>
      </c>
      <c r="Q9" s="13">
        <f>O9*Calculation!I9/Calculation!K8</f>
        <v>0.24489949263270588</v>
      </c>
      <c r="R9" s="13">
        <v>0</v>
      </c>
      <c r="S9" s="13">
        <v>0</v>
      </c>
      <c r="T9" s="13">
        <f>R9*Calculation!I9/Calculation!K8</f>
        <v>0</v>
      </c>
      <c r="U9" s="13">
        <f>S9*Calculation!I9/Calculation!K8</f>
        <v>0</v>
      </c>
    </row>
    <row r="10" spans="1:21">
      <c r="A10" s="32" t="s">
        <v>66</v>
      </c>
      <c r="B10" s="32">
        <v>88.11</v>
      </c>
      <c r="D10" s="16">
        <v>6</v>
      </c>
      <c r="E10" s="66">
        <v>8.6666666666666661</v>
      </c>
      <c r="F10" s="52">
        <v>20.600207223209001</v>
      </c>
      <c r="G10" s="52">
        <v>0.28200945653134496</v>
      </c>
      <c r="H10" s="13">
        <f>F10*Calculation!I10/Calculation!K9</f>
        <v>21.192319723390494</v>
      </c>
      <c r="I10" s="13">
        <f>G10*Calculation!I10/Calculation!K9</f>
        <v>0.29011526452503694</v>
      </c>
      <c r="J10" s="13">
        <v>0.81409117821195953</v>
      </c>
      <c r="K10" s="13">
        <v>2.5637223321031362E-2</v>
      </c>
      <c r="L10" s="13">
        <f>J10*Calculation!I10/Calculation!K9</f>
        <v>0.83749063034774696</v>
      </c>
      <c r="M10" s="13">
        <f>K10*Calculation!I10/Calculation!K9</f>
        <v>2.6374114956821539E-2</v>
      </c>
      <c r="N10" s="13">
        <v>39.67804607271718</v>
      </c>
      <c r="O10" s="13">
        <v>0.58672041128942942</v>
      </c>
      <c r="P10" s="13">
        <f>N10*Calculation!I10/Calculation!K9</f>
        <v>40.818513583935413</v>
      </c>
      <c r="Q10" s="13">
        <f>O10*Calculation!I10/Calculation!K9</f>
        <v>0.60358453726019634</v>
      </c>
      <c r="R10" s="13">
        <v>0</v>
      </c>
      <c r="S10" s="13">
        <v>0</v>
      </c>
      <c r="T10" s="13">
        <f>R10*Calculation!I10/Calculation!K9</f>
        <v>0</v>
      </c>
      <c r="U10" s="13">
        <f>S10*Calculation!I10/Calculation!K9</f>
        <v>0</v>
      </c>
    </row>
    <row r="11" spans="1:21">
      <c r="A11" s="15" t="s">
        <v>42</v>
      </c>
      <c r="B11" s="15">
        <v>90.08</v>
      </c>
      <c r="D11" s="16">
        <v>7</v>
      </c>
      <c r="E11" s="66">
        <v>10</v>
      </c>
      <c r="F11" s="52">
        <v>7.5858496151568993</v>
      </c>
      <c r="G11" s="52">
        <v>3.8986285349514316E-2</v>
      </c>
      <c r="H11" s="13">
        <f>F11*Calculation!I11/Calculation!K10</f>
        <v>7.8809800630385487</v>
      </c>
      <c r="I11" s="13">
        <f>G11*Calculation!I11/Calculation!K10</f>
        <v>4.0503062037712076E-2</v>
      </c>
      <c r="J11" s="13">
        <v>1.5615748963883958</v>
      </c>
      <c r="K11" s="13">
        <v>1.2818611660515504E-2</v>
      </c>
      <c r="L11" s="13">
        <f>J11*Calculation!I11/Calculation!K10</f>
        <v>1.6223285788303743</v>
      </c>
      <c r="M11" s="13">
        <f>K11*Calculation!I11/Calculation!K10</f>
        <v>1.3317324763531667E-2</v>
      </c>
      <c r="N11" s="13">
        <v>34.726616708298643</v>
      </c>
      <c r="O11" s="13">
        <v>0.13866218147984247</v>
      </c>
      <c r="P11" s="13">
        <f>N11*Calculation!I11/Calculation!K10</f>
        <v>36.077669321054998</v>
      </c>
      <c r="Q11" s="13">
        <f>O11*Calculation!I11/Calculation!K10</f>
        <v>0.14405688791359847</v>
      </c>
      <c r="R11" s="13">
        <v>0</v>
      </c>
      <c r="S11" s="13">
        <v>0</v>
      </c>
      <c r="T11" s="13">
        <f>R11*Calculation!I11/Calculation!K10</f>
        <v>0</v>
      </c>
      <c r="U11" s="13">
        <f>S11*Calculation!I11/Calculation!K10</f>
        <v>0</v>
      </c>
    </row>
    <row r="12" spans="1:21">
      <c r="A12" s="15" t="s">
        <v>44</v>
      </c>
      <c r="B12" s="15">
        <v>46.07</v>
      </c>
      <c r="D12" s="16">
        <v>8</v>
      </c>
      <c r="E12" s="66">
        <v>11.333333333333334</v>
      </c>
      <c r="F12" s="52">
        <v>0</v>
      </c>
      <c r="G12" s="52">
        <v>0</v>
      </c>
      <c r="H12" s="13">
        <f>F12*Calculation!I12/Calculation!K11</f>
        <v>0</v>
      </c>
      <c r="I12" s="13">
        <f>G12*Calculation!I12/Calculation!K11</f>
        <v>0</v>
      </c>
      <c r="J12" s="13">
        <v>2.0352279455298996</v>
      </c>
      <c r="K12" s="13">
        <v>1.2818611660515681E-2</v>
      </c>
      <c r="L12" s="13">
        <f>J12*Calculation!I12/Calculation!K11</f>
        <v>2.1292646197619427</v>
      </c>
      <c r="M12" s="13">
        <f>K12*Calculation!I12/Calculation!K11</f>
        <v>1.3410889106132777E-2</v>
      </c>
      <c r="N12" s="13">
        <v>33.538717735220651</v>
      </c>
      <c r="O12" s="13">
        <v>0.11537390891383043</v>
      </c>
      <c r="P12" s="13">
        <f>N12*Calculation!I12/Calculation!K11</f>
        <v>35.088357165415403</v>
      </c>
      <c r="Q12" s="13">
        <f>O12*Calculation!I12/Calculation!K11</f>
        <v>0.12070470181653033</v>
      </c>
      <c r="R12" s="13">
        <v>0</v>
      </c>
      <c r="S12" s="13">
        <v>0</v>
      </c>
      <c r="T12" s="13">
        <f>R12*Calculation!I12/Calculation!K11</f>
        <v>0</v>
      </c>
      <c r="U12" s="13">
        <f>S12*Calculation!I12/Calculation!K11</f>
        <v>0</v>
      </c>
    </row>
    <row r="13" spans="1:21">
      <c r="D13" s="16">
        <v>9</v>
      </c>
      <c r="E13" s="66">
        <v>12.666666666666666</v>
      </c>
      <c r="F13" s="52">
        <v>0</v>
      </c>
      <c r="G13" s="52">
        <v>0</v>
      </c>
      <c r="H13" s="13">
        <f>F13*Calculation!I13/Calculation!K12</f>
        <v>0</v>
      </c>
      <c r="I13" s="13">
        <f>G13*Calculation!I13/Calculation!K12</f>
        <v>0</v>
      </c>
      <c r="J13" s="13">
        <v>2.0500296033155716</v>
      </c>
      <c r="K13" s="13">
        <v>2.5637223321031362E-2</v>
      </c>
      <c r="L13" s="13">
        <f>J13*Calculation!I13/Calculation!K12</f>
        <v>2.1568870046138846</v>
      </c>
      <c r="M13" s="13">
        <f>K13*Calculation!I13/Calculation!K12</f>
        <v>2.6973558687193495E-2</v>
      </c>
      <c r="N13" s="13">
        <v>35.059672495142948</v>
      </c>
      <c r="O13" s="13">
        <v>0.43467714572193877</v>
      </c>
      <c r="P13" s="13">
        <f>N13*Calculation!I13/Calculation!K12</f>
        <v>36.887151223811934</v>
      </c>
      <c r="Q13" s="13">
        <f>O13*Calculation!I13/Calculation!K12</f>
        <v>0.4573346088729548</v>
      </c>
      <c r="R13" s="13">
        <v>0</v>
      </c>
      <c r="S13" s="13">
        <v>0</v>
      </c>
      <c r="T13" s="13">
        <f>R13*Calculation!I13/Calculation!K12</f>
        <v>0</v>
      </c>
      <c r="U13" s="13">
        <f>S13*Calculation!I13/Calculation!K12</f>
        <v>0</v>
      </c>
    </row>
    <row r="14" spans="1:21">
      <c r="D14" s="16">
        <v>10</v>
      </c>
      <c r="E14" s="66">
        <v>14</v>
      </c>
      <c r="F14" s="52">
        <v>0</v>
      </c>
      <c r="G14" s="52">
        <v>0</v>
      </c>
      <c r="H14" s="13">
        <f>F14*Calculation!I14/Calculation!K13</f>
        <v>0</v>
      </c>
      <c r="I14" s="13">
        <f>G14*Calculation!I14/Calculation!K13</f>
        <v>0</v>
      </c>
      <c r="J14" s="13">
        <v>2.0648312611012436</v>
      </c>
      <c r="K14" s="13">
        <v>3.7737010310571668E-16</v>
      </c>
      <c r="L14" s="13">
        <f>J14*Calculation!I14/Calculation!K13</f>
        <v>2.1742720893907639</v>
      </c>
      <c r="M14" s="13">
        <f>K14*Calculation!I14/Calculation!K13</f>
        <v>3.973715906042955E-16</v>
      </c>
      <c r="N14" s="13">
        <v>36.269775187343889</v>
      </c>
      <c r="O14" s="13">
        <v>0.18543761408260076</v>
      </c>
      <c r="P14" s="13">
        <f>N14*Calculation!I14/Calculation!K13</f>
        <v>38.192157085156012</v>
      </c>
      <c r="Q14" s="13">
        <f>O14*Calculation!I14/Calculation!K13</f>
        <v>0.19526623614172658</v>
      </c>
      <c r="R14" s="13">
        <v>0</v>
      </c>
      <c r="S14" s="13">
        <v>0</v>
      </c>
      <c r="T14" s="13">
        <f>R14*Calculation!I14/Calculation!K13</f>
        <v>0</v>
      </c>
      <c r="U14" s="13">
        <f>S14*Calculation!I14/Calculation!K13</f>
        <v>0</v>
      </c>
    </row>
    <row r="15" spans="1:21">
      <c r="D15" s="16">
        <v>11</v>
      </c>
      <c r="E15" s="66">
        <v>15.333333333333334</v>
      </c>
      <c r="F15" s="52">
        <v>0</v>
      </c>
      <c r="G15" s="52">
        <v>0</v>
      </c>
      <c r="H15" s="13">
        <f>F15*Calculation!I15/Calculation!K14</f>
        <v>0</v>
      </c>
      <c r="I15" s="13">
        <f>G15*Calculation!I15/Calculation!K14</f>
        <v>0</v>
      </c>
      <c r="J15" s="13">
        <v>2.0574304322084074</v>
      </c>
      <c r="K15" s="13">
        <v>3.3914858606837212E-2</v>
      </c>
      <c r="L15" s="13">
        <f>J15*Calculation!I15/Calculation!K14</f>
        <v>2.1683498794296274</v>
      </c>
      <c r="M15" s="13">
        <f>K15*Calculation!I15/Calculation!K14</f>
        <v>3.5743264228901603E-2</v>
      </c>
      <c r="N15" s="13">
        <v>36.813766305856227</v>
      </c>
      <c r="O15" s="13">
        <v>0.3529972377593022</v>
      </c>
      <c r="P15" s="13">
        <f>N15*Calculation!I15/Calculation!K14</f>
        <v>38.798456793978218</v>
      </c>
      <c r="Q15" s="13">
        <f>O15*Calculation!I15/Calculation!K14</f>
        <v>0.37202789749385851</v>
      </c>
      <c r="R15" s="13">
        <v>0</v>
      </c>
      <c r="S15" s="13">
        <v>0</v>
      </c>
      <c r="T15" s="13">
        <f>R15*Calculation!I15/Calculation!K14</f>
        <v>0</v>
      </c>
      <c r="U15" s="13">
        <f>S15*Calculation!I15/Calculation!K14</f>
        <v>0</v>
      </c>
    </row>
    <row r="16" spans="1:21">
      <c r="D16" s="16">
        <v>12</v>
      </c>
      <c r="E16" s="66">
        <v>16.666666666666668</v>
      </c>
      <c r="F16" s="52">
        <v>0</v>
      </c>
      <c r="G16" s="52">
        <v>0</v>
      </c>
      <c r="H16" s="13">
        <f>F16*Calculation!I16/Calculation!K15</f>
        <v>0</v>
      </c>
      <c r="I16" s="13">
        <f>G16*Calculation!I16/Calculation!K15</f>
        <v>0</v>
      </c>
      <c r="J16" s="13">
        <v>2.0574304322084074</v>
      </c>
      <c r="K16" s="13">
        <v>5.1274446642062724E-2</v>
      </c>
      <c r="L16" s="13">
        <f>J16*Calculation!I16/Calculation!K15</f>
        <v>2.1703015894921203</v>
      </c>
      <c r="M16" s="13">
        <f>K16*Calculation!I16/Calculation!K15</f>
        <v>5.4087375838098542E-2</v>
      </c>
      <c r="N16" s="13">
        <v>36.414099361643082</v>
      </c>
      <c r="O16" s="13">
        <v>0.67383806407964619</v>
      </c>
      <c r="P16" s="13">
        <f>N16*Calculation!I16/Calculation!K15</f>
        <v>38.411786122784775</v>
      </c>
      <c r="Q16" s="13">
        <f>O16*Calculation!I16/Calculation!K15</f>
        <v>0.71080499181816925</v>
      </c>
      <c r="R16" s="13">
        <v>0</v>
      </c>
      <c r="S16" s="13">
        <v>0</v>
      </c>
      <c r="T16" s="13">
        <f>R16*Calculation!I16/Calculation!K15</f>
        <v>0</v>
      </c>
      <c r="U16" s="13">
        <f>S16*Calculation!I16/Calculation!K15</f>
        <v>0</v>
      </c>
    </row>
    <row r="17" spans="4:21">
      <c r="D17" s="16">
        <v>13</v>
      </c>
      <c r="E17" s="66">
        <v>18</v>
      </c>
      <c r="F17" s="52">
        <v>0</v>
      </c>
      <c r="G17" s="52">
        <v>0</v>
      </c>
      <c r="H17" s="13">
        <f>F17*Calculation!I17/Calculation!K16</f>
        <v>0</v>
      </c>
      <c r="I17" s="13">
        <f>G17*Calculation!I17/Calculation!K16</f>
        <v>0</v>
      </c>
      <c r="J17" s="13">
        <v>2.1758436944937838</v>
      </c>
      <c r="K17" s="13">
        <v>2.2202486678508014E-2</v>
      </c>
      <c r="L17" s="13">
        <f>J17*Calculation!I17/Calculation!K16</f>
        <v>2.2973601074930645</v>
      </c>
      <c r="M17" s="13">
        <f>K17*Calculation!I17/Calculation!K16</f>
        <v>2.3442450076459856E-2</v>
      </c>
      <c r="N17" s="13">
        <v>37.51318345822925</v>
      </c>
      <c r="O17" s="13">
        <v>0.23393069670502914</v>
      </c>
      <c r="P17" s="13">
        <f>N17*Calculation!I17/Calculation!K16</f>
        <v>39.608217906504954</v>
      </c>
      <c r="Q17" s="13">
        <f>O17*Calculation!I17/Calculation!K16</f>
        <v>0.2469952468958144</v>
      </c>
      <c r="R17" s="13">
        <v>0</v>
      </c>
      <c r="S17" s="13">
        <v>0</v>
      </c>
      <c r="T17" s="13">
        <f>R17*Calculation!I17/Calculation!K16</f>
        <v>0</v>
      </c>
      <c r="U17" s="13">
        <f>S17*Calculation!I17/Calculation!K16</f>
        <v>0</v>
      </c>
    </row>
    <row r="18" spans="4:21">
      <c r="D18" s="16">
        <v>14</v>
      </c>
      <c r="E18" s="66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2.3756660746003555</v>
      </c>
      <c r="K18" s="13">
        <v>2.2202486678508014E-2</v>
      </c>
      <c r="L18" s="13">
        <f>J18*Calculation!I18/Calculation!K17</f>
        <v>2.5108013171598116</v>
      </c>
      <c r="M18" s="13">
        <f>K18*Calculation!I18/Calculation!K17</f>
        <v>2.3465432870652465E-2</v>
      </c>
      <c r="N18" s="13">
        <v>37.65750763252845</v>
      </c>
      <c r="O18" s="13">
        <v>0.32858503662389438</v>
      </c>
      <c r="P18" s="13">
        <f>N18*Calculation!I18/Calculation!K17</f>
        <v>39.799583272920103</v>
      </c>
      <c r="Q18" s="13">
        <f>O18*Calculation!I18/Calculation!K17</f>
        <v>0.34727597096871698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6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2.4422735346358793</v>
      </c>
      <c r="K19" s="13">
        <v>3.8455834981547053E-2</v>
      </c>
      <c r="L19" s="13">
        <f>J19*Calculation!I19/Calculation!K18</f>
        <v>2.5811976157717686</v>
      </c>
      <c r="M19" s="13">
        <f>K19*Calculation!I19/Calculation!K18</f>
        <v>4.0643321953566888E-2</v>
      </c>
      <c r="N19" s="13">
        <v>38.612267554815432</v>
      </c>
      <c r="O19" s="13">
        <v>0.36535071156046078</v>
      </c>
      <c r="P19" s="13">
        <f>N19*Calculation!I19/Calculation!K18</f>
        <v>40.808652895995323</v>
      </c>
      <c r="Q19" s="13">
        <f>O19*Calculation!I19/Calculation!K18</f>
        <v>0.38613299134037393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6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2.4274718768502073</v>
      </c>
      <c r="K20" s="13">
        <v>3.3914858606837212E-2</v>
      </c>
      <c r="L20" s="13">
        <f>J20*Calculation!I20/Calculation!K19</f>
        <v>2.5655539938580003</v>
      </c>
      <c r="M20" s="13">
        <f>K20*Calculation!I20/Calculation!K19</f>
        <v>3.5844040781556605E-2</v>
      </c>
      <c r="N20" s="13">
        <v>37.091312794893142</v>
      </c>
      <c r="O20" s="13">
        <v>0.40012925430896368</v>
      </c>
      <c r="P20" s="13">
        <f>N20*Calculation!I20/Calculation!K19</f>
        <v>39.20118151970108</v>
      </c>
      <c r="Q20" s="13">
        <f>O20*Calculation!I20/Calculation!K19</f>
        <v>0.42288984529196716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7" t="s">
        <v>4</v>
      </c>
      <c r="E22" s="157" t="s">
        <v>60</v>
      </c>
      <c r="F22" s="129" t="s">
        <v>44</v>
      </c>
      <c r="G22" s="129"/>
      <c r="H22" s="129"/>
      <c r="I22" s="129"/>
      <c r="J22" s="129" t="s">
        <v>66</v>
      </c>
      <c r="K22" s="129"/>
      <c r="L22" s="129"/>
      <c r="M22" s="129"/>
      <c r="N22" s="155" t="s">
        <v>67</v>
      </c>
      <c r="O22" s="127"/>
      <c r="P22" s="127"/>
      <c r="Q22" s="156"/>
    </row>
    <row r="23" spans="4:21">
      <c r="D23" s="157"/>
      <c r="E23" s="157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4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6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1.482994741421708</v>
      </c>
      <c r="K25" s="13">
        <v>4.7251526488846556E-2</v>
      </c>
      <c r="L25" s="13">
        <f>J25*Calculation!I4/Calculation!K3</f>
        <v>1.4839239361218468</v>
      </c>
      <c r="M25" s="13">
        <f>K25*Calculation!I4/Calculation!K3</f>
        <v>4.7281132708451093E-2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6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2.3682518064540536</v>
      </c>
      <c r="K26" s="13">
        <v>5.7124310031178877E-2</v>
      </c>
      <c r="L26" s="13">
        <f>J26*Calculation!I5/Calculation!K4</f>
        <v>2.3728092606258673</v>
      </c>
      <c r="M26" s="13">
        <f>K26*Calculation!I5/Calculation!K4</f>
        <v>5.7234239821733278E-2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6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3.9950062421972543</v>
      </c>
      <c r="K27" s="13">
        <v>6.0055642062526227E-2</v>
      </c>
      <c r="L27" s="13">
        <f>J27*Calculation!I6/Calculation!K5</f>
        <v>4.0106942710698279</v>
      </c>
      <c r="M27" s="13">
        <f>K27*Calculation!I6/Calculation!K5</f>
        <v>6.029147514751277E-2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6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5.9092800665834382</v>
      </c>
      <c r="K28" s="13">
        <v>6.5526077538261979E-2</v>
      </c>
      <c r="L28" s="13">
        <f>J28*Calculation!I7/Calculation!K6</f>
        <v>5.9446586383568185</v>
      </c>
      <c r="M28" s="13">
        <f>K28*Calculation!I7/Calculation!K6</f>
        <v>6.5918378971109082E-2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6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10.600385881284758</v>
      </c>
      <c r="K29" s="13">
        <v>0.26177647474000176</v>
      </c>
      <c r="L29" s="13">
        <f>J29*Calculation!I8/Calculation!K7</f>
        <v>10.716418148983955</v>
      </c>
      <c r="M29" s="13">
        <f>K29*Calculation!I8/Calculation!K7</f>
        <v>0.26464189099319785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6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18.681193962092838</v>
      </c>
      <c r="K30" s="13">
        <v>9.0795596413574028E-2</v>
      </c>
      <c r="L30" s="13">
        <f>J30*Calculation!I9/Calculation!K8</f>
        <v>19.049073577256383</v>
      </c>
      <c r="M30" s="13">
        <f>K30*Calculation!I9/Calculation!K8</f>
        <v>9.2583589682898662E-2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6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28.63844436878145</v>
      </c>
      <c r="K31" s="13">
        <v>0.32605396930224073</v>
      </c>
      <c r="L31" s="13">
        <f>J31*Calculation!I10/Calculation!K9</f>
        <v>29.461600209534506</v>
      </c>
      <c r="M31" s="13">
        <f>K31*Calculation!I10/Calculation!K9</f>
        <v>0.33542575031714916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6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41.478454961601031</v>
      </c>
      <c r="K32" s="13">
        <v>0.2405797767273419</v>
      </c>
      <c r="L32" s="13">
        <f>J32*Calculation!I11/Calculation!K10</f>
        <v>43.092190483828738</v>
      </c>
      <c r="M32" s="13">
        <f>K32*Calculation!I11/Calculation!K10</f>
        <v>0.24993962708806367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6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48.015737903378358</v>
      </c>
      <c r="K33" s="13">
        <v>0.19305187942606672</v>
      </c>
      <c r="L33" s="13">
        <f>J33*Calculation!I12/Calculation!K11</f>
        <v>50.234280702551423</v>
      </c>
      <c r="M33" s="13">
        <f>K33*Calculation!I12/Calculation!K11</f>
        <v>0.20197174353040226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6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48.303257292021328</v>
      </c>
      <c r="K34" s="13">
        <v>0.90454472115180229</v>
      </c>
      <c r="L34" s="13">
        <f>J34*Calculation!I13/Calculation!K12</f>
        <v>50.821055347289047</v>
      </c>
      <c r="M34" s="13">
        <f>K34*Calculation!I13/Calculation!K12</f>
        <v>0.951693941877231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6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48.507547383951881</v>
      </c>
      <c r="K35" s="13">
        <v>0.21653369683735263</v>
      </c>
      <c r="L35" s="13">
        <f>J35*Calculation!I14/Calculation!K13</f>
        <v>51.078559487459813</v>
      </c>
      <c r="M35" s="13">
        <f>K35*Calculation!I14/Calculation!K13</f>
        <v>0.2280104831398968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6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48.749668974388072</v>
      </c>
      <c r="K36" s="13">
        <v>0.30984898013003975</v>
      </c>
      <c r="L36" s="13">
        <f>J36*Calculation!I15/Calculation!K14</f>
        <v>51.377843541171607</v>
      </c>
      <c r="M36" s="13">
        <f>K36*Calculation!I15/Calculation!K14</f>
        <v>0.32655344656548202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6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48.280558392917946</v>
      </c>
      <c r="K37" s="13">
        <v>0.7892560958217526</v>
      </c>
      <c r="L37" s="13">
        <f>J37*Calculation!I16/Calculation!K15</f>
        <v>50.929242117433077</v>
      </c>
      <c r="M37" s="13">
        <f>K37*Calculation!I16/Calculation!K15</f>
        <v>0.83255488616432816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6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50.119169220292804</v>
      </c>
      <c r="K38" s="13">
        <v>0.35674120180460273</v>
      </c>
      <c r="L38" s="13">
        <f>J38*Calculation!I17/Calculation!K16</f>
        <v>52.918222149308846</v>
      </c>
      <c r="M38" s="13">
        <f>K38*Calculation!I17/Calculation!K16</f>
        <v>0.37666446712097151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6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50.512616804751637</v>
      </c>
      <c r="K39" s="13">
        <v>0.36974363024615359</v>
      </c>
      <c r="L39" s="13">
        <f>J39*Calculation!I18/Calculation!K17</f>
        <v>53.385930860630161</v>
      </c>
      <c r="M39" s="13">
        <f>K39*Calculation!I18/Calculation!K17</f>
        <v>0.39077579284355618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6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52.911133810010213</v>
      </c>
      <c r="K40" s="13">
        <v>0.44711645905328146</v>
      </c>
      <c r="L40" s="13">
        <f>J40*Calculation!I19/Calculation!K18</f>
        <v>55.920882940141809</v>
      </c>
      <c r="M40" s="13">
        <f>K40*Calculation!I19/Calculation!K18</f>
        <v>0.47254982773774801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6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55.143192221843911</v>
      </c>
      <c r="K41" s="13">
        <v>0.45924385141280932</v>
      </c>
      <c r="L41" s="13">
        <f>J41*Calculation!I20/Calculation!K19</f>
        <v>58.279907745996503</v>
      </c>
      <c r="M41" s="13">
        <f>K41*Calculation!I20/Calculation!K19</f>
        <v>0.48536706372708577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B1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141</v>
      </c>
      <c r="B2" s="17">
        <v>180.16</v>
      </c>
    </row>
    <row r="4" spans="1:8">
      <c r="A4" s="158" t="s">
        <v>142</v>
      </c>
      <c r="B4" s="159"/>
      <c r="C4" s="159"/>
      <c r="D4" s="159"/>
      <c r="E4" s="159"/>
      <c r="F4" s="159"/>
      <c r="G4" s="159"/>
      <c r="H4" s="160"/>
    </row>
    <row r="5" spans="1:8">
      <c r="A5" s="161" t="s">
        <v>62</v>
      </c>
      <c r="B5" s="159"/>
      <c r="C5" s="160"/>
      <c r="D5" s="162" t="s">
        <v>45</v>
      </c>
      <c r="E5" s="162" t="s">
        <v>46</v>
      </c>
      <c r="F5" s="162" t="s">
        <v>47</v>
      </c>
      <c r="G5" s="164" t="s">
        <v>63</v>
      </c>
      <c r="H5" s="164" t="s">
        <v>64</v>
      </c>
    </row>
    <row r="6" spans="1:8">
      <c r="A6" s="28" t="s">
        <v>4</v>
      </c>
      <c r="B6" s="28" t="s">
        <v>5</v>
      </c>
      <c r="C6" s="28" t="s">
        <v>19</v>
      </c>
      <c r="D6" s="163"/>
      <c r="E6" s="163"/>
      <c r="F6" s="163"/>
      <c r="G6" s="165"/>
      <c r="H6" s="165"/>
    </row>
    <row r="7" spans="1:8">
      <c r="A7" s="16">
        <v>0</v>
      </c>
      <c r="B7" s="64">
        <v>-0.16666666666666666</v>
      </c>
      <c r="C7" s="16">
        <v>2</v>
      </c>
      <c r="D7" s="19">
        <v>4.4950000000000001</v>
      </c>
      <c r="E7" s="19">
        <v>4.484</v>
      </c>
      <c r="F7" s="19">
        <v>4.4809999999999999</v>
      </c>
      <c r="G7" s="19">
        <f>(C7*1000*AVERAGE(D7:F7)/$B$2)</f>
        <v>49.807578448786259</v>
      </c>
      <c r="H7" s="19">
        <f>(C7*1000*STDEV(D7:F7))/$B$2</f>
        <v>8.1828539030107741E-2</v>
      </c>
    </row>
    <row r="8" spans="1:8">
      <c r="A8" s="16">
        <v>0</v>
      </c>
      <c r="B8" s="66">
        <v>0.16666666666666666</v>
      </c>
      <c r="C8" s="16">
        <v>2</v>
      </c>
      <c r="D8" s="19">
        <v>4.3140000000000001</v>
      </c>
      <c r="E8" s="19">
        <v>4.28</v>
      </c>
      <c r="F8" s="19">
        <v>4.2619999999999996</v>
      </c>
      <c r="G8" s="19">
        <f t="shared" ref="G8:G17" si="0">(C8*1000*AVERAGE(D8:F8))/$B$2</f>
        <v>47.572528123149802</v>
      </c>
      <c r="H8" s="19">
        <f t="shared" ref="H8:H17" si="1">(C8*1000*STDEV(D8:F8))/$B$2</f>
        <v>0.29315130728742611</v>
      </c>
    </row>
    <row r="9" spans="1:8">
      <c r="A9" s="16">
        <v>1</v>
      </c>
      <c r="B9" s="66">
        <v>2</v>
      </c>
      <c r="C9" s="16">
        <v>2</v>
      </c>
      <c r="D9" s="19">
        <v>4.1420000000000003</v>
      </c>
      <c r="E9" s="19">
        <v>4.2270000000000003</v>
      </c>
      <c r="F9" s="19">
        <v>4.282</v>
      </c>
      <c r="G9" s="19">
        <f t="shared" si="0"/>
        <v>46.813943161634107</v>
      </c>
      <c r="H9" s="19">
        <f t="shared" si="1"/>
        <v>0.78301154416440133</v>
      </c>
    </row>
    <row r="10" spans="1:8">
      <c r="A10" s="16">
        <v>2</v>
      </c>
      <c r="B10" s="66">
        <v>3.3333333333333335</v>
      </c>
      <c r="C10" s="16">
        <v>2</v>
      </c>
      <c r="D10" s="19">
        <v>4.3140000000000001</v>
      </c>
      <c r="E10" s="19">
        <v>4.2439999999999998</v>
      </c>
      <c r="F10" s="19">
        <v>4.2649999999999997</v>
      </c>
      <c r="G10" s="19">
        <f t="shared" si="0"/>
        <v>47.450414446418009</v>
      </c>
      <c r="H10" s="19">
        <f t="shared" si="1"/>
        <v>0.39877009409556341</v>
      </c>
    </row>
    <row r="11" spans="1:8">
      <c r="A11" s="16">
        <v>3</v>
      </c>
      <c r="B11" s="66">
        <v>4.666666666666667</v>
      </c>
      <c r="C11" s="16">
        <v>2</v>
      </c>
      <c r="D11" s="19">
        <v>4.0469999999999997</v>
      </c>
      <c r="E11" s="19">
        <v>4.093</v>
      </c>
      <c r="F11" s="19">
        <v>4.0519999999999996</v>
      </c>
      <c r="G11" s="19">
        <f t="shared" si="0"/>
        <v>45.115452930728246</v>
      </c>
      <c r="H11" s="19">
        <f t="shared" si="1"/>
        <v>0.28018271456758548</v>
      </c>
    </row>
    <row r="12" spans="1:8">
      <c r="A12" s="16">
        <v>4</v>
      </c>
      <c r="B12" s="66">
        <v>6</v>
      </c>
      <c r="C12" s="16">
        <v>2</v>
      </c>
      <c r="D12" s="19">
        <v>3.6930000000000001</v>
      </c>
      <c r="E12" s="19">
        <v>3.62</v>
      </c>
      <c r="F12" s="19">
        <v>3.5139999999999998</v>
      </c>
      <c r="G12" s="19">
        <f t="shared" si="0"/>
        <v>40.064387211367674</v>
      </c>
      <c r="H12" s="19">
        <f t="shared" si="1"/>
        <v>0.99917357220358027</v>
      </c>
    </row>
    <row r="13" spans="1:8">
      <c r="A13" s="16">
        <v>5</v>
      </c>
      <c r="B13" s="66">
        <v>7.333333333333333</v>
      </c>
      <c r="C13" s="16">
        <v>2</v>
      </c>
      <c r="D13" s="19">
        <v>2.9119999999999999</v>
      </c>
      <c r="E13" s="19">
        <v>2.923</v>
      </c>
      <c r="F13" s="19">
        <v>2.89</v>
      </c>
      <c r="G13" s="19">
        <f t="shared" si="0"/>
        <v>32.286116044997037</v>
      </c>
      <c r="H13" s="19">
        <f t="shared" si="1"/>
        <v>0.18653172233760382</v>
      </c>
    </row>
    <row r="14" spans="1:8">
      <c r="A14" s="16">
        <v>6</v>
      </c>
      <c r="B14" s="66">
        <v>8.6666666666666661</v>
      </c>
      <c r="C14" s="16">
        <v>2</v>
      </c>
      <c r="D14" s="19">
        <v>1.885</v>
      </c>
      <c r="E14" s="19">
        <v>1.841</v>
      </c>
      <c r="F14" s="19">
        <v>1.841</v>
      </c>
      <c r="G14" s="19">
        <f t="shared" si="0"/>
        <v>20.600207223209001</v>
      </c>
      <c r="H14" s="19">
        <f t="shared" si="1"/>
        <v>0.28200945653134496</v>
      </c>
    </row>
    <row r="15" spans="1:8">
      <c r="A15" s="16">
        <v>7</v>
      </c>
      <c r="B15" s="66">
        <v>10</v>
      </c>
      <c r="C15" s="16">
        <v>2</v>
      </c>
      <c r="D15" s="19">
        <v>0.68700000000000006</v>
      </c>
      <c r="E15" s="19">
        <v>0.68300000000000005</v>
      </c>
      <c r="F15" s="19">
        <v>0.68</v>
      </c>
      <c r="G15" s="19">
        <f t="shared" si="0"/>
        <v>7.5858496151568993</v>
      </c>
      <c r="H15" s="19">
        <f t="shared" si="1"/>
        <v>3.8986285349514316E-2</v>
      </c>
    </row>
    <row r="16" spans="1:8">
      <c r="A16" s="16">
        <v>8</v>
      </c>
      <c r="B16" s="66">
        <v>11.333333333333334</v>
      </c>
      <c r="C16" s="16">
        <v>2</v>
      </c>
      <c r="D16" s="76">
        <v>0</v>
      </c>
      <c r="E16" s="76">
        <v>0</v>
      </c>
      <c r="F16" s="76">
        <v>0</v>
      </c>
      <c r="G16" s="19">
        <f t="shared" si="0"/>
        <v>0</v>
      </c>
      <c r="H16" s="19">
        <f t="shared" si="1"/>
        <v>0</v>
      </c>
    </row>
    <row r="17" spans="1:8">
      <c r="A17" s="16">
        <v>9</v>
      </c>
      <c r="B17" s="66">
        <v>12.666666666666666</v>
      </c>
      <c r="C17" s="16">
        <v>2</v>
      </c>
      <c r="D17" s="76">
        <v>0</v>
      </c>
      <c r="E17" s="76">
        <v>0</v>
      </c>
      <c r="F17" s="76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6">
        <v>14</v>
      </c>
      <c r="C18" s="16">
        <v>2</v>
      </c>
      <c r="D18" s="76">
        <v>0</v>
      </c>
      <c r="E18" s="76">
        <v>0</v>
      </c>
      <c r="F18" s="76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6">
        <v>15.333333333333334</v>
      </c>
      <c r="C19" s="16">
        <v>2</v>
      </c>
      <c r="D19" s="76">
        <v>0</v>
      </c>
      <c r="E19" s="76">
        <v>0</v>
      </c>
      <c r="F19" s="76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6">
        <v>16.666666666666668</v>
      </c>
      <c r="C20" s="16">
        <v>2</v>
      </c>
      <c r="D20" s="76">
        <v>0</v>
      </c>
      <c r="E20" s="76">
        <v>0</v>
      </c>
      <c r="F20" s="76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6">
        <v>18</v>
      </c>
      <c r="C21" s="16">
        <v>2</v>
      </c>
      <c r="D21" s="76">
        <v>0</v>
      </c>
      <c r="E21" s="76">
        <v>0</v>
      </c>
      <c r="F21" s="76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6">
        <v>24</v>
      </c>
      <c r="C22" s="16">
        <v>2</v>
      </c>
      <c r="D22" s="76">
        <v>0</v>
      </c>
      <c r="E22" s="76">
        <v>0</v>
      </c>
      <c r="F22" s="76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30</v>
      </c>
      <c r="C23" s="16">
        <v>2</v>
      </c>
      <c r="D23" s="76">
        <v>0</v>
      </c>
      <c r="E23" s="76">
        <v>0</v>
      </c>
      <c r="F23" s="76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6">
        <v>48</v>
      </c>
      <c r="C24" s="16">
        <v>2</v>
      </c>
      <c r="D24" s="76">
        <v>0</v>
      </c>
      <c r="E24" s="76">
        <v>0</v>
      </c>
      <c r="F24" s="76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8" t="s">
        <v>65</v>
      </c>
      <c r="B4" s="159"/>
      <c r="C4" s="159"/>
      <c r="D4" s="159"/>
      <c r="E4" s="159"/>
      <c r="F4" s="159"/>
      <c r="G4" s="159"/>
      <c r="H4" s="160"/>
    </row>
    <row r="5" spans="1:8">
      <c r="A5" s="161" t="s">
        <v>62</v>
      </c>
      <c r="B5" s="159"/>
      <c r="C5" s="160"/>
      <c r="D5" s="162" t="s">
        <v>45</v>
      </c>
      <c r="E5" s="162" t="s">
        <v>46</v>
      </c>
      <c r="F5" s="162" t="s">
        <v>47</v>
      </c>
      <c r="G5" s="164" t="s">
        <v>63</v>
      </c>
      <c r="H5" s="164" t="s">
        <v>64</v>
      </c>
    </row>
    <row r="6" spans="1:8">
      <c r="A6" s="28" t="s">
        <v>4</v>
      </c>
      <c r="B6" s="28" t="s">
        <v>60</v>
      </c>
      <c r="C6" s="28" t="s">
        <v>19</v>
      </c>
      <c r="D6" s="163"/>
      <c r="E6" s="163"/>
      <c r="F6" s="163"/>
      <c r="G6" s="165"/>
      <c r="H6" s="165"/>
    </row>
    <row r="7" spans="1:8">
      <c r="A7" s="67">
        <v>0</v>
      </c>
      <c r="B7" s="64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5">
        <v>0</v>
      </c>
      <c r="E8" s="55">
        <v>0</v>
      </c>
      <c r="F8" s="55">
        <v>0</v>
      </c>
      <c r="G8" s="16">
        <f t="shared" ref="G8:G10" si="1">(C8*1000*AVERAGE(D8:F8))/$B$2</f>
        <v>0</v>
      </c>
      <c r="H8" s="19">
        <f t="shared" si="0"/>
        <v>0</v>
      </c>
    </row>
    <row r="9" spans="1:8">
      <c r="A9" s="68">
        <v>1</v>
      </c>
      <c r="B9" s="66">
        <v>2</v>
      </c>
      <c r="C9" s="16">
        <v>2</v>
      </c>
      <c r="D9" s="55">
        <v>0</v>
      </c>
      <c r="E9" s="55">
        <v>0</v>
      </c>
      <c r="F9" s="55">
        <v>0</v>
      </c>
      <c r="G9" s="16">
        <f t="shared" si="1"/>
        <v>0</v>
      </c>
      <c r="H9" s="19">
        <f t="shared" si="0"/>
        <v>0</v>
      </c>
    </row>
    <row r="10" spans="1:8">
      <c r="A10" s="68">
        <v>2</v>
      </c>
      <c r="B10" s="66">
        <v>3.3333333333333335</v>
      </c>
      <c r="C10" s="16">
        <v>2</v>
      </c>
      <c r="D10" s="55">
        <v>0</v>
      </c>
      <c r="E10" s="55">
        <v>0</v>
      </c>
      <c r="F10" s="55">
        <v>0</v>
      </c>
      <c r="G10" s="16">
        <f t="shared" si="1"/>
        <v>0</v>
      </c>
      <c r="H10" s="19">
        <f t="shared" ref="H10:H23" si="2">(C10*1000*STDEV(D10:F10))/$B$2</f>
        <v>0</v>
      </c>
    </row>
    <row r="11" spans="1:8">
      <c r="A11" s="68">
        <v>3</v>
      </c>
      <c r="B11" s="66">
        <v>4.666666666666667</v>
      </c>
      <c r="C11" s="16">
        <v>2</v>
      </c>
      <c r="D11" s="55">
        <v>0</v>
      </c>
      <c r="E11" s="55">
        <v>0</v>
      </c>
      <c r="F11" s="55">
        <v>0</v>
      </c>
      <c r="G11" s="16">
        <f t="shared" ref="G11:G23" si="3">(C11*1000*AVERAGE(D11:F11))/$B$2</f>
        <v>0</v>
      </c>
      <c r="H11" s="19">
        <f t="shared" si="2"/>
        <v>0</v>
      </c>
    </row>
    <row r="12" spans="1:8">
      <c r="A12" s="68">
        <v>4</v>
      </c>
      <c r="B12" s="66">
        <v>6</v>
      </c>
      <c r="C12" s="16">
        <v>2</v>
      </c>
      <c r="D12" s="55">
        <v>0</v>
      </c>
      <c r="E12" s="55">
        <v>0</v>
      </c>
      <c r="F12" s="55">
        <v>0</v>
      </c>
      <c r="G12" s="16">
        <f t="shared" si="3"/>
        <v>0</v>
      </c>
      <c r="H12" s="19">
        <f t="shared" si="2"/>
        <v>0</v>
      </c>
    </row>
    <row r="13" spans="1:8">
      <c r="A13" s="68">
        <v>5</v>
      </c>
      <c r="B13" s="66">
        <v>7.333333333333333</v>
      </c>
      <c r="C13" s="16">
        <v>2</v>
      </c>
      <c r="D13" s="55">
        <v>0</v>
      </c>
      <c r="E13" s="55">
        <v>0</v>
      </c>
      <c r="F13" s="55">
        <v>0</v>
      </c>
      <c r="G13" s="16">
        <f t="shared" si="3"/>
        <v>0</v>
      </c>
      <c r="H13" s="19">
        <f t="shared" si="2"/>
        <v>0</v>
      </c>
    </row>
    <row r="14" spans="1:8">
      <c r="A14" s="68">
        <v>6</v>
      </c>
      <c r="B14" s="66">
        <v>8.6666666666666661</v>
      </c>
      <c r="C14" s="16">
        <v>2</v>
      </c>
      <c r="D14" s="55">
        <v>0</v>
      </c>
      <c r="E14" s="55">
        <v>0</v>
      </c>
      <c r="F14" s="55">
        <v>0</v>
      </c>
      <c r="G14" s="16">
        <f t="shared" si="3"/>
        <v>0</v>
      </c>
      <c r="H14" s="19">
        <f t="shared" si="2"/>
        <v>0</v>
      </c>
    </row>
    <row r="15" spans="1:8">
      <c r="A15" s="68">
        <v>7</v>
      </c>
      <c r="B15" s="66">
        <v>10</v>
      </c>
      <c r="C15" s="16">
        <v>2</v>
      </c>
      <c r="D15" s="55">
        <v>0</v>
      </c>
      <c r="E15" s="55">
        <v>0</v>
      </c>
      <c r="F15" s="55">
        <v>0</v>
      </c>
      <c r="G15" s="16">
        <f t="shared" si="3"/>
        <v>0</v>
      </c>
      <c r="H15" s="19">
        <f t="shared" si="2"/>
        <v>0</v>
      </c>
    </row>
    <row r="16" spans="1:8">
      <c r="A16" s="68">
        <v>8</v>
      </c>
      <c r="B16" s="66">
        <v>11.333333333333334</v>
      </c>
      <c r="C16" s="16">
        <v>2</v>
      </c>
      <c r="D16" s="55">
        <v>0</v>
      </c>
      <c r="E16" s="55">
        <v>0</v>
      </c>
      <c r="F16" s="55">
        <v>0</v>
      </c>
      <c r="G16" s="16">
        <f t="shared" si="3"/>
        <v>0</v>
      </c>
      <c r="H16" s="19">
        <f t="shared" si="2"/>
        <v>0</v>
      </c>
    </row>
    <row r="17" spans="1:8">
      <c r="A17" s="68">
        <v>9</v>
      </c>
      <c r="B17" s="66">
        <v>12.666666666666666</v>
      </c>
      <c r="C17" s="16">
        <v>2</v>
      </c>
      <c r="D17" s="55">
        <v>0</v>
      </c>
      <c r="E17" s="55">
        <v>0</v>
      </c>
      <c r="F17" s="55">
        <v>0</v>
      </c>
      <c r="G17" s="16">
        <f t="shared" si="3"/>
        <v>0</v>
      </c>
      <c r="H17" s="19">
        <f t="shared" si="2"/>
        <v>0</v>
      </c>
    </row>
    <row r="18" spans="1:8">
      <c r="A18" s="68">
        <v>10</v>
      </c>
      <c r="B18" s="66">
        <v>14</v>
      </c>
      <c r="C18" s="16">
        <v>2</v>
      </c>
      <c r="D18" s="55">
        <v>0</v>
      </c>
      <c r="E18" s="55">
        <v>0</v>
      </c>
      <c r="F18" s="55">
        <v>0</v>
      </c>
      <c r="G18" s="16">
        <f t="shared" si="3"/>
        <v>0</v>
      </c>
      <c r="H18" s="19">
        <f t="shared" si="2"/>
        <v>0</v>
      </c>
    </row>
    <row r="19" spans="1:8">
      <c r="A19" s="68">
        <v>11</v>
      </c>
      <c r="B19" s="66">
        <v>15.333333333333334</v>
      </c>
      <c r="C19" s="16">
        <v>2</v>
      </c>
      <c r="D19" s="55">
        <v>0</v>
      </c>
      <c r="E19" s="55">
        <v>0</v>
      </c>
      <c r="F19" s="55">
        <v>0</v>
      </c>
      <c r="G19" s="16">
        <f t="shared" si="3"/>
        <v>0</v>
      </c>
      <c r="H19" s="19">
        <f t="shared" si="2"/>
        <v>0</v>
      </c>
    </row>
    <row r="20" spans="1:8">
      <c r="A20" s="68">
        <v>12</v>
      </c>
      <c r="B20" s="66">
        <v>16.666666666666668</v>
      </c>
      <c r="C20" s="16">
        <v>2</v>
      </c>
      <c r="D20" s="55">
        <v>0</v>
      </c>
      <c r="E20" s="55">
        <v>0</v>
      </c>
      <c r="F20" s="55">
        <v>0</v>
      </c>
      <c r="G20" s="16">
        <f t="shared" si="3"/>
        <v>0</v>
      </c>
      <c r="H20" s="19">
        <f t="shared" si="2"/>
        <v>0</v>
      </c>
    </row>
    <row r="21" spans="1:8">
      <c r="A21" s="68">
        <v>13</v>
      </c>
      <c r="B21" s="66">
        <v>18</v>
      </c>
      <c r="C21" s="16">
        <v>2</v>
      </c>
      <c r="D21" s="55">
        <v>0</v>
      </c>
      <c r="E21" s="55">
        <v>0</v>
      </c>
      <c r="F21" s="55">
        <v>0</v>
      </c>
      <c r="G21" s="16">
        <f t="shared" si="3"/>
        <v>0</v>
      </c>
      <c r="H21" s="19">
        <f t="shared" si="2"/>
        <v>0</v>
      </c>
    </row>
    <row r="22" spans="1:8">
      <c r="A22" s="68">
        <v>14</v>
      </c>
      <c r="B22" s="66">
        <v>24</v>
      </c>
      <c r="C22" s="16">
        <v>2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8">
        <v>15</v>
      </c>
      <c r="B23" s="66">
        <v>30</v>
      </c>
      <c r="C23" s="16">
        <v>2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8">
        <v>16</v>
      </c>
      <c r="B24" s="66">
        <v>48</v>
      </c>
      <c r="C24" s="16">
        <v>2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8" t="s">
        <v>43</v>
      </c>
      <c r="B4" s="159"/>
      <c r="C4" s="159"/>
      <c r="D4" s="159"/>
      <c r="E4" s="159"/>
      <c r="F4" s="159"/>
      <c r="G4" s="159"/>
      <c r="H4" s="160"/>
    </row>
    <row r="5" spans="1:8">
      <c r="A5" s="161" t="s">
        <v>62</v>
      </c>
      <c r="B5" s="159"/>
      <c r="C5" s="160"/>
      <c r="D5" s="162" t="s">
        <v>45</v>
      </c>
      <c r="E5" s="162" t="s">
        <v>46</v>
      </c>
      <c r="F5" s="162" t="s">
        <v>47</v>
      </c>
      <c r="G5" s="164" t="s">
        <v>63</v>
      </c>
      <c r="H5" s="164" t="s">
        <v>64</v>
      </c>
    </row>
    <row r="6" spans="1:8">
      <c r="A6" s="22" t="s">
        <v>4</v>
      </c>
      <c r="B6" s="22" t="s">
        <v>60</v>
      </c>
      <c r="C6" s="22" t="s">
        <v>19</v>
      </c>
      <c r="D6" s="163"/>
      <c r="E6" s="163"/>
      <c r="F6" s="163"/>
      <c r="G6" s="165"/>
      <c r="H6" s="165"/>
    </row>
    <row r="7" spans="1:8">
      <c r="A7" s="67">
        <v>0</v>
      </c>
      <c r="B7" s="64">
        <v>-0.16666666666666666</v>
      </c>
      <c r="C7" s="16">
        <v>2</v>
      </c>
      <c r="D7" s="19">
        <v>1.5069999999999999</v>
      </c>
      <c r="E7" s="19">
        <v>1.5069999999999999</v>
      </c>
      <c r="F7" s="19">
        <v>1.5</v>
      </c>
      <c r="G7" s="16">
        <f>(C7*1000*AVERAGE(D7:F7))/$B$2</f>
        <v>50.113794060505121</v>
      </c>
      <c r="H7" s="19">
        <f>(C7*1000*STDEV(D7:F7))/$B$2</f>
        <v>0.13460289373280002</v>
      </c>
    </row>
    <row r="8" spans="1:8">
      <c r="A8" s="68">
        <v>0</v>
      </c>
      <c r="B8" s="66">
        <v>0.16666666666666666</v>
      </c>
      <c r="C8" s="16">
        <v>2</v>
      </c>
      <c r="D8" s="19">
        <v>1.4550000000000001</v>
      </c>
      <c r="E8" s="19">
        <v>1.4330000000000001</v>
      </c>
      <c r="F8" s="19">
        <v>1.4319999999999999</v>
      </c>
      <c r="G8" s="16">
        <f t="shared" ref="G8:G17" si="0">(C8*1000*AVERAGE(D8:F8))/$B$2</f>
        <v>47.960033305578698</v>
      </c>
      <c r="H8" s="19">
        <f t="shared" ref="H8:H17" si="1">(C8*1000*STDEV(D8:F8))/$B$2</f>
        <v>0.43297252289758692</v>
      </c>
    </row>
    <row r="9" spans="1:8">
      <c r="A9" s="68">
        <v>1</v>
      </c>
      <c r="B9" s="66">
        <v>2</v>
      </c>
      <c r="C9" s="16">
        <v>2</v>
      </c>
      <c r="D9" s="19">
        <v>1.391</v>
      </c>
      <c r="E9" s="19">
        <v>1.421</v>
      </c>
      <c r="F9" s="19">
        <v>1.4430000000000001</v>
      </c>
      <c r="G9" s="16">
        <f t="shared" si="0"/>
        <v>47.238412434082726</v>
      </c>
      <c r="H9" s="19">
        <f t="shared" si="1"/>
        <v>0.86935429144388165</v>
      </c>
    </row>
    <row r="10" spans="1:8">
      <c r="A10" s="68">
        <v>2</v>
      </c>
      <c r="B10" s="66">
        <v>3.3333333333333335</v>
      </c>
      <c r="C10" s="16">
        <v>2</v>
      </c>
      <c r="D10" s="19">
        <v>1.47</v>
      </c>
      <c r="E10" s="19">
        <v>1.4370000000000001</v>
      </c>
      <c r="F10" s="19">
        <v>1.4419999999999999</v>
      </c>
      <c r="G10" s="16">
        <f t="shared" si="0"/>
        <v>48.281987232861511</v>
      </c>
      <c r="H10" s="19">
        <f t="shared" si="1"/>
        <v>0.59236509894883516</v>
      </c>
    </row>
    <row r="11" spans="1:8">
      <c r="A11" s="68">
        <v>3</v>
      </c>
      <c r="B11" s="66">
        <v>4.666666666666667</v>
      </c>
      <c r="C11" s="16">
        <v>2</v>
      </c>
      <c r="D11" s="19">
        <v>1.411</v>
      </c>
      <c r="E11" s="19">
        <v>1.4319999999999999</v>
      </c>
      <c r="F11" s="19">
        <v>1.42</v>
      </c>
      <c r="G11" s="16">
        <f t="shared" si="0"/>
        <v>47.327227310574521</v>
      </c>
      <c r="H11" s="19">
        <f t="shared" si="1"/>
        <v>0.35089604505754191</v>
      </c>
    </row>
    <row r="12" spans="1:8">
      <c r="A12" s="68">
        <v>4</v>
      </c>
      <c r="B12" s="66">
        <v>6</v>
      </c>
      <c r="C12" s="16">
        <v>2</v>
      </c>
      <c r="D12" s="19">
        <v>1.407</v>
      </c>
      <c r="E12" s="19">
        <v>1.3839999999999999</v>
      </c>
      <c r="F12" s="19">
        <v>1.35</v>
      </c>
      <c r="G12" s="16">
        <f t="shared" si="0"/>
        <v>45.972800444074387</v>
      </c>
      <c r="H12" s="19">
        <f t="shared" si="1"/>
        <v>0.95508259623660674</v>
      </c>
    </row>
    <row r="13" spans="1:8">
      <c r="A13" s="68">
        <v>5</v>
      </c>
      <c r="B13" s="66">
        <v>7.333333333333333</v>
      </c>
      <c r="C13" s="16">
        <v>2</v>
      </c>
      <c r="D13" s="19">
        <v>1.349</v>
      </c>
      <c r="E13" s="19">
        <v>1.359</v>
      </c>
      <c r="F13" s="19">
        <v>1.345</v>
      </c>
      <c r="G13" s="16">
        <f t="shared" si="0"/>
        <v>44.995836802664449</v>
      </c>
      <c r="H13" s="19">
        <f t="shared" si="1"/>
        <v>0.24016994341142334</v>
      </c>
    </row>
    <row r="14" spans="1:8">
      <c r="A14" s="68">
        <v>6</v>
      </c>
      <c r="B14" s="66">
        <v>8.6666666666666661</v>
      </c>
      <c r="C14" s="16">
        <v>2</v>
      </c>
      <c r="D14" s="19">
        <v>1.2110000000000001</v>
      </c>
      <c r="E14" s="19">
        <v>1.177</v>
      </c>
      <c r="F14" s="19">
        <v>1.1859999999999999</v>
      </c>
      <c r="G14" s="16">
        <f t="shared" si="0"/>
        <v>39.67804607271718</v>
      </c>
      <c r="H14" s="19">
        <f t="shared" si="1"/>
        <v>0.58672041128942942</v>
      </c>
    </row>
    <row r="15" spans="1:8">
      <c r="A15" s="68">
        <v>7</v>
      </c>
      <c r="B15" s="66">
        <v>10</v>
      </c>
      <c r="C15" s="16">
        <v>2</v>
      </c>
      <c r="D15" s="19">
        <v>1.046</v>
      </c>
      <c r="E15" s="19">
        <v>1.038</v>
      </c>
      <c r="F15" s="19">
        <v>1.044</v>
      </c>
      <c r="G15" s="16">
        <f t="shared" si="0"/>
        <v>34.726616708298643</v>
      </c>
      <c r="H15" s="19">
        <f t="shared" si="1"/>
        <v>0.13866218147984247</v>
      </c>
    </row>
    <row r="16" spans="1:8">
      <c r="A16" s="68">
        <v>8</v>
      </c>
      <c r="B16" s="66">
        <v>11.333333333333334</v>
      </c>
      <c r="C16" s="16">
        <v>2</v>
      </c>
      <c r="D16" s="19">
        <v>1.0109999999999999</v>
      </c>
      <c r="E16" s="19">
        <v>1.0049999999999999</v>
      </c>
      <c r="F16" s="19">
        <v>1.0049999999999999</v>
      </c>
      <c r="G16" s="16">
        <f t="shared" si="0"/>
        <v>33.538717735220651</v>
      </c>
      <c r="H16" s="19">
        <f t="shared" si="1"/>
        <v>0.11537390891383043</v>
      </c>
    </row>
    <row r="17" spans="1:8">
      <c r="A17" s="68">
        <v>9</v>
      </c>
      <c r="B17" s="66">
        <v>12.666666666666666</v>
      </c>
      <c r="C17" s="16">
        <v>2</v>
      </c>
      <c r="D17" s="19">
        <v>1.0629999999999999</v>
      </c>
      <c r="E17" s="19">
        <v>1.0569999999999999</v>
      </c>
      <c r="F17" s="19">
        <v>1.038</v>
      </c>
      <c r="G17" s="16">
        <f t="shared" si="0"/>
        <v>35.059672495142948</v>
      </c>
      <c r="H17" s="19">
        <f t="shared" si="1"/>
        <v>0.43467714572193877</v>
      </c>
    </row>
    <row r="18" spans="1:8">
      <c r="A18" s="68">
        <v>10</v>
      </c>
      <c r="B18" s="66">
        <v>14</v>
      </c>
      <c r="C18" s="16">
        <v>2</v>
      </c>
      <c r="D18" s="19">
        <v>1.0900000000000001</v>
      </c>
      <c r="E18" s="19">
        <v>1.0940000000000001</v>
      </c>
      <c r="F18" s="19">
        <v>1.083</v>
      </c>
      <c r="G18" s="16">
        <f t="shared" ref="G18:G23" si="2">(C18*1000*AVERAGE(D18:F18))/$B$2</f>
        <v>36.269775187343889</v>
      </c>
      <c r="H18" s="19">
        <f t="shared" ref="H18:H23" si="3">(C18*1000*STDEV(D18:F18))/$B$2</f>
        <v>0.18543761408260076</v>
      </c>
    </row>
    <row r="19" spans="1:8">
      <c r="A19" s="68">
        <v>11</v>
      </c>
      <c r="B19" s="66">
        <v>15.333333333333334</v>
      </c>
      <c r="C19" s="16">
        <v>2</v>
      </c>
      <c r="D19" s="19">
        <v>1.115</v>
      </c>
      <c r="E19" s="19">
        <v>1.0940000000000001</v>
      </c>
      <c r="F19" s="19">
        <v>1.107</v>
      </c>
      <c r="G19" s="16">
        <f t="shared" si="2"/>
        <v>36.813766305856227</v>
      </c>
      <c r="H19" s="19">
        <f t="shared" si="3"/>
        <v>0.3529972377593022</v>
      </c>
    </row>
    <row r="20" spans="1:8">
      <c r="A20" s="68">
        <v>12</v>
      </c>
      <c r="B20" s="66">
        <v>16.666666666666668</v>
      </c>
      <c r="C20" s="16">
        <v>2</v>
      </c>
      <c r="D20" s="19">
        <v>1.07</v>
      </c>
      <c r="E20" s="19">
        <v>1.1060000000000001</v>
      </c>
      <c r="F20" s="19">
        <v>1.1040000000000001</v>
      </c>
      <c r="G20" s="16">
        <f t="shared" si="2"/>
        <v>36.414099361643082</v>
      </c>
      <c r="H20" s="19">
        <f t="shared" si="3"/>
        <v>0.67383806407964619</v>
      </c>
    </row>
    <row r="21" spans="1:8">
      <c r="A21" s="68">
        <v>13</v>
      </c>
      <c r="B21" s="66">
        <v>18</v>
      </c>
      <c r="C21" s="16">
        <v>2</v>
      </c>
      <c r="D21" s="19">
        <v>1.127</v>
      </c>
      <c r="E21" s="19">
        <v>1.133</v>
      </c>
      <c r="F21" s="19">
        <v>1.119</v>
      </c>
      <c r="G21" s="16">
        <f t="shared" si="2"/>
        <v>37.51318345822925</v>
      </c>
      <c r="H21" s="19">
        <f t="shared" si="3"/>
        <v>0.23393069670502914</v>
      </c>
    </row>
    <row r="22" spans="1:8">
      <c r="A22" s="68">
        <v>14</v>
      </c>
      <c r="B22" s="66">
        <v>24</v>
      </c>
      <c r="C22" s="16">
        <v>2</v>
      </c>
      <c r="D22" s="19">
        <v>1.1240000000000001</v>
      </c>
      <c r="E22" s="19">
        <v>1.1419999999999999</v>
      </c>
      <c r="F22" s="19">
        <v>1.1259999999999999</v>
      </c>
      <c r="G22" s="16">
        <f t="shared" si="2"/>
        <v>37.65750763252845</v>
      </c>
      <c r="H22" s="19">
        <f t="shared" si="3"/>
        <v>0.32858503662389438</v>
      </c>
    </row>
    <row r="23" spans="1:8">
      <c r="A23" s="68">
        <v>15</v>
      </c>
      <c r="B23" s="66">
        <v>30</v>
      </c>
      <c r="C23" s="16">
        <v>2</v>
      </c>
      <c r="D23" s="19">
        <v>1.1719999999999999</v>
      </c>
      <c r="E23" s="19">
        <v>1.153</v>
      </c>
      <c r="F23" s="19">
        <v>1.153</v>
      </c>
      <c r="G23" s="16">
        <f t="shared" si="2"/>
        <v>38.612267554815432</v>
      </c>
      <c r="H23" s="19">
        <f t="shared" si="3"/>
        <v>0.36535071156046078</v>
      </c>
    </row>
    <row r="24" spans="1:8">
      <c r="A24" s="68">
        <v>16</v>
      </c>
      <c r="B24" s="66">
        <v>48</v>
      </c>
      <c r="C24" s="16">
        <v>2</v>
      </c>
      <c r="D24" s="19">
        <v>1.1020000000000001</v>
      </c>
      <c r="E24" s="19">
        <v>1.113</v>
      </c>
      <c r="F24" s="19">
        <v>1.1259999999999999</v>
      </c>
      <c r="G24" s="16">
        <f t="shared" ref="G24" si="4">(C24*1000*AVERAGE(D24:F24))/$B$2</f>
        <v>37.091312794893142</v>
      </c>
      <c r="H24" s="19">
        <f t="shared" ref="H24" si="5">(C24*1000*STDEV(D24:F24))/$B$2</f>
        <v>0.40012925430896368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8" t="s">
        <v>67</v>
      </c>
      <c r="B4" s="159"/>
      <c r="C4" s="159"/>
      <c r="D4" s="159"/>
      <c r="E4" s="159"/>
      <c r="F4" s="159"/>
      <c r="G4" s="159"/>
      <c r="H4" s="160"/>
    </row>
    <row r="5" spans="1:8">
      <c r="A5" s="161" t="s">
        <v>62</v>
      </c>
      <c r="B5" s="159"/>
      <c r="C5" s="160"/>
      <c r="D5" s="162" t="s">
        <v>45</v>
      </c>
      <c r="E5" s="162" t="s">
        <v>46</v>
      </c>
      <c r="F5" s="162" t="s">
        <v>47</v>
      </c>
      <c r="G5" s="164" t="s">
        <v>63</v>
      </c>
      <c r="H5" s="164" t="s">
        <v>64</v>
      </c>
    </row>
    <row r="6" spans="1:8">
      <c r="A6" s="28" t="s">
        <v>4</v>
      </c>
      <c r="B6" s="28" t="s">
        <v>60</v>
      </c>
      <c r="C6" s="28" t="s">
        <v>19</v>
      </c>
      <c r="D6" s="163"/>
      <c r="E6" s="163"/>
      <c r="F6" s="163"/>
      <c r="G6" s="165"/>
      <c r="H6" s="165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8" t="s">
        <v>66</v>
      </c>
      <c r="B4" s="159"/>
      <c r="C4" s="159"/>
      <c r="D4" s="159"/>
      <c r="E4" s="159"/>
      <c r="F4" s="159"/>
      <c r="G4" s="159"/>
      <c r="H4" s="160"/>
    </row>
    <row r="5" spans="1:8">
      <c r="A5" s="161" t="s">
        <v>62</v>
      </c>
      <c r="B5" s="159"/>
      <c r="C5" s="160"/>
      <c r="D5" s="162" t="s">
        <v>45</v>
      </c>
      <c r="E5" s="162" t="s">
        <v>46</v>
      </c>
      <c r="F5" s="162" t="s">
        <v>47</v>
      </c>
      <c r="G5" s="164" t="s">
        <v>63</v>
      </c>
      <c r="H5" s="164" t="s">
        <v>64</v>
      </c>
    </row>
    <row r="6" spans="1:8">
      <c r="A6" s="28" t="s">
        <v>4</v>
      </c>
      <c r="B6" s="28" t="s">
        <v>60</v>
      </c>
      <c r="C6" s="28" t="s">
        <v>19</v>
      </c>
      <c r="D6" s="163"/>
      <c r="E6" s="163"/>
      <c r="F6" s="163"/>
      <c r="G6" s="165"/>
      <c r="H6" s="165"/>
    </row>
    <row r="7" spans="1:8">
      <c r="A7" s="67">
        <v>0</v>
      </c>
      <c r="B7" s="64">
        <v>-0.16666666666666666</v>
      </c>
      <c r="C7" s="16">
        <v>2</v>
      </c>
      <c r="D7" s="79">
        <v>0</v>
      </c>
      <c r="E7" s="80">
        <v>0</v>
      </c>
      <c r="F7" s="80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6">
        <v>6.6000000000000003E-2</v>
      </c>
      <c r="E8" s="57">
        <v>6.3E-2</v>
      </c>
      <c r="F8" s="57">
        <v>6.7000000000000004E-2</v>
      </c>
      <c r="G8" s="16">
        <f>(C8*1000*AVERAGE(D8:F8))/$B$2</f>
        <v>1.482994741421708</v>
      </c>
      <c r="H8" s="19">
        <f t="shared" ref="H8:H17" si="0">(C8*1000*STDEV(D8:F8))/$B$2</f>
        <v>4.7251526488846556E-2</v>
      </c>
    </row>
    <row r="9" spans="1:8">
      <c r="A9" s="68">
        <v>1</v>
      </c>
      <c r="B9" s="66">
        <v>2</v>
      </c>
      <c r="C9" s="16">
        <v>2</v>
      </c>
      <c r="D9" s="56">
        <v>0.10199999999999999</v>
      </c>
      <c r="E9" s="57">
        <v>0.104</v>
      </c>
      <c r="F9" s="57">
        <v>0.107</v>
      </c>
      <c r="G9" s="16">
        <f t="shared" ref="G9:G17" si="1">(C9*1000*AVERAGE(D9:F9))/$B$2</f>
        <v>2.3682518064540536</v>
      </c>
      <c r="H9" s="19">
        <f t="shared" si="0"/>
        <v>5.7124310031178877E-2</v>
      </c>
    </row>
    <row r="10" spans="1:8">
      <c r="A10" s="68">
        <v>2</v>
      </c>
      <c r="B10" s="66">
        <v>3.3333333333333335</v>
      </c>
      <c r="C10" s="16">
        <v>2</v>
      </c>
      <c r="D10" s="55">
        <v>0.17899999999999999</v>
      </c>
      <c r="E10" s="55">
        <v>0.17399999999999999</v>
      </c>
      <c r="F10" s="55">
        <v>0.17499999999999999</v>
      </c>
      <c r="G10" s="16">
        <f t="shared" si="1"/>
        <v>3.9950062421972543</v>
      </c>
      <c r="H10" s="19">
        <f t="shared" si="0"/>
        <v>6.0055642062526227E-2</v>
      </c>
    </row>
    <row r="11" spans="1:8">
      <c r="A11" s="68">
        <v>3</v>
      </c>
      <c r="B11" s="66">
        <v>4.666666666666667</v>
      </c>
      <c r="C11" s="16">
        <v>2</v>
      </c>
      <c r="D11" s="55">
        <v>0.25700000000000001</v>
      </c>
      <c r="E11" s="55">
        <v>0.26200000000000001</v>
      </c>
      <c r="F11" s="55">
        <v>0.26200000000000001</v>
      </c>
      <c r="G11" s="16">
        <f t="shared" si="1"/>
        <v>5.9092800665834382</v>
      </c>
      <c r="H11" s="19">
        <f t="shared" si="0"/>
        <v>6.5526077538261979E-2</v>
      </c>
    </row>
    <row r="12" spans="1:8">
      <c r="A12" s="68">
        <v>4</v>
      </c>
      <c r="B12" s="66">
        <v>6</v>
      </c>
      <c r="C12" s="16">
        <v>2</v>
      </c>
      <c r="D12" s="55">
        <v>0.47799999999999998</v>
      </c>
      <c r="E12" s="55">
        <v>0.46800000000000003</v>
      </c>
      <c r="F12" s="55">
        <v>0.45500000000000002</v>
      </c>
      <c r="G12" s="16">
        <f t="shared" si="1"/>
        <v>10.600385881284758</v>
      </c>
      <c r="H12" s="19">
        <f t="shared" si="0"/>
        <v>0.26177647474000176</v>
      </c>
    </row>
    <row r="13" spans="1:8">
      <c r="A13" s="68">
        <v>5</v>
      </c>
      <c r="B13" s="66">
        <v>7.333333333333333</v>
      </c>
      <c r="C13" s="16">
        <v>2</v>
      </c>
      <c r="D13" s="58">
        <v>0.82299999999999995</v>
      </c>
      <c r="E13" s="58">
        <v>0.82699999999999996</v>
      </c>
      <c r="F13" s="58">
        <v>0.81899999999999995</v>
      </c>
      <c r="G13" s="16">
        <f t="shared" si="1"/>
        <v>18.681193962092838</v>
      </c>
      <c r="H13" s="19">
        <f t="shared" si="0"/>
        <v>9.0795596413574028E-2</v>
      </c>
    </row>
    <row r="14" spans="1:8">
      <c r="A14" s="68">
        <v>6</v>
      </c>
      <c r="B14" s="66">
        <v>8.6666666666666661</v>
      </c>
      <c r="C14" s="16">
        <v>2</v>
      </c>
      <c r="D14" s="58">
        <v>1.278</v>
      </c>
      <c r="E14" s="58">
        <v>1.2509999999999999</v>
      </c>
      <c r="F14" s="58">
        <v>1.256</v>
      </c>
      <c r="G14" s="16">
        <f t="shared" si="1"/>
        <v>28.63844436878145</v>
      </c>
      <c r="H14" s="19">
        <f t="shared" si="0"/>
        <v>0.32605396930224073</v>
      </c>
    </row>
    <row r="15" spans="1:8">
      <c r="A15" s="68">
        <v>7</v>
      </c>
      <c r="B15" s="66">
        <v>10</v>
      </c>
      <c r="C15" s="16">
        <v>2</v>
      </c>
      <c r="D15" s="58">
        <v>1.837</v>
      </c>
      <c r="E15" s="58">
        <v>1.829</v>
      </c>
      <c r="F15" s="58">
        <v>1.8160000000000001</v>
      </c>
      <c r="G15" s="16">
        <f t="shared" si="1"/>
        <v>41.478454961601031</v>
      </c>
      <c r="H15" s="19">
        <f t="shared" si="0"/>
        <v>0.2405797767273419</v>
      </c>
    </row>
    <row r="16" spans="1:8">
      <c r="A16" s="68">
        <v>8</v>
      </c>
      <c r="B16" s="66">
        <v>11.333333333333334</v>
      </c>
      <c r="C16" s="16">
        <v>2</v>
      </c>
      <c r="D16" s="58">
        <v>2.125</v>
      </c>
      <c r="E16" s="58">
        <v>2.1120000000000001</v>
      </c>
      <c r="F16" s="58">
        <v>2.109</v>
      </c>
      <c r="G16" s="16">
        <f t="shared" si="1"/>
        <v>48.015737903378358</v>
      </c>
      <c r="H16" s="19">
        <f t="shared" si="0"/>
        <v>0.19305187942606672</v>
      </c>
    </row>
    <row r="17" spans="1:8">
      <c r="A17" s="68">
        <v>9</v>
      </c>
      <c r="B17" s="66">
        <v>12.666666666666666</v>
      </c>
      <c r="C17" s="16">
        <v>2</v>
      </c>
      <c r="D17" s="58">
        <v>2.1520000000000001</v>
      </c>
      <c r="E17" s="58">
        <v>2.15</v>
      </c>
      <c r="F17" s="58">
        <v>2.0819999999999999</v>
      </c>
      <c r="G17" s="16">
        <f t="shared" si="1"/>
        <v>48.303257292021328</v>
      </c>
      <c r="H17" s="19">
        <f t="shared" si="0"/>
        <v>0.90454472115180229</v>
      </c>
    </row>
    <row r="18" spans="1:8">
      <c r="A18" s="68">
        <v>10</v>
      </c>
      <c r="B18" s="66">
        <v>14</v>
      </c>
      <c r="C18" s="16">
        <v>2</v>
      </c>
      <c r="D18" s="58">
        <v>2.1480000000000001</v>
      </c>
      <c r="E18" s="58">
        <v>2.1309999999999998</v>
      </c>
      <c r="F18" s="58">
        <v>2.1320000000000001</v>
      </c>
      <c r="G18" s="16">
        <f t="shared" ref="G18:G23" si="2">(C18*1000*AVERAGE(D18:F18))/$B$2</f>
        <v>48.507547383951881</v>
      </c>
      <c r="H18" s="19">
        <f t="shared" ref="H18:H23" si="3">(C18*1000*STDEV(D18:F18))/$B$2</f>
        <v>0.21653369683735263</v>
      </c>
    </row>
    <row r="19" spans="1:8">
      <c r="A19" s="68">
        <v>11</v>
      </c>
      <c r="B19" s="66">
        <v>15.333333333333334</v>
      </c>
      <c r="C19" s="16">
        <v>2</v>
      </c>
      <c r="D19" s="58">
        <v>2.16</v>
      </c>
      <c r="E19" s="58">
        <v>2.133</v>
      </c>
      <c r="F19" s="58">
        <v>2.15</v>
      </c>
      <c r="G19" s="16">
        <f t="shared" si="2"/>
        <v>48.749668974388072</v>
      </c>
      <c r="H19" s="19">
        <f t="shared" si="3"/>
        <v>0.30984898013003975</v>
      </c>
    </row>
    <row r="20" spans="1:8">
      <c r="A20" s="68">
        <v>12</v>
      </c>
      <c r="B20" s="66">
        <v>16.666666666666668</v>
      </c>
      <c r="C20" s="16">
        <v>2</v>
      </c>
      <c r="D20" s="58">
        <v>2.0870000000000002</v>
      </c>
      <c r="E20" s="58">
        <v>2.15</v>
      </c>
      <c r="F20" s="58">
        <v>2.1440000000000001</v>
      </c>
      <c r="G20" s="16">
        <f t="shared" si="2"/>
        <v>48.280558392917946</v>
      </c>
      <c r="H20" s="19">
        <f t="shared" si="3"/>
        <v>0.7892560958217526</v>
      </c>
    </row>
    <row r="21" spans="1:8">
      <c r="A21" s="68">
        <v>13</v>
      </c>
      <c r="B21" s="66">
        <v>18</v>
      </c>
      <c r="C21" s="16">
        <v>2</v>
      </c>
      <c r="D21" s="58">
        <v>2.2050000000000001</v>
      </c>
      <c r="E21" s="58">
        <v>2.2250000000000001</v>
      </c>
      <c r="F21" s="58">
        <v>2.194</v>
      </c>
      <c r="G21" s="16">
        <f t="shared" si="2"/>
        <v>50.119169220292804</v>
      </c>
      <c r="H21" s="19">
        <f t="shared" si="3"/>
        <v>0.35674120180460273</v>
      </c>
    </row>
    <row r="22" spans="1:8">
      <c r="A22" s="68">
        <v>14</v>
      </c>
      <c r="B22" s="66">
        <v>24</v>
      </c>
      <c r="C22" s="16">
        <v>2</v>
      </c>
      <c r="D22" s="58">
        <v>2.214</v>
      </c>
      <c r="E22" s="58">
        <v>2.2440000000000002</v>
      </c>
      <c r="F22" s="58">
        <v>2.218</v>
      </c>
      <c r="G22" s="16">
        <f t="shared" si="2"/>
        <v>50.512616804751637</v>
      </c>
      <c r="H22" s="19">
        <f t="shared" si="3"/>
        <v>0.36974363024615359</v>
      </c>
    </row>
    <row r="23" spans="1:8">
      <c r="A23" s="68">
        <v>15</v>
      </c>
      <c r="B23" s="66">
        <v>30</v>
      </c>
      <c r="C23" s="16">
        <v>2</v>
      </c>
      <c r="D23" s="58">
        <v>2.3530000000000002</v>
      </c>
      <c r="E23" s="58">
        <v>2.3250000000000002</v>
      </c>
      <c r="F23" s="58">
        <v>2.3149999999999999</v>
      </c>
      <c r="G23" s="16">
        <f t="shared" si="2"/>
        <v>52.911133810010213</v>
      </c>
      <c r="H23" s="19">
        <f t="shared" si="3"/>
        <v>0.44711645905328146</v>
      </c>
    </row>
    <row r="24" spans="1:8">
      <c r="A24" s="68">
        <v>16</v>
      </c>
      <c r="B24" s="66">
        <v>48</v>
      </c>
      <c r="C24" s="16">
        <v>2</v>
      </c>
      <c r="D24" s="58">
        <v>2.4060000000000001</v>
      </c>
      <c r="E24" s="58">
        <v>2.44</v>
      </c>
      <c r="F24" s="58">
        <v>2.4420000000000002</v>
      </c>
      <c r="G24" s="16">
        <f t="shared" ref="G24" si="4">(C24*1000*AVERAGE(D24:F24))/$B$2</f>
        <v>55.143192221843911</v>
      </c>
      <c r="H24" s="19">
        <f t="shared" ref="H24" si="5">(C24*1000*STDEV(D24:F24))/$B$2</f>
        <v>0.45924385141280932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0" t="s">
        <v>4</v>
      </c>
      <c r="B1" s="130" t="s">
        <v>117</v>
      </c>
      <c r="C1" s="130" t="s">
        <v>117</v>
      </c>
      <c r="D1" s="130" t="s">
        <v>5</v>
      </c>
      <c r="E1" s="4" t="s">
        <v>7</v>
      </c>
      <c r="F1" s="4" t="s">
        <v>9</v>
      </c>
      <c r="G1" s="129" t="s">
        <v>11</v>
      </c>
      <c r="H1" s="129" t="s">
        <v>12</v>
      </c>
      <c r="I1" s="4" t="s">
        <v>13</v>
      </c>
      <c r="J1" s="4" t="s">
        <v>16</v>
      </c>
      <c r="K1" s="4" t="s">
        <v>16</v>
      </c>
    </row>
    <row r="2" spans="1:11">
      <c r="A2" s="131"/>
      <c r="B2" s="131"/>
      <c r="C2" s="131"/>
      <c r="D2" s="131"/>
      <c r="E2" s="5" t="s">
        <v>8</v>
      </c>
      <c r="F2" s="5" t="s">
        <v>10</v>
      </c>
      <c r="G2" s="129"/>
      <c r="H2" s="129"/>
      <c r="I2" s="5" t="s">
        <v>14</v>
      </c>
      <c r="J2" s="5" t="s">
        <v>17</v>
      </c>
      <c r="K2" s="5" t="s">
        <v>140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54</v>
      </c>
      <c r="F3" s="1">
        <f>E3</f>
        <v>54</v>
      </c>
      <c r="G3" s="1">
        <v>0</v>
      </c>
      <c r="H3" s="1">
        <v>0</v>
      </c>
      <c r="I3" s="1">
        <f>$F$22+G3+H3</f>
        <v>1500</v>
      </c>
      <c r="J3" s="13">
        <f>F3*1500/I3</f>
        <v>54</v>
      </c>
      <c r="K3" s="13">
        <f>$F$23-J3</f>
        <v>1596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55</v>
      </c>
      <c r="F4" s="1">
        <f>E4+F3</f>
        <v>109</v>
      </c>
      <c r="G4" s="40">
        <v>1</v>
      </c>
      <c r="H4" s="40">
        <v>0</v>
      </c>
      <c r="I4" s="1">
        <f t="shared" ref="I4:I20" si="1">$F$23-F3+G4+H4</f>
        <v>1597</v>
      </c>
      <c r="J4" s="13">
        <f>E4*K3/I4</f>
        <v>54.965560425798373</v>
      </c>
      <c r="K4" s="13">
        <f>K3-J4</f>
        <v>1541.0344395742015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43</v>
      </c>
      <c r="F5" s="1">
        <f t="shared" ref="F5:F18" si="2">E5+F4</f>
        <v>152</v>
      </c>
      <c r="G5" s="40">
        <v>3</v>
      </c>
      <c r="H5" s="40">
        <v>0</v>
      </c>
      <c r="I5" s="40">
        <f t="shared" si="1"/>
        <v>1544</v>
      </c>
      <c r="J5" s="13">
        <f t="shared" ref="J5:J13" si="3">E5*K4/I5</f>
        <v>42.917409910421412</v>
      </c>
      <c r="K5" s="13">
        <f>K4-J5</f>
        <v>1498.1170296637802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42</v>
      </c>
      <c r="F6" s="1">
        <f t="shared" si="2"/>
        <v>194</v>
      </c>
      <c r="G6" s="40">
        <v>6</v>
      </c>
      <c r="H6" s="40">
        <v>0</v>
      </c>
      <c r="I6" s="40">
        <f t="shared" si="1"/>
        <v>1504</v>
      </c>
      <c r="J6" s="13">
        <f>E6*K5/I6</f>
        <v>41.835714924121518</v>
      </c>
      <c r="K6" s="13">
        <f t="shared" ref="K6:K13" si="4">K5-J6</f>
        <v>1456.2813147396587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45</v>
      </c>
      <c r="F7" s="1">
        <f t="shared" si="2"/>
        <v>239</v>
      </c>
      <c r="G7" s="40">
        <v>9</v>
      </c>
      <c r="H7" s="40">
        <v>0</v>
      </c>
      <c r="I7" s="40">
        <f t="shared" si="1"/>
        <v>1465</v>
      </c>
      <c r="J7" s="13">
        <f>E7*K6/I7</f>
        <v>44.732190555143099</v>
      </c>
      <c r="K7" s="13">
        <f>K6-J7</f>
        <v>1411.5491241845157</v>
      </c>
    </row>
    <row r="8" spans="1:11">
      <c r="A8" s="1">
        <v>4</v>
      </c>
      <c r="B8" s="32">
        <v>80</v>
      </c>
      <c r="C8" s="32">
        <f t="shared" ref="C8:C18" si="5">C7+B8</f>
        <v>360</v>
      </c>
      <c r="D8" s="13">
        <f t="shared" si="0"/>
        <v>6</v>
      </c>
      <c r="E8" s="1">
        <v>40</v>
      </c>
      <c r="F8" s="1">
        <f t="shared" si="2"/>
        <v>279</v>
      </c>
      <c r="G8" s="40">
        <v>16</v>
      </c>
      <c r="H8" s="40">
        <v>0</v>
      </c>
      <c r="I8" s="40">
        <f t="shared" si="1"/>
        <v>1427</v>
      </c>
      <c r="J8" s="13">
        <f t="shared" si="3"/>
        <v>39.566899066139193</v>
      </c>
      <c r="K8" s="13">
        <f t="shared" si="4"/>
        <v>1371.9822251183764</v>
      </c>
    </row>
    <row r="9" spans="1:11">
      <c r="A9" s="1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47</v>
      </c>
      <c r="F9" s="1">
        <f t="shared" si="2"/>
        <v>326</v>
      </c>
      <c r="G9" s="40">
        <v>28</v>
      </c>
      <c r="H9" s="40">
        <v>0</v>
      </c>
      <c r="I9" s="40">
        <f t="shared" si="1"/>
        <v>1399</v>
      </c>
      <c r="J9" s="13">
        <f t="shared" si="3"/>
        <v>46.092326362089842</v>
      </c>
      <c r="K9" s="13">
        <f t="shared" si="4"/>
        <v>1325.8898987562866</v>
      </c>
    </row>
    <row r="10" spans="1:11">
      <c r="A10" s="1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48</v>
      </c>
      <c r="F10" s="1">
        <f t="shared" si="2"/>
        <v>374</v>
      </c>
      <c r="G10" s="40">
        <v>40</v>
      </c>
      <c r="H10" s="40">
        <v>0</v>
      </c>
      <c r="I10" s="40">
        <f t="shared" si="1"/>
        <v>1364</v>
      </c>
      <c r="J10" s="13">
        <f t="shared" si="3"/>
        <v>46.658882067669907</v>
      </c>
      <c r="K10" s="13">
        <f t="shared" si="4"/>
        <v>1279.2310166886166</v>
      </c>
    </row>
    <row r="11" spans="1:11">
      <c r="A11" s="1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48</v>
      </c>
      <c r="F11" s="1">
        <f t="shared" si="2"/>
        <v>422</v>
      </c>
      <c r="G11" s="40">
        <v>53</v>
      </c>
      <c r="H11" s="40">
        <v>0</v>
      </c>
      <c r="I11" s="40">
        <f t="shared" si="1"/>
        <v>1329</v>
      </c>
      <c r="J11" s="13">
        <f t="shared" si="3"/>
        <v>46.202474643381187</v>
      </c>
      <c r="K11" s="13">
        <f t="shared" si="4"/>
        <v>1233.0285420452353</v>
      </c>
    </row>
    <row r="12" spans="1:11">
      <c r="A12" s="1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53</v>
      </c>
      <c r="F12" s="1">
        <f t="shared" si="2"/>
        <v>475</v>
      </c>
      <c r="G12" s="40">
        <v>61</v>
      </c>
      <c r="H12" s="40">
        <v>1</v>
      </c>
      <c r="I12" s="40">
        <f t="shared" si="1"/>
        <v>1290</v>
      </c>
      <c r="J12" s="13">
        <f t="shared" si="3"/>
        <v>50.659312192556179</v>
      </c>
      <c r="K12" s="13">
        <f t="shared" si="4"/>
        <v>1182.3692298526792</v>
      </c>
    </row>
    <row r="13" spans="1:11">
      <c r="A13" s="1">
        <v>9</v>
      </c>
      <c r="B13" s="32">
        <v>80</v>
      </c>
      <c r="C13" s="32">
        <f t="shared" si="5"/>
        <v>760</v>
      </c>
      <c r="D13" s="13">
        <f t="shared" si="0"/>
        <v>12.666666666666666</v>
      </c>
      <c r="E13" s="1">
        <v>45</v>
      </c>
      <c r="F13" s="1">
        <f t="shared" si="2"/>
        <v>520</v>
      </c>
      <c r="G13" s="40">
        <v>61</v>
      </c>
      <c r="H13" s="40">
        <v>8</v>
      </c>
      <c r="I13" s="40">
        <f t="shared" si="1"/>
        <v>1244</v>
      </c>
      <c r="J13" s="13">
        <f t="shared" si="3"/>
        <v>42.770591112034211</v>
      </c>
      <c r="K13" s="13">
        <f t="shared" si="4"/>
        <v>1139.5986387406449</v>
      </c>
    </row>
    <row r="14" spans="1:11">
      <c r="A14" s="37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42</v>
      </c>
      <c r="F14" s="37">
        <f t="shared" si="2"/>
        <v>562</v>
      </c>
      <c r="G14" s="40">
        <v>61</v>
      </c>
      <c r="H14" s="40">
        <v>9</v>
      </c>
      <c r="I14" s="40">
        <f t="shared" si="1"/>
        <v>1200</v>
      </c>
      <c r="J14" s="13">
        <f t="shared" ref="J14:J19" si="6">E14*K13/I14</f>
        <v>39.885952355922569</v>
      </c>
      <c r="K14" s="13">
        <f t="shared" ref="K14:K19" si="7">K13-J14</f>
        <v>1099.7126863847222</v>
      </c>
    </row>
    <row r="15" spans="1:11">
      <c r="A15" s="37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7">
        <v>48</v>
      </c>
      <c r="F15" s="37">
        <f t="shared" si="2"/>
        <v>610</v>
      </c>
      <c r="G15" s="40">
        <v>61</v>
      </c>
      <c r="H15" s="40">
        <v>10</v>
      </c>
      <c r="I15" s="40">
        <f t="shared" si="1"/>
        <v>1159</v>
      </c>
      <c r="J15" s="13">
        <f t="shared" si="6"/>
        <v>45.544615139315496</v>
      </c>
      <c r="K15" s="13">
        <f t="shared" si="7"/>
        <v>1054.1680712454067</v>
      </c>
    </row>
    <row r="16" spans="1:11">
      <c r="A16" s="37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7">
        <v>44</v>
      </c>
      <c r="F16" s="37">
        <f t="shared" si="2"/>
        <v>654</v>
      </c>
      <c r="G16" s="40">
        <v>61</v>
      </c>
      <c r="H16" s="40">
        <v>11</v>
      </c>
      <c r="I16" s="40">
        <f t="shared" si="1"/>
        <v>1112</v>
      </c>
      <c r="J16" s="13">
        <f t="shared" si="6"/>
        <v>41.711686272300263</v>
      </c>
      <c r="K16" s="13">
        <f t="shared" si="7"/>
        <v>1012.4563849731064</v>
      </c>
    </row>
    <row r="17" spans="1:11">
      <c r="A17" s="37">
        <v>13</v>
      </c>
      <c r="B17" s="32">
        <v>80</v>
      </c>
      <c r="C17" s="32">
        <f t="shared" si="5"/>
        <v>1080</v>
      </c>
      <c r="D17" s="13">
        <f t="shared" si="0"/>
        <v>18</v>
      </c>
      <c r="E17" s="37">
        <v>49</v>
      </c>
      <c r="F17" s="37">
        <f t="shared" si="2"/>
        <v>703</v>
      </c>
      <c r="G17" s="40">
        <v>61</v>
      </c>
      <c r="H17" s="40">
        <v>12</v>
      </c>
      <c r="I17" s="40">
        <f t="shared" si="1"/>
        <v>1069</v>
      </c>
      <c r="J17" s="13">
        <f t="shared" si="6"/>
        <v>46.40819725321068</v>
      </c>
      <c r="K17" s="13">
        <f t="shared" si="7"/>
        <v>966.04818771989574</v>
      </c>
    </row>
    <row r="18" spans="1:11">
      <c r="A18" s="37">
        <v>14</v>
      </c>
      <c r="B18" s="32">
        <v>360</v>
      </c>
      <c r="C18" s="32">
        <f t="shared" si="5"/>
        <v>1440</v>
      </c>
      <c r="D18" s="13">
        <f t="shared" si="0"/>
        <v>24</v>
      </c>
      <c r="E18" s="37">
        <v>52</v>
      </c>
      <c r="F18" s="37">
        <f t="shared" si="2"/>
        <v>755</v>
      </c>
      <c r="G18" s="40">
        <v>61</v>
      </c>
      <c r="H18" s="40">
        <v>13</v>
      </c>
      <c r="I18" s="40">
        <f t="shared" si="1"/>
        <v>1021</v>
      </c>
      <c r="J18" s="13">
        <f t="shared" si="6"/>
        <v>49.20127890444131</v>
      </c>
      <c r="K18" s="13">
        <f t="shared" si="7"/>
        <v>916.84690881545441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56</v>
      </c>
      <c r="F19" s="37">
        <f>E19+F18</f>
        <v>811</v>
      </c>
      <c r="G19" s="40">
        <v>61</v>
      </c>
      <c r="H19" s="40">
        <v>13</v>
      </c>
      <c r="I19" s="40">
        <f t="shared" si="1"/>
        <v>969</v>
      </c>
      <c r="J19" s="13">
        <f t="shared" si="6"/>
        <v>52.985992666321408</v>
      </c>
      <c r="K19" s="13">
        <f t="shared" si="7"/>
        <v>863.860916149133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58</v>
      </c>
      <c r="F20" s="40">
        <f t="shared" ref="F20" si="8">E20+F19</f>
        <v>869</v>
      </c>
      <c r="G20" s="40">
        <v>61</v>
      </c>
      <c r="H20" s="40">
        <v>13</v>
      </c>
      <c r="I20" s="40">
        <f t="shared" si="1"/>
        <v>913</v>
      </c>
      <c r="J20" s="13">
        <f t="shared" ref="J20" si="9">E20*K19/I20</f>
        <v>54.878349547261458</v>
      </c>
      <c r="K20" s="13">
        <f t="shared" ref="K20" si="10">K19-J20</f>
        <v>808.98256660187155</v>
      </c>
    </row>
    <row r="22" spans="1:11">
      <c r="A22" s="126" t="s">
        <v>15</v>
      </c>
      <c r="B22" s="127"/>
      <c r="C22" s="127"/>
      <c r="D22" s="127"/>
      <c r="E22" s="128"/>
      <c r="F22" s="1">
        <v>1500</v>
      </c>
    </row>
    <row r="23" spans="1:11">
      <c r="A23" s="126" t="s">
        <v>15</v>
      </c>
      <c r="B23" s="127"/>
      <c r="C23" s="127"/>
      <c r="D23" s="127"/>
      <c r="E23" s="128"/>
      <c r="F23" s="40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8" t="s">
        <v>42</v>
      </c>
      <c r="B4" s="159"/>
      <c r="C4" s="159"/>
      <c r="D4" s="159"/>
      <c r="E4" s="159"/>
      <c r="F4" s="159"/>
      <c r="G4" s="159"/>
      <c r="H4" s="160"/>
    </row>
    <row r="5" spans="1:8">
      <c r="A5" s="161" t="s">
        <v>62</v>
      </c>
      <c r="B5" s="159"/>
      <c r="C5" s="160"/>
      <c r="D5" s="162" t="s">
        <v>45</v>
      </c>
      <c r="E5" s="162" t="s">
        <v>46</v>
      </c>
      <c r="F5" s="162" t="s">
        <v>47</v>
      </c>
      <c r="G5" s="164" t="s">
        <v>63</v>
      </c>
      <c r="H5" s="164" t="s">
        <v>64</v>
      </c>
    </row>
    <row r="6" spans="1:8">
      <c r="A6" s="22" t="s">
        <v>4</v>
      </c>
      <c r="B6" s="22" t="s">
        <v>60</v>
      </c>
      <c r="C6" s="22" t="s">
        <v>19</v>
      </c>
      <c r="D6" s="163"/>
      <c r="E6" s="163"/>
      <c r="F6" s="163"/>
      <c r="G6" s="165"/>
      <c r="H6" s="165"/>
    </row>
    <row r="7" spans="1:8">
      <c r="A7" s="67">
        <v>0</v>
      </c>
      <c r="B7" s="64">
        <v>-0.16666666666666666</v>
      </c>
      <c r="C7" s="16">
        <v>2</v>
      </c>
      <c r="D7" s="42">
        <v>1.7000000000000001E-2</v>
      </c>
      <c r="E7" s="42">
        <v>1.6E-2</v>
      </c>
      <c r="F7" s="42">
        <v>1.4999999999999999E-2</v>
      </c>
      <c r="G7" s="16">
        <f>(C7*1000*AVERAGE(D7:F7))/$B$2</f>
        <v>0.35523978685612789</v>
      </c>
      <c r="H7" s="19">
        <f>(C7*1000*STDEV(D7:F7))/$B$2</f>
        <v>2.2202486678508014E-2</v>
      </c>
    </row>
    <row r="8" spans="1:8">
      <c r="A8" s="68">
        <v>0</v>
      </c>
      <c r="B8" s="66">
        <v>0.16666666666666666</v>
      </c>
      <c r="C8" s="16">
        <v>2</v>
      </c>
      <c r="D8" s="42">
        <v>2.7E-2</v>
      </c>
      <c r="E8" s="42">
        <v>2.7E-2</v>
      </c>
      <c r="F8" s="42">
        <v>2.5000000000000001E-2</v>
      </c>
      <c r="G8" s="16">
        <f t="shared" ref="G8:G23" si="0">(C8*1000*AVERAGE(D8:F8))/$B$2</f>
        <v>0.58466548253404382</v>
      </c>
      <c r="H8" s="19">
        <f t="shared" ref="H8:H23" si="1">(C8*1000*STDEV(D8:F8))/$B$2</f>
        <v>2.563722332103132E-2</v>
      </c>
    </row>
    <row r="9" spans="1:8">
      <c r="A9" s="68">
        <v>1</v>
      </c>
      <c r="B9" s="66">
        <v>2</v>
      </c>
      <c r="C9" s="16">
        <v>2</v>
      </c>
      <c r="D9" s="42">
        <v>2.5000000000000001E-2</v>
      </c>
      <c r="E9" s="42">
        <v>2.5999999999999999E-2</v>
      </c>
      <c r="F9" s="42">
        <v>2.5999999999999999E-2</v>
      </c>
      <c r="G9" s="16">
        <f t="shared" si="0"/>
        <v>0.56986382474837183</v>
      </c>
      <c r="H9" s="19">
        <f t="shared" si="1"/>
        <v>1.2818611660515638E-2</v>
      </c>
    </row>
    <row r="10" spans="1:8">
      <c r="A10" s="68">
        <v>2</v>
      </c>
      <c r="B10" s="66">
        <v>3.3333333333333335</v>
      </c>
      <c r="C10" s="16">
        <v>2</v>
      </c>
      <c r="D10" s="55">
        <v>2.9000000000000001E-2</v>
      </c>
      <c r="E10" s="55">
        <v>2.8000000000000001E-2</v>
      </c>
      <c r="F10" s="55">
        <v>2.8000000000000001E-2</v>
      </c>
      <c r="G10" s="16">
        <f t="shared" si="0"/>
        <v>0.62907045589105981</v>
      </c>
      <c r="H10" s="19">
        <f t="shared" si="1"/>
        <v>1.2818611660515679E-2</v>
      </c>
    </row>
    <row r="11" spans="1:8">
      <c r="A11" s="68">
        <v>3</v>
      </c>
      <c r="B11" s="66">
        <v>4.666666666666667</v>
      </c>
      <c r="C11" s="16">
        <v>2</v>
      </c>
      <c r="D11" s="55">
        <v>2.5999999999999999E-2</v>
      </c>
      <c r="E11" s="55">
        <v>2.5000000000000001E-2</v>
      </c>
      <c r="F11" s="55">
        <v>2.5999999999999999E-2</v>
      </c>
      <c r="G11" s="16">
        <f t="shared" si="0"/>
        <v>0.56986382474837183</v>
      </c>
      <c r="H11" s="19">
        <f t="shared" si="1"/>
        <v>1.2818611660515638E-2</v>
      </c>
    </row>
    <row r="12" spans="1:8">
      <c r="A12" s="68">
        <v>4</v>
      </c>
      <c r="B12" s="66">
        <v>6</v>
      </c>
      <c r="C12" s="16">
        <v>2</v>
      </c>
      <c r="D12" s="55">
        <v>2.3E-2</v>
      </c>
      <c r="E12" s="55">
        <v>2.1999999999999999E-2</v>
      </c>
      <c r="F12" s="55">
        <v>0.02</v>
      </c>
      <c r="G12" s="16">
        <f t="shared" si="0"/>
        <v>0.48105387803433985</v>
      </c>
      <c r="H12" s="19">
        <f t="shared" si="1"/>
        <v>3.391485860683717E-2</v>
      </c>
    </row>
    <row r="13" spans="1:8">
      <c r="A13" s="68">
        <v>5</v>
      </c>
      <c r="B13" s="66">
        <v>7.333333333333333</v>
      </c>
      <c r="C13" s="16">
        <v>2</v>
      </c>
      <c r="D13" s="55">
        <v>2.7E-2</v>
      </c>
      <c r="E13" s="55">
        <v>3.1E-2</v>
      </c>
      <c r="F13" s="55">
        <v>2.8000000000000001E-2</v>
      </c>
      <c r="G13" s="16">
        <f t="shared" si="0"/>
        <v>0.63647128478389581</v>
      </c>
      <c r="H13" s="19">
        <f t="shared" si="1"/>
        <v>4.6218161622249836E-2</v>
      </c>
    </row>
    <row r="14" spans="1:8">
      <c r="A14" s="68">
        <v>6</v>
      </c>
      <c r="B14" s="66">
        <v>8.6666666666666661</v>
      </c>
      <c r="C14" s="16">
        <v>2</v>
      </c>
      <c r="D14" s="55">
        <v>3.7999999999999999E-2</v>
      </c>
      <c r="E14" s="55">
        <v>3.5999999999999997E-2</v>
      </c>
      <c r="F14" s="55">
        <v>3.5999999999999997E-2</v>
      </c>
      <c r="G14" s="16">
        <f t="shared" si="0"/>
        <v>0.81409117821195953</v>
      </c>
      <c r="H14" s="19">
        <f t="shared" si="1"/>
        <v>2.5637223321031362E-2</v>
      </c>
    </row>
    <row r="15" spans="1:8">
      <c r="A15" s="68">
        <v>7</v>
      </c>
      <c r="B15" s="66">
        <v>10</v>
      </c>
      <c r="C15" s="16">
        <v>2</v>
      </c>
      <c r="D15" s="55">
        <v>7.0000000000000007E-2</v>
      </c>
      <c r="E15" s="55">
        <v>7.0999999999999994E-2</v>
      </c>
      <c r="F15" s="55">
        <v>7.0000000000000007E-2</v>
      </c>
      <c r="G15" s="16">
        <f t="shared" si="0"/>
        <v>1.5615748963883958</v>
      </c>
      <c r="H15" s="19">
        <f t="shared" si="1"/>
        <v>1.2818611660515504E-2</v>
      </c>
    </row>
    <row r="16" spans="1:8">
      <c r="A16" s="68">
        <v>8</v>
      </c>
      <c r="B16" s="66">
        <v>11.333333333333334</v>
      </c>
      <c r="C16" s="16">
        <v>2</v>
      </c>
      <c r="D16" s="55">
        <v>9.1999999999999998E-2</v>
      </c>
      <c r="E16" s="55">
        <v>9.1999999999999998E-2</v>
      </c>
      <c r="F16" s="55">
        <v>9.0999999999999998E-2</v>
      </c>
      <c r="G16" s="16">
        <f t="shared" si="0"/>
        <v>2.0352279455298996</v>
      </c>
      <c r="H16" s="19">
        <f t="shared" si="1"/>
        <v>1.2818611660515681E-2</v>
      </c>
    </row>
    <row r="17" spans="1:8">
      <c r="A17" s="68">
        <v>9</v>
      </c>
      <c r="B17" s="66">
        <v>12.666666666666666</v>
      </c>
      <c r="C17" s="16">
        <v>2</v>
      </c>
      <c r="D17" s="55">
        <v>9.2999999999999999E-2</v>
      </c>
      <c r="E17" s="55">
        <v>9.2999999999999999E-2</v>
      </c>
      <c r="F17" s="55">
        <v>9.0999999999999998E-2</v>
      </c>
      <c r="G17" s="16">
        <f t="shared" si="0"/>
        <v>2.0500296033155716</v>
      </c>
      <c r="H17" s="19">
        <f t="shared" si="1"/>
        <v>2.5637223321031362E-2</v>
      </c>
    </row>
    <row r="18" spans="1:8">
      <c r="A18" s="68">
        <v>10</v>
      </c>
      <c r="B18" s="66">
        <v>14</v>
      </c>
      <c r="C18" s="16">
        <v>2</v>
      </c>
      <c r="D18" s="42">
        <v>9.2999999999999999E-2</v>
      </c>
      <c r="E18" s="42">
        <v>9.2999999999999999E-2</v>
      </c>
      <c r="F18" s="42">
        <v>9.2999999999999999E-2</v>
      </c>
      <c r="G18" s="16">
        <f t="shared" si="0"/>
        <v>2.0648312611012436</v>
      </c>
      <c r="H18" s="19">
        <f t="shared" si="1"/>
        <v>3.7737010310571668E-16</v>
      </c>
    </row>
    <row r="19" spans="1:8">
      <c r="A19" s="68">
        <v>11</v>
      </c>
      <c r="B19" s="66">
        <v>15.333333333333334</v>
      </c>
      <c r="C19" s="16">
        <v>2</v>
      </c>
      <c r="D19" s="55">
        <v>9.2999999999999999E-2</v>
      </c>
      <c r="E19" s="55">
        <v>9.0999999999999998E-2</v>
      </c>
      <c r="F19" s="55">
        <v>9.4E-2</v>
      </c>
      <c r="G19" s="16">
        <f t="shared" si="0"/>
        <v>2.0574304322084074</v>
      </c>
      <c r="H19" s="19">
        <f t="shared" si="1"/>
        <v>3.3914858606837212E-2</v>
      </c>
    </row>
    <row r="20" spans="1:8">
      <c r="A20" s="68">
        <v>12</v>
      </c>
      <c r="B20" s="66">
        <v>16.666666666666668</v>
      </c>
      <c r="C20" s="16">
        <v>2</v>
      </c>
      <c r="D20" s="55">
        <v>0.09</v>
      </c>
      <c r="E20" s="55">
        <v>9.4E-2</v>
      </c>
      <c r="F20" s="55">
        <v>9.4E-2</v>
      </c>
      <c r="G20" s="16">
        <f t="shared" si="0"/>
        <v>2.0574304322084074</v>
      </c>
      <c r="H20" s="19">
        <f t="shared" si="1"/>
        <v>5.1274446642062724E-2</v>
      </c>
    </row>
    <row r="21" spans="1:8">
      <c r="A21" s="68">
        <v>13</v>
      </c>
      <c r="B21" s="66">
        <v>18</v>
      </c>
      <c r="C21" s="16">
        <v>2</v>
      </c>
      <c r="D21" s="55">
        <v>9.8000000000000004E-2</v>
      </c>
      <c r="E21" s="55">
        <v>9.7000000000000003E-2</v>
      </c>
      <c r="F21" s="55">
        <v>9.9000000000000005E-2</v>
      </c>
      <c r="G21" s="16">
        <f t="shared" si="0"/>
        <v>2.1758436944937838</v>
      </c>
      <c r="H21" s="19">
        <f t="shared" si="1"/>
        <v>2.2202486678508014E-2</v>
      </c>
    </row>
    <row r="22" spans="1:8">
      <c r="A22" s="68">
        <v>14</v>
      </c>
      <c r="B22" s="66">
        <v>24</v>
      </c>
      <c r="C22" s="16">
        <v>2</v>
      </c>
      <c r="D22" s="55">
        <v>0.106</v>
      </c>
      <c r="E22" s="55">
        <v>0.108</v>
      </c>
      <c r="F22" s="55">
        <v>0.107</v>
      </c>
      <c r="G22" s="16">
        <f t="shared" si="0"/>
        <v>2.3756660746003555</v>
      </c>
      <c r="H22" s="19">
        <f t="shared" si="1"/>
        <v>2.2202486678508014E-2</v>
      </c>
    </row>
    <row r="23" spans="1:8">
      <c r="A23" s="68">
        <v>15</v>
      </c>
      <c r="B23" s="66">
        <v>30</v>
      </c>
      <c r="C23" s="16">
        <v>2</v>
      </c>
      <c r="D23" s="55">
        <v>0.112</v>
      </c>
      <c r="E23" s="55">
        <v>0.109</v>
      </c>
      <c r="F23" s="55">
        <v>0.109</v>
      </c>
      <c r="G23" s="16">
        <f t="shared" si="0"/>
        <v>2.4422735346358793</v>
      </c>
      <c r="H23" s="19">
        <f t="shared" si="1"/>
        <v>3.8455834981547053E-2</v>
      </c>
    </row>
    <row r="24" spans="1:8">
      <c r="A24" s="68">
        <v>16</v>
      </c>
      <c r="B24" s="66">
        <v>48</v>
      </c>
      <c r="C24" s="16">
        <v>2</v>
      </c>
      <c r="D24" s="55">
        <v>0.108</v>
      </c>
      <c r="E24" s="55">
        <v>0.109</v>
      </c>
      <c r="F24" s="55">
        <v>0.111</v>
      </c>
      <c r="G24" s="16">
        <f t="shared" ref="G24" si="2">(C24*1000*AVERAGE(D24:F24))/$B$2</f>
        <v>2.4274718768502073</v>
      </c>
      <c r="H24" s="19">
        <f t="shared" ref="H24" si="3">(C24*1000*STDEV(D24:F24))/$B$2</f>
        <v>3.3914858606837212E-2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8" t="s">
        <v>44</v>
      </c>
      <c r="B4" s="159"/>
      <c r="C4" s="159"/>
      <c r="D4" s="159"/>
      <c r="E4" s="159"/>
      <c r="F4" s="159"/>
      <c r="G4" s="159"/>
      <c r="H4" s="160"/>
    </row>
    <row r="5" spans="1:8">
      <c r="A5" s="161" t="s">
        <v>62</v>
      </c>
      <c r="B5" s="159"/>
      <c r="C5" s="160"/>
      <c r="D5" s="162" t="s">
        <v>45</v>
      </c>
      <c r="E5" s="162" t="s">
        <v>46</v>
      </c>
      <c r="F5" s="162" t="s">
        <v>47</v>
      </c>
      <c r="G5" s="164" t="s">
        <v>63</v>
      </c>
      <c r="H5" s="164" t="s">
        <v>64</v>
      </c>
    </row>
    <row r="6" spans="1:8">
      <c r="A6" s="22" t="s">
        <v>4</v>
      </c>
      <c r="B6" s="22" t="s">
        <v>60</v>
      </c>
      <c r="C6" s="22" t="s">
        <v>19</v>
      </c>
      <c r="D6" s="163"/>
      <c r="E6" s="163"/>
      <c r="F6" s="163"/>
      <c r="G6" s="165"/>
      <c r="H6" s="165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6640625" bestFit="1" customWidth="1"/>
  </cols>
  <sheetData>
    <row r="1" spans="1:5">
      <c r="B1" s="30" t="s">
        <v>78</v>
      </c>
      <c r="C1" s="30" t="s">
        <v>79</v>
      </c>
    </row>
    <row r="2" spans="1:5">
      <c r="A2" s="30" t="s">
        <v>143</v>
      </c>
      <c r="B2" s="31">
        <f>Metabolites!H4-Metabolites!H20</f>
        <v>47.60233547159789</v>
      </c>
      <c r="C2" s="31">
        <f>Metabolites!I4+Metabolites!I20</f>
        <v>0.29333498605139069</v>
      </c>
    </row>
    <row r="3" spans="1:5">
      <c r="A3" s="30" t="s">
        <v>123</v>
      </c>
      <c r="B3" s="31">
        <f>Metabolites!P4-Metabolites!P20</f>
        <v>8.7889019320590549</v>
      </c>
      <c r="C3" s="31">
        <f>Metabolites!Q4+Metabolites!Q20</f>
        <v>0.85613365423146992</v>
      </c>
    </row>
    <row r="4" spans="1:5">
      <c r="A4" s="30" t="s">
        <v>124</v>
      </c>
      <c r="B4" s="31">
        <f>Metabolites!T20-Metabolites!T4</f>
        <v>0</v>
      </c>
      <c r="C4" s="31">
        <f>Metabolites!U4+Metabolites!U20</f>
        <v>0</v>
      </c>
    </row>
    <row r="5" spans="1:5">
      <c r="A5" s="30" t="s">
        <v>125</v>
      </c>
      <c r="B5" s="31">
        <f>Metabolites!L20-Metabolites!L4</f>
        <v>1.9805221795679828</v>
      </c>
      <c r="C5" s="31">
        <f>Metabolites!M20+Metabolites!M4</f>
        <v>6.1497327525721401E-2</v>
      </c>
    </row>
    <row r="6" spans="1:5">
      <c r="A6" s="30" t="s">
        <v>126</v>
      </c>
      <c r="B6" s="31">
        <f>Metabolites!L41-Metabolites!L25</f>
        <v>56.795983809874656</v>
      </c>
      <c r="C6" s="31">
        <f>Metabolites!M41+Metabolites!M25</f>
        <v>0.53264819643553685</v>
      </c>
    </row>
    <row r="7" spans="1:5">
      <c r="A7" s="30" t="s">
        <v>80</v>
      </c>
      <c r="B7" s="31">
        <f>'H2'!G101</f>
        <v>55.101124598531207</v>
      </c>
    </row>
    <row r="8" spans="1:5">
      <c r="A8" s="30" t="s">
        <v>81</v>
      </c>
      <c r="B8" s="31">
        <f>'CO2'!G101</f>
        <v>72.005275938361606</v>
      </c>
    </row>
    <row r="9" spans="1:5">
      <c r="A9" s="30" t="s">
        <v>127</v>
      </c>
      <c r="B9" s="31">
        <f>Calculation!G20*1.5/1000</f>
        <v>9.1499999999999998E-2</v>
      </c>
    </row>
    <row r="10" spans="1:5" ht="16">
      <c r="A10" s="30" t="s">
        <v>128</v>
      </c>
      <c r="B10" s="31">
        <f>Calculation!H20*1.5/1000</f>
        <v>1.95E-2</v>
      </c>
    </row>
    <row r="12" spans="1:5">
      <c r="A12" s="30" t="s">
        <v>82</v>
      </c>
      <c r="B12" s="70">
        <f>((4*$B$6)+(3*$B$5)+($B$4)+(B8))/((6*$B$2)+(2*$B$3))</f>
        <v>1.0063951627850745</v>
      </c>
    </row>
    <row r="14" spans="1:5">
      <c r="A14" s="61"/>
      <c r="B14" s="61"/>
      <c r="C14" s="61" t="s">
        <v>129</v>
      </c>
      <c r="D14" s="61" t="s">
        <v>130</v>
      </c>
    </row>
    <row r="15" spans="1:5">
      <c r="A15" s="61" t="s">
        <v>159</v>
      </c>
      <c r="B15" s="61" t="s">
        <v>131</v>
      </c>
      <c r="C15" s="62">
        <f>B2</f>
        <v>47.60233547159789</v>
      </c>
      <c r="D15" s="62">
        <f>B2</f>
        <v>47.60233547159789</v>
      </c>
      <c r="E15" s="61"/>
    </row>
    <row r="16" spans="1:5">
      <c r="A16" s="61" t="s">
        <v>160</v>
      </c>
      <c r="B16" s="61" t="s">
        <v>132</v>
      </c>
      <c r="C16" s="62">
        <f>2*C15</f>
        <v>95.204670943195779</v>
      </c>
      <c r="D16" s="62">
        <f>2*B2</f>
        <v>95.204670943195779</v>
      </c>
      <c r="E16" s="61"/>
    </row>
    <row r="17" spans="1:5">
      <c r="A17" s="61" t="s">
        <v>161</v>
      </c>
      <c r="B17" s="61" t="s">
        <v>133</v>
      </c>
      <c r="C17" s="62">
        <f>B5</f>
        <v>1.9805221795679828</v>
      </c>
      <c r="D17" s="62">
        <f>B5</f>
        <v>1.9805221795679828</v>
      </c>
      <c r="E17" s="61"/>
    </row>
    <row r="18" spans="1:5">
      <c r="A18" s="61" t="s">
        <v>162</v>
      </c>
      <c r="B18" s="61" t="s">
        <v>134</v>
      </c>
      <c r="C18" s="62">
        <f>B4</f>
        <v>0</v>
      </c>
      <c r="D18" s="62">
        <f>B4</f>
        <v>0</v>
      </c>
      <c r="E18" s="61"/>
    </row>
    <row r="19" spans="1:5">
      <c r="A19" s="61" t="s">
        <v>163</v>
      </c>
      <c r="B19" s="61" t="s">
        <v>135</v>
      </c>
      <c r="C19" s="81">
        <f>C16-C17-C18</f>
        <v>93.224148763627795</v>
      </c>
      <c r="D19" s="81">
        <f>B8</f>
        <v>72.005275938361606</v>
      </c>
      <c r="E19" s="61"/>
    </row>
    <row r="20" spans="1:5">
      <c r="A20" s="61" t="s">
        <v>157</v>
      </c>
      <c r="B20" s="61" t="s">
        <v>157</v>
      </c>
      <c r="C20" s="69">
        <f>C16-C17</f>
        <v>93.224148763627795</v>
      </c>
      <c r="D20" s="69"/>
      <c r="E20" s="61"/>
    </row>
    <row r="21" spans="1:5">
      <c r="A21" s="61" t="s">
        <v>164</v>
      </c>
      <c r="B21" s="61" t="s">
        <v>136</v>
      </c>
      <c r="C21" s="62">
        <f>B3</f>
        <v>8.7889019320590549</v>
      </c>
      <c r="D21" s="62">
        <f>B3</f>
        <v>8.7889019320590549</v>
      </c>
      <c r="E21" s="61"/>
    </row>
    <row r="22" spans="1:5">
      <c r="A22" s="61" t="s">
        <v>165</v>
      </c>
      <c r="B22" s="61" t="s">
        <v>138</v>
      </c>
      <c r="C22" s="62">
        <f>C16-C17+C21</f>
        <v>102.01305069568684</v>
      </c>
      <c r="D22" s="62">
        <f>B6</f>
        <v>56.795983809874656</v>
      </c>
      <c r="E22" s="61"/>
    </row>
    <row r="23" spans="1:5">
      <c r="A23" s="61" t="s">
        <v>166</v>
      </c>
      <c r="B23" s="61" t="s">
        <v>139</v>
      </c>
      <c r="C23" s="81">
        <f>C22/2</f>
        <v>51.006525347843422</v>
      </c>
      <c r="D23" s="81">
        <f>B6</f>
        <v>56.795983809874656</v>
      </c>
      <c r="E23" s="61"/>
    </row>
    <row r="24" spans="1:5">
      <c r="A24" t="s">
        <v>154</v>
      </c>
      <c r="B24" t="s">
        <v>155</v>
      </c>
      <c r="C24" s="31">
        <f>C20-C21</f>
        <v>84.435246831568747</v>
      </c>
      <c r="D24" s="31"/>
      <c r="E24" s="61"/>
    </row>
    <row r="25" spans="1:5">
      <c r="A25" t="s">
        <v>167</v>
      </c>
      <c r="B25" t="s">
        <v>156</v>
      </c>
      <c r="C25" s="82">
        <f>C24-C18</f>
        <v>84.435246831568747</v>
      </c>
      <c r="D25" s="82">
        <f>B7</f>
        <v>55.101124598531207</v>
      </c>
      <c r="E25" s="61"/>
    </row>
    <row r="26" spans="1:5">
      <c r="A26" s="61"/>
      <c r="B26" s="61"/>
      <c r="C26" s="61"/>
      <c r="D26" s="61"/>
      <c r="E26" s="61"/>
    </row>
    <row r="27" spans="1:5">
      <c r="A27" s="61"/>
      <c r="B27" s="61"/>
      <c r="C27" s="61"/>
      <c r="D27" s="61"/>
      <c r="E27" s="61"/>
    </row>
    <row r="28" spans="1:5">
      <c r="A28" s="61"/>
      <c r="B28" s="61"/>
      <c r="C28" s="61"/>
      <c r="D28" s="61"/>
      <c r="E28" s="61"/>
    </row>
    <row r="29" spans="1:5">
      <c r="C29" s="61"/>
      <c r="D29" s="61"/>
      <c r="E29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0" t="s">
        <v>4</v>
      </c>
      <c r="B1" s="130" t="s">
        <v>117</v>
      </c>
      <c r="C1" s="130" t="s">
        <v>117</v>
      </c>
      <c r="D1" s="130" t="s">
        <v>5</v>
      </c>
      <c r="E1" s="135" t="s">
        <v>18</v>
      </c>
      <c r="F1" s="135"/>
      <c r="G1" s="135"/>
      <c r="H1" s="135"/>
      <c r="I1" s="135" t="s">
        <v>20</v>
      </c>
      <c r="J1" s="135"/>
      <c r="K1" s="135"/>
      <c r="L1" s="135"/>
      <c r="M1" s="135" t="s">
        <v>21</v>
      </c>
      <c r="N1" s="135"/>
      <c r="O1" s="135"/>
      <c r="P1" s="135"/>
      <c r="Q1" s="38" t="s">
        <v>22</v>
      </c>
      <c r="R1" s="38" t="s">
        <v>22</v>
      </c>
      <c r="S1" s="38" t="s">
        <v>22</v>
      </c>
    </row>
    <row r="2" spans="1:19">
      <c r="A2" s="131"/>
      <c r="B2" s="131"/>
      <c r="C2" s="131"/>
      <c r="D2" s="131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Q3" s="132"/>
      <c r="R3" s="133"/>
      <c r="S3" s="134"/>
    </row>
    <row r="4" spans="1:19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5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5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5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5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5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5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5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5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5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5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5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5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D1" workbookViewId="0">
      <selection activeCell="N23" sqref="N23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0" t="s">
        <v>4</v>
      </c>
      <c r="B1" s="130" t="s">
        <v>117</v>
      </c>
      <c r="C1" s="130" t="s">
        <v>117</v>
      </c>
      <c r="D1" s="130" t="s">
        <v>5</v>
      </c>
      <c r="E1" s="129" t="s">
        <v>119</v>
      </c>
      <c r="F1" s="129"/>
      <c r="G1" s="129"/>
      <c r="H1" s="129"/>
      <c r="I1" s="129" t="s">
        <v>120</v>
      </c>
      <c r="J1" s="129"/>
      <c r="K1" s="129"/>
      <c r="L1" s="129"/>
      <c r="M1" s="129" t="s">
        <v>121</v>
      </c>
      <c r="N1" s="129"/>
      <c r="O1" s="129"/>
      <c r="P1" s="129"/>
      <c r="Q1" s="24" t="s">
        <v>122</v>
      </c>
      <c r="R1" s="24" t="s">
        <v>122</v>
      </c>
      <c r="S1" s="24" t="s">
        <v>122</v>
      </c>
      <c r="T1" s="59" t="s">
        <v>122</v>
      </c>
      <c r="U1" s="74" t="s">
        <v>119</v>
      </c>
      <c r="V1" s="74" t="s">
        <v>120</v>
      </c>
      <c r="W1" s="74" t="s">
        <v>121</v>
      </c>
      <c r="X1" s="74" t="s">
        <v>122</v>
      </c>
    </row>
    <row r="2" spans="1:24">
      <c r="A2" s="131"/>
      <c r="B2" s="131"/>
      <c r="C2" s="131"/>
      <c r="D2" s="131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0" t="s">
        <v>137</v>
      </c>
      <c r="U2" s="75" t="s">
        <v>147</v>
      </c>
      <c r="V2" s="75" t="s">
        <v>147</v>
      </c>
      <c r="W2" s="75" t="s">
        <v>147</v>
      </c>
      <c r="X2" s="75" t="s">
        <v>148</v>
      </c>
    </row>
    <row r="3" spans="1:24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6" t="s">
        <v>101</v>
      </c>
      <c r="R3" s="137"/>
      <c r="S3" s="138"/>
      <c r="T3" s="73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2</v>
      </c>
      <c r="F4" s="32">
        <v>8485</v>
      </c>
      <c r="G4" s="32">
        <v>7</v>
      </c>
      <c r="H4" s="44">
        <f>('Flow cytometer'!F4/'Flow cytometer'!G4)*POWER(10,'Flow cytometer'!E4+2)*10.2</f>
        <v>123638571.42857142</v>
      </c>
      <c r="I4" s="32">
        <v>2</v>
      </c>
      <c r="J4" s="32">
        <v>8156</v>
      </c>
      <c r="K4" s="32">
        <v>7</v>
      </c>
      <c r="L4" s="44">
        <f>('Flow cytometer'!J4/'Flow cytometer'!K4)*POWER(10,'Flow cytometer'!I4+2)*10.2</f>
        <v>118844571.42857142</v>
      </c>
      <c r="M4" s="32">
        <v>2</v>
      </c>
      <c r="N4" s="32">
        <v>8384</v>
      </c>
      <c r="O4" s="32">
        <v>7</v>
      </c>
      <c r="P4" s="44">
        <f>('Flow cytometer'!N4/'Flow cytometer'!O4)*POWER(10,'Flow cytometer'!M4+2)*10.2</f>
        <v>122166857.14285715</v>
      </c>
      <c r="Q4" s="47">
        <f>AVERAGE(H4,L4,P4)*Calculation!I4/Calculation!K3</f>
        <v>121626159.14786968</v>
      </c>
      <c r="R4" s="48">
        <f>STDEV(H4,L4,P4)*Calculation!I4/Calculation!K3</f>
        <v>2457346.8527519116</v>
      </c>
      <c r="S4" s="49">
        <f>LOG(Q4)</f>
        <v>8.0850269923031277</v>
      </c>
      <c r="T4" s="72">
        <f>LN(Q4)</f>
        <v>18.616462628931664</v>
      </c>
      <c r="U4" s="49">
        <f>LOG(H4)</f>
        <v>8.0921539784013561</v>
      </c>
      <c r="V4" s="49">
        <f>LOG(L4)</f>
        <v>8.0749793488537627</v>
      </c>
      <c r="W4" s="49">
        <f>LOG(P4)</f>
        <v>8.0869534013873121</v>
      </c>
      <c r="X4" s="49">
        <f xml:space="preserve"> STDEV(U4:W4)*Calculation!I4/Calculation!K3</f>
        <v>8.8126350197423389E-3</v>
      </c>
    </row>
    <row r="5" spans="1:24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32">
        <v>2</v>
      </c>
      <c r="F5" s="32">
        <v>14322</v>
      </c>
      <c r="G5" s="32">
        <v>7</v>
      </c>
      <c r="H5" s="44">
        <f>('Flow cytometer'!F5/'Flow cytometer'!G5)*POWER(10,'Flow cytometer'!E5+2)*10.2</f>
        <v>208692000</v>
      </c>
      <c r="I5" s="32">
        <v>2</v>
      </c>
      <c r="J5" s="32">
        <v>15390</v>
      </c>
      <c r="K5" s="32">
        <v>7</v>
      </c>
      <c r="L5" s="44">
        <f>('Flow cytometer'!J5/'Flow cytometer'!K5)*POWER(10,'Flow cytometer'!I5+2)*10.2</f>
        <v>224254285.71428567</v>
      </c>
      <c r="M5" s="32">
        <v>2</v>
      </c>
      <c r="N5" s="32">
        <v>15057</v>
      </c>
      <c r="O5" s="32">
        <v>7</v>
      </c>
      <c r="P5" s="44">
        <f>('Flow cytometer'!N5/'Flow cytometer'!O5)*POWER(10,'Flow cytometer'!M5+2)*10.2</f>
        <v>219401999.99999997</v>
      </c>
      <c r="Q5" s="47">
        <f>AVERAGE(H5,L5,P5)*Calculation!I5/Calculation!K4</f>
        <v>217867887.36989775</v>
      </c>
      <c r="R5" s="48">
        <f>STDEV(H5,L5,P5)*Calculation!I5/Calculation!K4</f>
        <v>7978085.9398912806</v>
      </c>
      <c r="S5" s="49">
        <f t="shared" ref="S5:S19" si="1">LOG(Q5)</f>
        <v>8.3381932221424826</v>
      </c>
      <c r="T5" s="49">
        <f t="shared" ref="T5:T19" si="2">LN(Q5)</f>
        <v>19.199399415809268</v>
      </c>
      <c r="U5" s="49">
        <f t="shared" ref="U5:U20" si="3">LOG(H5)</f>
        <v>8.3195058011380585</v>
      </c>
      <c r="V5" s="49">
        <f t="shared" ref="V5:V20" si="4">LOG(L5)</f>
        <v>8.3507407515791385</v>
      </c>
      <c r="W5" s="49">
        <f t="shared" ref="W5:W20" si="5">LOG(P5)</f>
        <v>8.3412405821493802</v>
      </c>
      <c r="X5" s="49">
        <f xml:space="preserve"> STDEV(U5:W5)*Calculation!I5/Calculation!K4</f>
        <v>1.6042663198262509E-2</v>
      </c>
    </row>
    <row r="6" spans="1:24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2</v>
      </c>
      <c r="F6" s="32">
        <v>27587</v>
      </c>
      <c r="G6" s="32">
        <v>7</v>
      </c>
      <c r="H6" s="44">
        <f>('Flow cytometer'!F6/'Flow cytometer'!G6)*POWER(10,'Flow cytometer'!E6+2)*10.2</f>
        <v>401982000</v>
      </c>
      <c r="I6" s="32">
        <v>2</v>
      </c>
      <c r="J6" s="32">
        <v>36493</v>
      </c>
      <c r="K6" s="32">
        <v>7</v>
      </c>
      <c r="L6" s="44">
        <f>('Flow cytometer'!J6/'Flow cytometer'!K6)*POWER(10,'Flow cytometer'!I6+2)*10.2</f>
        <v>531755142.85714287</v>
      </c>
      <c r="M6" s="32">
        <v>2</v>
      </c>
      <c r="N6" s="32">
        <v>33669</v>
      </c>
      <c r="O6" s="32">
        <v>7</v>
      </c>
      <c r="P6" s="44">
        <f>('Flow cytometer'!N6/'Flow cytometer'!O6)*POWER(10,'Flow cytometer'!M6+2)*10.2</f>
        <v>490605428.5714286</v>
      </c>
      <c r="Q6" s="47">
        <f>AVERAGE(H6,L6,P6)*Calculation!I6/Calculation!K5</f>
        <v>476645278.70904368</v>
      </c>
      <c r="R6" s="48">
        <f>STDEV(H6,L6,P6)*Calculation!I6/Calculation!K5</f>
        <v>66578446.1699204</v>
      </c>
      <c r="S6" s="49">
        <f t="shared" si="1"/>
        <v>8.6781952955837802</v>
      </c>
      <c r="T6" s="49">
        <f t="shared" si="2"/>
        <v>19.98228312170227</v>
      </c>
      <c r="U6" s="49">
        <f t="shared" si="3"/>
        <v>8.6042066066275211</v>
      </c>
      <c r="V6" s="49">
        <f t="shared" si="4"/>
        <v>8.7257116988637708</v>
      </c>
      <c r="W6" s="49">
        <f t="shared" si="5"/>
        <v>8.6907323493851898</v>
      </c>
      <c r="X6" s="49">
        <f xml:space="preserve"> STDEV(U6:W6)*Calculation!I6/Calculation!K5</f>
        <v>6.2793931548116161E-2</v>
      </c>
    </row>
    <row r="7" spans="1:24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3</v>
      </c>
      <c r="F7" s="32">
        <v>5749</v>
      </c>
      <c r="G7" s="32">
        <v>7</v>
      </c>
      <c r="H7" s="44">
        <f>('Flow cytometer'!F7/'Flow cytometer'!G7)*POWER(10,'Flow cytometer'!E7+2)*10.2</f>
        <v>837711428.57142854</v>
      </c>
      <c r="I7" s="32">
        <v>3</v>
      </c>
      <c r="J7" s="32">
        <v>5353</v>
      </c>
      <c r="K7" s="32">
        <v>7</v>
      </c>
      <c r="L7" s="44">
        <f>('Flow cytometer'!J7/'Flow cytometer'!K7)*POWER(10,'Flow cytometer'!I7+2)*10.2</f>
        <v>780008571.42857134</v>
      </c>
      <c r="M7" s="32">
        <v>3</v>
      </c>
      <c r="N7" s="32">
        <v>6028</v>
      </c>
      <c r="O7" s="32">
        <v>7</v>
      </c>
      <c r="P7" s="44">
        <f>('Flow cytometer'!N7/'Flow cytometer'!O7)*POWER(10,'Flow cytometer'!M7+2)*10.2</f>
        <v>878365714.28571427</v>
      </c>
      <c r="Q7" s="47">
        <f>AVERAGE(H7,L7,P7)*Calculation!I7/Calculation!K6</f>
        <v>837009885.93729579</v>
      </c>
      <c r="R7" s="48">
        <f>STDEV(H7,L7,P7)*Calculation!I7/Calculation!K6</f>
        <v>49720115.451711722</v>
      </c>
      <c r="S7" s="49">
        <f t="shared" si="1"/>
        <v>8.9227305874827003</v>
      </c>
      <c r="T7" s="49">
        <f t="shared" si="2"/>
        <v>20.545346439539667</v>
      </c>
      <c r="U7" s="49">
        <f t="shared" si="3"/>
        <v>8.9230944403936352</v>
      </c>
      <c r="V7" s="49">
        <f t="shared" si="4"/>
        <v>8.8920993751310924</v>
      </c>
      <c r="W7" s="49">
        <f t="shared" si="5"/>
        <v>8.9436753753902547</v>
      </c>
      <c r="X7" s="49">
        <f xml:space="preserve"> STDEV(U7:W7)*Calculation!I7/Calculation!K6</f>
        <v>2.6118079333849645E-2</v>
      </c>
    </row>
    <row r="8" spans="1:24">
      <c r="A8" s="65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3</v>
      </c>
      <c r="F8" s="32">
        <v>12262</v>
      </c>
      <c r="G8" s="32">
        <v>7</v>
      </c>
      <c r="H8" s="44">
        <f>('Flow cytometer'!F8/'Flow cytometer'!G8)*POWER(10,'Flow cytometer'!E8+2)*10.2</f>
        <v>1786748571.4285712</v>
      </c>
      <c r="I8" s="32">
        <v>3</v>
      </c>
      <c r="J8" s="32">
        <v>13894</v>
      </c>
      <c r="K8" s="32">
        <v>7</v>
      </c>
      <c r="L8" s="44">
        <f>('Flow cytometer'!J8/'Flow cytometer'!K8)*POWER(10,'Flow cytometer'!I8+2)*10.2</f>
        <v>2024554285.7142856</v>
      </c>
      <c r="M8" s="32">
        <v>3</v>
      </c>
      <c r="N8" s="32">
        <v>13163</v>
      </c>
      <c r="O8" s="32">
        <v>7</v>
      </c>
      <c r="P8" s="44">
        <f>('Flow cytometer'!N8/'Flow cytometer'!O8)*POWER(10,'Flow cytometer'!M8+2)*10.2</f>
        <v>1918037142.8571427</v>
      </c>
      <c r="Q8" s="47">
        <f>AVERAGE(H8,L8,P8)*Calculation!I8/Calculation!K7</f>
        <v>1930684531.8432984</v>
      </c>
      <c r="R8" s="48">
        <f>STDEV(H8,L8,P8)*Calculation!I8/Calculation!K7</f>
        <v>120421560.07352883</v>
      </c>
      <c r="S8" s="49">
        <f t="shared" si="1"/>
        <v>9.2857113171391781</v>
      </c>
      <c r="T8" s="49">
        <f t="shared" si="2"/>
        <v>21.38114045669078</v>
      </c>
      <c r="U8" s="49">
        <f t="shared" si="3"/>
        <v>9.2520634435388764</v>
      </c>
      <c r="V8" s="49">
        <f t="shared" si="4"/>
        <v>9.3063294262859966</v>
      </c>
      <c r="W8" s="49">
        <f t="shared" si="5"/>
        <v>9.2828570130440866</v>
      </c>
      <c r="X8" s="49">
        <f xml:space="preserve"> STDEV(U8:W8)*Calculation!I8/Calculation!K7</f>
        <v>2.7513074955985491E-2</v>
      </c>
    </row>
    <row r="9" spans="1:24">
      <c r="A9" s="65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3</v>
      </c>
      <c r="F9" s="32">
        <v>23181</v>
      </c>
      <c r="G9" s="32">
        <v>7</v>
      </c>
      <c r="H9" s="44">
        <f>('Flow cytometer'!F9/'Flow cytometer'!G9)*POWER(10,'Flow cytometer'!E9+2)*10.2</f>
        <v>3377802857.1428571</v>
      </c>
      <c r="I9" s="32">
        <v>3</v>
      </c>
      <c r="J9" s="32">
        <v>22032</v>
      </c>
      <c r="K9" s="32">
        <v>7</v>
      </c>
      <c r="L9" s="44">
        <f>('Flow cytometer'!J9/'Flow cytometer'!K9)*POWER(10,'Flow cytometer'!I9+2)*10.2</f>
        <v>3210377142.8571424</v>
      </c>
      <c r="M9" s="32">
        <v>3</v>
      </c>
      <c r="N9" s="32">
        <v>23935</v>
      </c>
      <c r="O9" s="32">
        <v>7</v>
      </c>
      <c r="P9" s="44">
        <f>('Flow cytometer'!N9/'Flow cytometer'!O9)*POWER(10,'Flow cytometer'!M9+2)*10.2</f>
        <v>3487671428.5714283</v>
      </c>
      <c r="Q9" s="47">
        <f>AVERAGE(H9,L9,P9)*Calculation!I9/Calculation!K8</f>
        <v>3424756747.4511065</v>
      </c>
      <c r="R9" s="48">
        <f>STDEV(H9,L9,P9)*Calculation!I9/Calculation!K8</f>
        <v>142389020.06702137</v>
      </c>
      <c r="S9" s="49">
        <f t="shared" si="1"/>
        <v>9.5346297299915381</v>
      </c>
      <c r="T9" s="49">
        <f t="shared" si="2"/>
        <v>21.954296283496358</v>
      </c>
      <c r="U9" s="49">
        <f t="shared" si="3"/>
        <v>9.5286342987123511</v>
      </c>
      <c r="V9" s="49">
        <f t="shared" si="4"/>
        <v>9.5065560546605088</v>
      </c>
      <c r="W9" s="49">
        <f t="shared" si="5"/>
        <v>9.5425355635656288</v>
      </c>
      <c r="X9" s="49">
        <f xml:space="preserve"> STDEV(U9:W9)*Calculation!I9/Calculation!K8</f>
        <v>1.8501257221627015E-2</v>
      </c>
    </row>
    <row r="10" spans="1:24">
      <c r="A10" s="65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4</v>
      </c>
      <c r="F10" s="32">
        <v>4623</v>
      </c>
      <c r="G10" s="32">
        <v>7</v>
      </c>
      <c r="H10" s="44">
        <f>('Flow cytometer'!F10/'Flow cytometer'!G10)*POWER(10,'Flow cytometer'!E10+2)*10.2</f>
        <v>6736371428.5714283</v>
      </c>
      <c r="I10" s="32">
        <v>4</v>
      </c>
      <c r="J10" s="32">
        <v>4844</v>
      </c>
      <c r="K10" s="32">
        <v>7</v>
      </c>
      <c r="L10" s="44">
        <f>('Flow cytometer'!J10/'Flow cytometer'!K10)*POWER(10,'Flow cytometer'!I10+2)*10.2</f>
        <v>7058399999.999999</v>
      </c>
      <c r="M10" s="32">
        <v>4</v>
      </c>
      <c r="N10" s="32">
        <v>4646</v>
      </c>
      <c r="O10" s="32">
        <v>7</v>
      </c>
      <c r="P10" s="44">
        <f>('Flow cytometer'!N10/'Flow cytometer'!O10)*POWER(10,'Flow cytometer'!M10+2)*10.2</f>
        <v>6769885714.2857132</v>
      </c>
      <c r="Q10" s="47">
        <f>AVERAGE(H10,L10,P10)*Calculation!I10/Calculation!K9</f>
        <v>7051915941.931736</v>
      </c>
      <c r="R10" s="48">
        <f>STDEV(H10,L10,P10)*Calculation!I10/Calculation!K9</f>
        <v>182132120.44791541</v>
      </c>
      <c r="S10" s="49">
        <f t="shared" si="1"/>
        <v>9.8483071269153193</v>
      </c>
      <c r="T10" s="49">
        <f t="shared" si="2"/>
        <v>22.676565181662234</v>
      </c>
      <c r="U10" s="49">
        <f t="shared" si="3"/>
        <v>9.8284260251857418</v>
      </c>
      <c r="V10" s="49">
        <f t="shared" si="4"/>
        <v>9.8487062662186755</v>
      </c>
      <c r="W10" s="49">
        <f t="shared" si="5"/>
        <v>9.8305813372118767</v>
      </c>
      <c r="X10" s="49">
        <f xml:space="preserve"> STDEV(U10:W10)*Calculation!I10/Calculation!K9</f>
        <v>1.145903531614131E-2</v>
      </c>
    </row>
    <row r="11" spans="1:24">
      <c r="A11" s="65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4</v>
      </c>
      <c r="F11" s="32">
        <v>6196</v>
      </c>
      <c r="G11" s="32">
        <v>7</v>
      </c>
      <c r="H11" s="44">
        <f>('Flow cytometer'!F11/'Flow cytometer'!G11)*POWER(10,'Flow cytometer'!E11+2)*10.2</f>
        <v>9028457142.8571415</v>
      </c>
      <c r="I11" s="32">
        <v>4</v>
      </c>
      <c r="J11" s="32">
        <v>6041</v>
      </c>
      <c r="K11" s="32">
        <v>7</v>
      </c>
      <c r="L11" s="44">
        <f>('Flow cytometer'!J11/'Flow cytometer'!K11)*POWER(10,'Flow cytometer'!I11+2)*10.2</f>
        <v>8802600000</v>
      </c>
      <c r="M11" s="32">
        <v>4</v>
      </c>
      <c r="N11" s="32">
        <v>6045</v>
      </c>
      <c r="O11" s="32">
        <v>7</v>
      </c>
      <c r="P11" s="44">
        <f>('Flow cytometer'!N11/'Flow cytometer'!O11)*POWER(10,'Flow cytometer'!M11+2)*10.2</f>
        <v>8808428571.4285698</v>
      </c>
      <c r="Q11" s="47">
        <f>AVERAGE(H11,L11,P11)*Calculation!I11/Calculation!K10</f>
        <v>9225301776.9824562</v>
      </c>
      <c r="R11" s="48">
        <f>STDEV(H11,L11,P11)*Calculation!I11/Calculation!K10</f>
        <v>133758140.14751795</v>
      </c>
      <c r="S11" s="49">
        <f t="shared" si="1"/>
        <v>9.9649805816532773</v>
      </c>
      <c r="T11" s="49">
        <f t="shared" si="2"/>
        <v>22.945215739289974</v>
      </c>
      <c r="U11" s="49">
        <f t="shared" si="3"/>
        <v>9.955613540834829</v>
      </c>
      <c r="V11" s="49">
        <f t="shared" si="4"/>
        <v>9.9446109674771268</v>
      </c>
      <c r="W11" s="49">
        <f t="shared" si="5"/>
        <v>9.9448984369444506</v>
      </c>
      <c r="X11" s="49">
        <f xml:space="preserve"> STDEV(U11:W11)*Calculation!I11/Calculation!K10</f>
        <v>6.5149766004615585E-3</v>
      </c>
    </row>
    <row r="12" spans="1:24">
      <c r="A12" s="65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4</v>
      </c>
      <c r="F12" s="32">
        <v>6843</v>
      </c>
      <c r="G12" s="32">
        <v>7</v>
      </c>
      <c r="H12" s="44">
        <f>('Flow cytometer'!F12/'Flow cytometer'!G12)*POWER(10,'Flow cytometer'!E12+2)*10.2</f>
        <v>9971228571.4285698</v>
      </c>
      <c r="I12" s="32">
        <v>4</v>
      </c>
      <c r="J12" s="32">
        <v>7251</v>
      </c>
      <c r="K12" s="32">
        <v>7</v>
      </c>
      <c r="L12" s="44">
        <f>('Flow cytometer'!J12/'Flow cytometer'!K12)*POWER(10,'Flow cytometer'!I12+2)*10.2</f>
        <v>10565742857.142857</v>
      </c>
      <c r="M12" s="32">
        <v>4</v>
      </c>
      <c r="N12" s="32">
        <v>6443</v>
      </c>
      <c r="O12" s="32">
        <v>7</v>
      </c>
      <c r="P12" s="44">
        <f>('Flow cytometer'!N12/'Flow cytometer'!O12)*POWER(10,'Flow cytometer'!M12+2)*10.2</f>
        <v>9388371428.5714283</v>
      </c>
      <c r="Q12" s="47">
        <f>AVERAGE(H12,L12,P12)*Calculation!I12/Calculation!K11</f>
        <v>10436009378.361456</v>
      </c>
      <c r="R12" s="48">
        <f>STDEV(H12,L12,P12)*Calculation!I12/Calculation!K11</f>
        <v>615895701.34571671</v>
      </c>
      <c r="S12" s="49">
        <f t="shared" si="1"/>
        <v>10.018534460708826</v>
      </c>
      <c r="T12" s="49">
        <f t="shared" si="2"/>
        <v>23.068528102875288</v>
      </c>
      <c r="U12" s="49">
        <f t="shared" si="3"/>
        <v>9.9987486717439715</v>
      </c>
      <c r="V12" s="49">
        <f t="shared" si="4"/>
        <v>10.023900036874974</v>
      </c>
      <c r="W12" s="49">
        <f t="shared" si="5"/>
        <v>9.9725902630940073</v>
      </c>
      <c r="X12" s="49">
        <f xml:space="preserve"> STDEV(U12:W12)*Calculation!I12/Calculation!K11</f>
        <v>2.6841981046899797E-2</v>
      </c>
    </row>
    <row r="13" spans="1:24">
      <c r="A13" s="65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4</v>
      </c>
      <c r="F13" s="32">
        <v>6436</v>
      </c>
      <c r="G13" s="32">
        <v>7</v>
      </c>
      <c r="H13" s="44">
        <f>('Flow cytometer'!F13/'Flow cytometer'!G13)*POWER(10,'Flow cytometer'!E13+2)*10.2</f>
        <v>9378171428.5714283</v>
      </c>
      <c r="I13" s="32">
        <v>4</v>
      </c>
      <c r="J13" s="32">
        <v>7120</v>
      </c>
      <c r="K13" s="32">
        <v>7</v>
      </c>
      <c r="L13" s="44">
        <f>('Flow cytometer'!J13/'Flow cytometer'!K13)*POWER(10,'Flow cytometer'!I13+2)*10.2</f>
        <v>10374857142.857141</v>
      </c>
      <c r="M13" s="32">
        <v>4</v>
      </c>
      <c r="N13" s="32">
        <v>7318</v>
      </c>
      <c r="O13" s="32">
        <v>7</v>
      </c>
      <c r="P13" s="44">
        <f>('Flow cytometer'!N13/'Flow cytometer'!O13)*POWER(10,'Flow cytometer'!M13+2)*10.2</f>
        <v>10663371428.571426</v>
      </c>
      <c r="Q13" s="47">
        <f>AVERAGE(H13,L13,P13)*Calculation!I13/Calculation!K12</f>
        <v>10667283012.406803</v>
      </c>
      <c r="R13" s="48">
        <f>STDEV(H13,L13,P13)*Calculation!I13/Calculation!K12</f>
        <v>709484035.9808948</v>
      </c>
      <c r="S13" s="49">
        <f t="shared" si="1"/>
        <v>10.028053817458435</v>
      </c>
      <c r="T13" s="49">
        <f t="shared" si="2"/>
        <v>23.090447231821827</v>
      </c>
      <c r="U13" s="49">
        <f t="shared" si="3"/>
        <v>9.9721181671746528</v>
      </c>
      <c r="V13" s="49">
        <f t="shared" si="4"/>
        <v>10.015982125384516</v>
      </c>
      <c r="W13" s="49">
        <f t="shared" si="5"/>
        <v>10.02789453689825</v>
      </c>
      <c r="X13" s="49">
        <f xml:space="preserve"> STDEV(U13:W13)*Calculation!I13/Calculation!K12</f>
        <v>3.0905008297702895E-2</v>
      </c>
    </row>
    <row r="14" spans="1:24">
      <c r="A14" s="65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4</v>
      </c>
      <c r="F14" s="32">
        <v>6717</v>
      </c>
      <c r="G14" s="32">
        <v>7</v>
      </c>
      <c r="H14" s="44">
        <f>('Flow cytometer'!F14/'Flow cytometer'!G14)*POWER(10,'Flow cytometer'!E14+2)*10.2</f>
        <v>9787628571.4285698</v>
      </c>
      <c r="I14" s="32">
        <v>4</v>
      </c>
      <c r="J14" s="32">
        <v>7776</v>
      </c>
      <c r="K14" s="32">
        <v>7</v>
      </c>
      <c r="L14" s="44">
        <f>('Flow cytometer'!J14/'Flow cytometer'!K14)*POWER(10,'Flow cytometer'!I14+2)*10.2</f>
        <v>11330742857.142857</v>
      </c>
      <c r="M14" s="32">
        <v>4</v>
      </c>
      <c r="N14" s="32">
        <v>6949</v>
      </c>
      <c r="O14" s="32">
        <v>7</v>
      </c>
      <c r="P14" s="44">
        <f>('Flow cytometer'!N14/'Flow cytometer'!O14)*POWER(10,'Flow cytometer'!M14+2)*10.2</f>
        <v>10125685714.285713</v>
      </c>
      <c r="Q14" s="47">
        <f>AVERAGE(H14,L14,P14)*Calculation!I14/Calculation!K13</f>
        <v>10966688123.595699</v>
      </c>
      <c r="R14" s="48">
        <f>STDEV(H14,L14,P14)*Calculation!I14/Calculation!K13</f>
        <v>854127799.5130955</v>
      </c>
      <c r="S14" s="49">
        <f t="shared" si="1"/>
        <v>10.040075492952205</v>
      </c>
      <c r="T14" s="49">
        <f t="shared" si="2"/>
        <v>23.118128162606592</v>
      </c>
      <c r="U14" s="49">
        <f t="shared" si="3"/>
        <v>9.9906774800463527</v>
      </c>
      <c r="V14" s="49">
        <f t="shared" si="4"/>
        <v>10.054258383665879</v>
      </c>
      <c r="W14" s="49">
        <f t="shared" si="5"/>
        <v>10.005424443427112</v>
      </c>
      <c r="X14" s="49">
        <f xml:space="preserve"> STDEV(U14:W14)*Calculation!I14/Calculation!K13</f>
        <v>3.5042354750412466E-2</v>
      </c>
    </row>
    <row r="15" spans="1:24">
      <c r="A15" s="65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4</v>
      </c>
      <c r="F15" s="32">
        <v>6862</v>
      </c>
      <c r="G15" s="32">
        <v>7</v>
      </c>
      <c r="H15" s="44">
        <f>('Flow cytometer'!F15/'Flow cytometer'!G15)*POWER(10,'Flow cytometer'!E15+2)*10.2</f>
        <v>9998914285.7142868</v>
      </c>
      <c r="I15" s="32">
        <v>4</v>
      </c>
      <c r="J15" s="32">
        <v>7257</v>
      </c>
      <c r="K15" s="32">
        <v>7</v>
      </c>
      <c r="L15" s="44">
        <f>('Flow cytometer'!J15/'Flow cytometer'!K15)*POWER(10,'Flow cytometer'!I15+2)*10.2</f>
        <v>10574485714.285713</v>
      </c>
      <c r="M15" s="32">
        <v>4</v>
      </c>
      <c r="N15" s="32">
        <v>7994</v>
      </c>
      <c r="O15" s="32">
        <v>7</v>
      </c>
      <c r="P15" s="44">
        <f>('Flow cytometer'!N15/'Flow cytometer'!O15)*POWER(10,'Flow cytometer'!M15+2)*10.2</f>
        <v>11648400000</v>
      </c>
      <c r="Q15" s="47">
        <f>AVERAGE(H15,L15,P15)*Calculation!I15/Calculation!K14</f>
        <v>11319643352.413851</v>
      </c>
      <c r="R15" s="48">
        <f>STDEV(H15,L15,P15)*Calculation!I15/Calculation!K14</f>
        <v>882330045.3415935</v>
      </c>
      <c r="S15" s="49">
        <f t="shared" si="1"/>
        <v>10.053832743767563</v>
      </c>
      <c r="T15" s="49">
        <f t="shared" si="2"/>
        <v>23.149805403254618</v>
      </c>
      <c r="U15" s="49">
        <f t="shared" si="3"/>
        <v>9.9999528454678153</v>
      </c>
      <c r="V15" s="49">
        <f t="shared" si="4"/>
        <v>10.024259254829202</v>
      </c>
      <c r="W15" s="49">
        <f t="shared" si="5"/>
        <v>10.066266275671747</v>
      </c>
      <c r="X15" s="49">
        <f xml:space="preserve"> STDEV(U15:W15)*Calculation!I15/Calculation!K14</f>
        <v>3.5356765211944523E-2</v>
      </c>
    </row>
    <row r="16" spans="1:24">
      <c r="A16" s="65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4</v>
      </c>
      <c r="F16" s="32">
        <v>7883</v>
      </c>
      <c r="G16" s="32">
        <v>7</v>
      </c>
      <c r="H16" s="44">
        <f>('Flow cytometer'!F16/'Flow cytometer'!G16)*POWER(10,'Flow cytometer'!E16+2)*10.2</f>
        <v>11486657142.857141</v>
      </c>
      <c r="I16" s="32">
        <v>4</v>
      </c>
      <c r="J16" s="32">
        <v>7557</v>
      </c>
      <c r="K16" s="32">
        <v>7</v>
      </c>
      <c r="L16" s="44">
        <f>('Flow cytometer'!J16/'Flow cytometer'!K16)*POWER(10,'Flow cytometer'!I16+2)*10.2</f>
        <v>11011628571.428574</v>
      </c>
      <c r="M16" s="32">
        <v>4</v>
      </c>
      <c r="N16" s="32">
        <v>6989</v>
      </c>
      <c r="O16" s="32">
        <v>7</v>
      </c>
      <c r="P16" s="44">
        <f>('Flow cytometer'!N16/'Flow cytometer'!O16)*POWER(10,'Flow cytometer'!M16+2)*10.2</f>
        <v>10183971428.571428</v>
      </c>
      <c r="Q16" s="47">
        <f>AVERAGE(H16,L16,P16)*Calculation!I16/Calculation!K15</f>
        <v>11491738029.946045</v>
      </c>
      <c r="R16" s="48">
        <f>STDEV(H16,L16,P16)*Calculation!I16/Calculation!K15</f>
        <v>695415980.79236972</v>
      </c>
      <c r="S16" s="49">
        <f t="shared" si="1"/>
        <v>10.060385717089694</v>
      </c>
      <c r="T16" s="49">
        <f t="shared" si="2"/>
        <v>23.164894181940941</v>
      </c>
      <c r="U16" s="49">
        <f t="shared" si="3"/>
        <v>10.060193658310546</v>
      </c>
      <c r="V16" s="49">
        <f t="shared" si="4"/>
        <v>10.041851553965436</v>
      </c>
      <c r="W16" s="49">
        <f t="shared" si="5"/>
        <v>10.007917172221486</v>
      </c>
      <c r="X16" s="49">
        <f xml:space="preserve"> STDEV(U16:W16)*Calculation!I16/Calculation!K15</f>
        <v>2.7978021677052434E-2</v>
      </c>
    </row>
    <row r="17" spans="1:24">
      <c r="A17" s="65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4</v>
      </c>
      <c r="F17" s="32">
        <v>10471</v>
      </c>
      <c r="G17" s="32">
        <v>7</v>
      </c>
      <c r="H17" s="44">
        <f>('Flow cytometer'!F17/'Flow cytometer'!G17)*POWER(10,'Flow cytometer'!E17+2)*10.2</f>
        <v>15257742857.142857</v>
      </c>
      <c r="I17" s="32">
        <v>4</v>
      </c>
      <c r="J17" s="32">
        <v>8466</v>
      </c>
      <c r="K17" s="32">
        <v>7</v>
      </c>
      <c r="L17" s="44">
        <f>('Flow cytometer'!J17/'Flow cytometer'!K17)*POWER(10,'Flow cytometer'!I17+2)*10.2</f>
        <v>12336171428.571426</v>
      </c>
      <c r="M17" s="32">
        <v>4</v>
      </c>
      <c r="N17" s="32">
        <v>11838</v>
      </c>
      <c r="O17" s="32">
        <v>7</v>
      </c>
      <c r="P17" s="44">
        <f>('Flow cytometer'!N17/'Flow cytometer'!O17)*POWER(10,'Flow cytometer'!M17+2)*10.2</f>
        <v>17249657142.85714</v>
      </c>
      <c r="Q17" s="47">
        <f>AVERAGE(H17,L17,P17)*Calculation!I17/Calculation!K16</f>
        <v>15782664342.759552</v>
      </c>
      <c r="R17" s="48">
        <f>STDEV(H17,L17,P17)*Calculation!I17/Calculation!K16</f>
        <v>2609377634.0890598</v>
      </c>
      <c r="S17" s="49">
        <f t="shared" si="1"/>
        <v>10.198180320272924</v>
      </c>
      <c r="T17" s="49">
        <f t="shared" si="2"/>
        <v>23.482177981125677</v>
      </c>
      <c r="U17" s="49">
        <f t="shared" si="3"/>
        <v>10.183490291338947</v>
      </c>
      <c r="V17" s="49">
        <f t="shared" si="4"/>
        <v>10.091180395885653</v>
      </c>
      <c r="W17" s="49">
        <f t="shared" si="5"/>
        <v>10.236780467383495</v>
      </c>
      <c r="X17" s="49">
        <f xml:space="preserve"> STDEV(U17:W17)*Calculation!I17/Calculation!K16</f>
        <v>7.7780409493918956E-2</v>
      </c>
    </row>
    <row r="18" spans="1:24">
      <c r="A18" s="65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4</v>
      </c>
      <c r="F18" s="32">
        <v>6718</v>
      </c>
      <c r="G18" s="32">
        <v>7</v>
      </c>
      <c r="H18" s="44">
        <f>('Flow cytometer'!F18/'Flow cytometer'!G18)*POWER(10,'Flow cytometer'!E18+2)*10.2</f>
        <v>9789085714.2857132</v>
      </c>
      <c r="I18" s="32">
        <v>4</v>
      </c>
      <c r="J18" s="32">
        <v>6715</v>
      </c>
      <c r="K18" s="32">
        <v>7</v>
      </c>
      <c r="L18" s="44">
        <f>('Flow cytometer'!J18/'Flow cytometer'!K18)*POWER(10,'Flow cytometer'!I18+2)*10.2</f>
        <v>9784714285.7142868</v>
      </c>
      <c r="M18" s="32">
        <v>4</v>
      </c>
      <c r="N18" s="32">
        <v>6607</v>
      </c>
      <c r="O18" s="32">
        <v>7</v>
      </c>
      <c r="P18" s="44">
        <f>('Flow cytometer'!N18/'Flow cytometer'!O18)*POWER(10,'Flow cytometer'!M18+2)*10.2</f>
        <v>9627342857.1428566</v>
      </c>
      <c r="Q18" s="47">
        <f>AVERAGE(H18,L18,P18)*Calculation!I18/Calculation!K17</f>
        <v>10287398094.675407</v>
      </c>
      <c r="R18" s="48">
        <f>STDEV(H18,L18,P18)*Calculation!I18/Calculation!K17</f>
        <v>97387851.708739266</v>
      </c>
      <c r="S18" s="49">
        <f t="shared" si="1"/>
        <v>10.01230554618977</v>
      </c>
      <c r="T18" s="49">
        <f t="shared" si="2"/>
        <v>23.054185497158169</v>
      </c>
      <c r="U18" s="49">
        <f t="shared" si="3"/>
        <v>9.990742131253306</v>
      </c>
      <c r="V18" s="49">
        <f t="shared" si="4"/>
        <v>9.9905481487523957</v>
      </c>
      <c r="W18" s="49">
        <f t="shared" si="5"/>
        <v>9.9835064385559793</v>
      </c>
      <c r="X18" s="49">
        <f xml:space="preserve"> STDEV(U18:W18)*Calculation!I18/Calculation!K17</f>
        <v>4.3571826481387408E-3</v>
      </c>
    </row>
    <row r="19" spans="1:24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4</v>
      </c>
      <c r="F19" s="32">
        <v>6739</v>
      </c>
      <c r="G19" s="32">
        <v>7</v>
      </c>
      <c r="H19" s="44">
        <f>('Flow cytometer'!F19/'Flow cytometer'!G19)*POWER(10,'Flow cytometer'!E19+2)*10.2</f>
        <v>9819685714.2857132</v>
      </c>
      <c r="I19" s="32">
        <v>4</v>
      </c>
      <c r="J19" s="32">
        <v>5375</v>
      </c>
      <c r="K19" s="32">
        <v>7</v>
      </c>
      <c r="L19" s="44">
        <f>('Flow cytometer'!J19/'Flow cytometer'!K19)*POWER(10,'Flow cytometer'!I19+2)*10.2</f>
        <v>7832142857.1428576</v>
      </c>
      <c r="M19" s="32">
        <v>4</v>
      </c>
      <c r="N19" s="32">
        <v>5016</v>
      </c>
      <c r="O19" s="32">
        <v>7</v>
      </c>
      <c r="P19" s="44">
        <f>('Flow cytometer'!N19/'Flow cytometer'!O19)*POWER(10,'Flow cytometer'!M19+2)*10.2</f>
        <v>7309028571.4285707</v>
      </c>
      <c r="Q19" s="47">
        <f>AVERAGE(H19,L19,P19)*Calculation!I19/Calculation!K18</f>
        <v>8793569329.430624</v>
      </c>
      <c r="R19" s="48">
        <f>STDEV(H19,L19,P19)*Calculation!I19/Calculation!K18</f>
        <v>1399946252.1120205</v>
      </c>
      <c r="S19" s="49">
        <f t="shared" si="1"/>
        <v>9.9441651919600726</v>
      </c>
      <c r="T19" s="49">
        <f t="shared" si="2"/>
        <v>22.897286533277537</v>
      </c>
      <c r="U19" s="49">
        <f t="shared" si="3"/>
        <v>9.9920975881193623</v>
      </c>
      <c r="V19" s="49">
        <f t="shared" si="4"/>
        <v>9.8938806003353044</v>
      </c>
      <c r="W19" s="49">
        <f t="shared" si="5"/>
        <v>9.8638596595703198</v>
      </c>
      <c r="X19" s="49">
        <f xml:space="preserve"> STDEV(U19:W19)*Calculation!I19/Calculation!K18</f>
        <v>7.0888419619493548E-2</v>
      </c>
    </row>
    <row r="20" spans="1:24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4</v>
      </c>
      <c r="F20" s="32">
        <v>7243</v>
      </c>
      <c r="G20" s="32">
        <v>7</v>
      </c>
      <c r="H20" s="44">
        <f>('Flow cytometer'!F20/'Flow cytometer'!G20)*POWER(10,'Flow cytometer'!E20+2)*10.2</f>
        <v>10554085714.285713</v>
      </c>
      <c r="I20" s="32">
        <v>4</v>
      </c>
      <c r="J20" s="32">
        <v>7528</v>
      </c>
      <c r="K20" s="32">
        <v>7</v>
      </c>
      <c r="L20" s="44">
        <f>('Flow cytometer'!J20/'Flow cytometer'!K20)*POWER(10,'Flow cytometer'!I20+2)*10.2</f>
        <v>10969371428.571426</v>
      </c>
      <c r="M20" s="32">
        <v>4</v>
      </c>
      <c r="N20" s="32">
        <v>6564</v>
      </c>
      <c r="O20" s="32">
        <v>7</v>
      </c>
      <c r="P20" s="44">
        <f>('Flow cytometer'!N20/'Flow cytometer'!O20)*POWER(10,'Flow cytometer'!M20+2)*10.2</f>
        <v>9564685714.2857132</v>
      </c>
      <c r="Q20" s="47">
        <f>AVERAGE(H20,L20,P20)*Calculation!I20/Calculation!K19</f>
        <v>10952177562.370251</v>
      </c>
      <c r="R20" s="48">
        <f>STDEV(H20,L20,P20)*Calculation!I20/Calculation!K19</f>
        <v>762680672.43653655</v>
      </c>
      <c r="S20" s="49">
        <f t="shared" ref="S20" si="7">LOG(Q20)</f>
        <v>10.039500476189893</v>
      </c>
      <c r="T20" s="49">
        <f t="shared" ref="T20" si="8">LN(Q20)</f>
        <v>23.116804137581472</v>
      </c>
      <c r="U20" s="49">
        <f t="shared" si="3"/>
        <v>10.023420616948377</v>
      </c>
      <c r="V20" s="49">
        <f t="shared" si="4"/>
        <v>10.040181742166862</v>
      </c>
      <c r="W20" s="49">
        <f t="shared" si="5"/>
        <v>9.9806707041287162</v>
      </c>
      <c r="X20" s="49">
        <f xml:space="preserve"> STDEV(U20:W20)*Calculation!I20/Calculation!K19</f>
        <v>3.2432290886133128E-2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36" workbookViewId="0">
      <selection activeCell="M41" sqref="M41"/>
    </sheetView>
  </sheetViews>
  <sheetFormatPr baseColWidth="10" defaultColWidth="8.83203125" defaultRowHeight="14" x14ac:dyDescent="0"/>
  <cols>
    <col min="1" max="2" width="8.83203125" style="84"/>
    <col min="3" max="3" width="9.83203125" style="84" customWidth="1"/>
    <col min="4" max="17" width="8.83203125" style="84"/>
    <col min="18" max="18" width="13.83203125" style="84" bestFit="1" customWidth="1"/>
    <col min="19" max="16384" width="8.83203125" style="84"/>
  </cols>
  <sheetData>
    <row r="1" spans="2:18">
      <c r="B1" s="142" t="s">
        <v>4</v>
      </c>
      <c r="C1" s="144" t="s">
        <v>186</v>
      </c>
      <c r="D1" s="145" t="s">
        <v>18</v>
      </c>
      <c r="E1" s="145"/>
      <c r="F1" s="145"/>
      <c r="G1" s="145"/>
      <c r="H1" s="145" t="s">
        <v>20</v>
      </c>
      <c r="I1" s="145"/>
      <c r="J1" s="145"/>
      <c r="K1" s="145"/>
      <c r="L1" s="145" t="s">
        <v>21</v>
      </c>
      <c r="M1" s="145"/>
      <c r="N1" s="145"/>
      <c r="O1" s="145"/>
      <c r="P1" s="83" t="s">
        <v>22</v>
      </c>
      <c r="Q1" s="83" t="s">
        <v>22</v>
      </c>
      <c r="R1" s="83" t="s">
        <v>22</v>
      </c>
    </row>
    <row r="2" spans="2:18">
      <c r="B2" s="143"/>
      <c r="C2" s="143"/>
      <c r="D2" s="85" t="s">
        <v>19</v>
      </c>
      <c r="E2" s="85" t="s">
        <v>68</v>
      </c>
      <c r="F2" s="85" t="s">
        <v>69</v>
      </c>
      <c r="G2" s="85" t="s">
        <v>70</v>
      </c>
      <c r="H2" s="85" t="s">
        <v>19</v>
      </c>
      <c r="I2" s="85" t="s">
        <v>68</v>
      </c>
      <c r="J2" s="85" t="s">
        <v>69</v>
      </c>
      <c r="K2" s="85" t="s">
        <v>70</v>
      </c>
      <c r="L2" s="85" t="s">
        <v>19</v>
      </c>
      <c r="M2" s="85" t="s">
        <v>68</v>
      </c>
      <c r="N2" s="85" t="s">
        <v>69</v>
      </c>
      <c r="O2" s="85" t="s">
        <v>71</v>
      </c>
      <c r="P2" s="86" t="s">
        <v>70</v>
      </c>
      <c r="Q2" s="86" t="s">
        <v>23</v>
      </c>
      <c r="R2" s="86" t="s">
        <v>72</v>
      </c>
    </row>
    <row r="3" spans="2:18"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39"/>
      <c r="Q3" s="140"/>
      <c r="R3" s="141"/>
    </row>
    <row r="4" spans="2:18">
      <c r="B4" s="90" t="s">
        <v>187</v>
      </c>
      <c r="C4" s="91">
        <v>500</v>
      </c>
      <c r="D4" s="91">
        <v>3</v>
      </c>
      <c r="E4" s="91">
        <v>14133</v>
      </c>
      <c r="F4" s="91">
        <v>7</v>
      </c>
      <c r="G4" s="89">
        <f>(E4/F4)*(10.2)*POWER(10,D4+2)</f>
        <v>2059380000</v>
      </c>
      <c r="H4" s="91">
        <v>3</v>
      </c>
      <c r="I4" s="91">
        <v>15082</v>
      </c>
      <c r="J4" s="91">
        <v>7</v>
      </c>
      <c r="K4" s="89">
        <f t="shared" ref="K4:K18" si="0">(I4/J4)*(10.2)*POWER(10,H4+2)</f>
        <v>2197662857.1428571</v>
      </c>
      <c r="L4" s="91">
        <v>3</v>
      </c>
      <c r="M4" s="91">
        <v>15922</v>
      </c>
      <c r="N4" s="91">
        <v>7</v>
      </c>
      <c r="O4" s="89">
        <f t="shared" ref="O4:O19" si="1">(M4/N4)*(10.2)*POWER(10,L4+2)</f>
        <v>2320062857.1428571</v>
      </c>
      <c r="P4" s="92">
        <f t="shared" ref="P4:P19" si="2">AVERAGE(O4,K4,G4)</f>
        <v>2192368571.4285712</v>
      </c>
      <c r="Q4" s="92">
        <f t="shared" ref="Q4:Q19" si="3">STDEV(O4,K4,G4)</f>
        <v>130422046.05801573</v>
      </c>
      <c r="R4" s="93">
        <f>LOG(P4)</f>
        <v>9.3409135676416426</v>
      </c>
    </row>
    <row r="5" spans="2:18">
      <c r="B5" s="90" t="s">
        <v>188</v>
      </c>
      <c r="C5" s="91">
        <v>500</v>
      </c>
      <c r="D5" s="91">
        <v>2</v>
      </c>
      <c r="E5" s="91">
        <v>16544</v>
      </c>
      <c r="F5" s="91">
        <v>7</v>
      </c>
      <c r="G5" s="89">
        <f t="shared" ref="G5:G19" si="4">(E5/F5)*(10.2)*POWER(10,D5+2)</f>
        <v>241069714.2857143</v>
      </c>
      <c r="H5" s="91">
        <v>2</v>
      </c>
      <c r="I5" s="91">
        <v>15924</v>
      </c>
      <c r="J5" s="91">
        <v>7</v>
      </c>
      <c r="K5" s="89">
        <f t="shared" si="0"/>
        <v>232035428.57142854</v>
      </c>
      <c r="L5" s="91">
        <v>2</v>
      </c>
      <c r="M5" s="91">
        <v>15173</v>
      </c>
      <c r="N5" s="91">
        <v>7</v>
      </c>
      <c r="O5" s="89">
        <f t="shared" si="1"/>
        <v>221092285.71428567</v>
      </c>
      <c r="P5" s="92">
        <f t="shared" si="2"/>
        <v>231399142.85714284</v>
      </c>
      <c r="Q5" s="92">
        <f t="shared" si="3"/>
        <v>10003902.124385577</v>
      </c>
      <c r="R5" s="93">
        <f t="shared" ref="R5:R19" si="5">LOG(P5)</f>
        <v>8.3643617459160655</v>
      </c>
    </row>
    <row r="6" spans="2:18">
      <c r="B6" s="90" t="s">
        <v>189</v>
      </c>
      <c r="C6" s="91">
        <v>500</v>
      </c>
      <c r="D6" s="91">
        <v>1</v>
      </c>
      <c r="E6" s="91">
        <v>18107</v>
      </c>
      <c r="F6" s="91">
        <v>7</v>
      </c>
      <c r="G6" s="89">
        <f t="shared" si="4"/>
        <v>26384485.714285713</v>
      </c>
      <c r="H6" s="91">
        <v>1</v>
      </c>
      <c r="I6" s="91">
        <v>18423</v>
      </c>
      <c r="J6" s="91">
        <v>7</v>
      </c>
      <c r="K6" s="89">
        <f t="shared" si="0"/>
        <v>26844942.857142854</v>
      </c>
      <c r="L6" s="91">
        <v>1</v>
      </c>
      <c r="M6" s="91">
        <v>17005</v>
      </c>
      <c r="N6" s="91">
        <v>7</v>
      </c>
      <c r="O6" s="89">
        <f t="shared" si="1"/>
        <v>24778714.285714284</v>
      </c>
      <c r="P6" s="92">
        <f t="shared" si="2"/>
        <v>26002714.285714284</v>
      </c>
      <c r="Q6" s="92">
        <f t="shared" si="3"/>
        <v>1084729.0883451225</v>
      </c>
      <c r="R6" s="93">
        <f t="shared" si="5"/>
        <v>7.4150186840393397</v>
      </c>
    </row>
    <row r="7" spans="2:18">
      <c r="B7" s="90" t="s">
        <v>190</v>
      </c>
      <c r="C7" s="91">
        <v>500</v>
      </c>
      <c r="D7" s="91">
        <v>1</v>
      </c>
      <c r="E7" s="91">
        <v>1825</v>
      </c>
      <c r="F7" s="91">
        <v>7</v>
      </c>
      <c r="G7" s="89">
        <f t="shared" si="4"/>
        <v>2659285.7142857141</v>
      </c>
      <c r="H7" s="91">
        <v>1</v>
      </c>
      <c r="I7" s="91">
        <v>1808</v>
      </c>
      <c r="J7" s="91">
        <v>7</v>
      </c>
      <c r="K7" s="89">
        <f t="shared" si="0"/>
        <v>2634514.2857142854</v>
      </c>
      <c r="L7" s="91">
        <v>1</v>
      </c>
      <c r="M7" s="91">
        <v>1822</v>
      </c>
      <c r="N7" s="91">
        <v>7</v>
      </c>
      <c r="O7" s="89">
        <f t="shared" si="1"/>
        <v>2654914.2857142854</v>
      </c>
      <c r="P7" s="92">
        <f t="shared" si="2"/>
        <v>2649571.4285714286</v>
      </c>
      <c r="Q7" s="92">
        <f t="shared" si="3"/>
        <v>13221.78165770719</v>
      </c>
      <c r="R7" s="93">
        <f t="shared" si="5"/>
        <v>6.4231756319523594</v>
      </c>
    </row>
    <row r="8" spans="2:18">
      <c r="B8" s="90" t="s">
        <v>191</v>
      </c>
      <c r="C8" s="91">
        <v>500</v>
      </c>
      <c r="D8" s="91">
        <v>0</v>
      </c>
      <c r="E8" s="91">
        <v>2306</v>
      </c>
      <c r="F8" s="91">
        <v>7</v>
      </c>
      <c r="G8" s="89">
        <f t="shared" si="4"/>
        <v>336017.14285714284</v>
      </c>
      <c r="H8" s="91">
        <v>0</v>
      </c>
      <c r="I8" s="91">
        <v>2052</v>
      </c>
      <c r="J8" s="91">
        <v>7</v>
      </c>
      <c r="K8" s="89">
        <f t="shared" si="0"/>
        <v>299005.71428571432</v>
      </c>
      <c r="L8" s="91">
        <v>0</v>
      </c>
      <c r="M8" s="91">
        <v>2049</v>
      </c>
      <c r="N8" s="91">
        <v>7</v>
      </c>
      <c r="O8" s="89">
        <f t="shared" si="1"/>
        <v>298568.57142857142</v>
      </c>
      <c r="P8" s="92">
        <f t="shared" si="2"/>
        <v>311197.14285714284</v>
      </c>
      <c r="Q8" s="92">
        <f t="shared" si="3"/>
        <v>21495.861775453133</v>
      </c>
      <c r="R8" s="93">
        <f t="shared" si="5"/>
        <v>5.4930356010198587</v>
      </c>
    </row>
    <row r="9" spans="2:18">
      <c r="B9" s="90" t="s">
        <v>192</v>
      </c>
      <c r="C9" s="91">
        <v>1000</v>
      </c>
      <c r="D9" s="91">
        <v>3</v>
      </c>
      <c r="E9" s="91">
        <v>13995</v>
      </c>
      <c r="F9" s="91">
        <v>7</v>
      </c>
      <c r="G9" s="89">
        <f t="shared" si="4"/>
        <v>2039271428.5714283</v>
      </c>
      <c r="H9" s="91">
        <v>3</v>
      </c>
      <c r="I9" s="91">
        <v>13769</v>
      </c>
      <c r="J9" s="91">
        <v>7</v>
      </c>
      <c r="K9" s="89">
        <f t="shared" si="0"/>
        <v>2006339999.9999998</v>
      </c>
      <c r="L9" s="91">
        <v>3</v>
      </c>
      <c r="M9" s="91">
        <v>15093</v>
      </c>
      <c r="N9" s="91">
        <v>7</v>
      </c>
      <c r="O9" s="89">
        <f t="shared" si="1"/>
        <v>2199265714.2857146</v>
      </c>
      <c r="P9" s="92">
        <f t="shared" si="2"/>
        <v>2081625714.2857141</v>
      </c>
      <c r="Q9" s="92">
        <f t="shared" si="3"/>
        <v>103201244.89045103</v>
      </c>
      <c r="R9" s="93">
        <f t="shared" si="5"/>
        <v>9.3184026440827186</v>
      </c>
    </row>
    <row r="10" spans="2:18">
      <c r="B10" s="90" t="s">
        <v>193</v>
      </c>
      <c r="C10" s="91">
        <v>900</v>
      </c>
      <c r="D10" s="91">
        <v>3</v>
      </c>
      <c r="E10" s="91">
        <v>6387</v>
      </c>
      <c r="F10" s="91">
        <v>7</v>
      </c>
      <c r="G10" s="89">
        <f t="shared" si="4"/>
        <v>930677142.85714281</v>
      </c>
      <c r="H10" s="91">
        <v>3</v>
      </c>
      <c r="I10" s="91">
        <v>7378</v>
      </c>
      <c r="J10" s="91">
        <v>7</v>
      </c>
      <c r="K10" s="89">
        <f t="shared" si="0"/>
        <v>1075080000</v>
      </c>
      <c r="L10" s="91">
        <v>3</v>
      </c>
      <c r="M10" s="91">
        <v>6564</v>
      </c>
      <c r="N10" s="91">
        <v>7</v>
      </c>
      <c r="O10" s="89">
        <f t="shared" si="1"/>
        <v>956468571.42857134</v>
      </c>
      <c r="P10" s="92">
        <f t="shared" si="2"/>
        <v>987408571.42857134</v>
      </c>
      <c r="Q10" s="92">
        <f t="shared" si="3"/>
        <v>77013044.270143658</v>
      </c>
      <c r="R10" s="93">
        <f t="shared" si="5"/>
        <v>8.9944968928936131</v>
      </c>
    </row>
    <row r="11" spans="2:18">
      <c r="B11" s="90" t="s">
        <v>194</v>
      </c>
      <c r="C11" s="91">
        <v>900</v>
      </c>
      <c r="D11" s="91">
        <v>3</v>
      </c>
      <c r="E11" s="91">
        <v>3341</v>
      </c>
      <c r="F11" s="91">
        <v>7</v>
      </c>
      <c r="G11" s="89">
        <f t="shared" si="4"/>
        <v>486831428.5714286</v>
      </c>
      <c r="H11" s="91">
        <v>3</v>
      </c>
      <c r="I11" s="91">
        <v>3712</v>
      </c>
      <c r="J11" s="91">
        <v>7</v>
      </c>
      <c r="K11" s="89">
        <f t="shared" si="0"/>
        <v>540891428.57142866</v>
      </c>
      <c r="L11" s="91">
        <v>3</v>
      </c>
      <c r="M11" s="91">
        <v>3690</v>
      </c>
      <c r="N11" s="91">
        <v>7</v>
      </c>
      <c r="O11" s="89">
        <f t="shared" si="1"/>
        <v>537685714.28571427</v>
      </c>
      <c r="P11" s="92">
        <f t="shared" si="2"/>
        <v>521802857.14285713</v>
      </c>
      <c r="Q11" s="92">
        <f t="shared" si="3"/>
        <v>30328530.516088422</v>
      </c>
      <c r="R11" s="93">
        <f t="shared" si="5"/>
        <v>8.7175064527595634</v>
      </c>
    </row>
    <row r="12" spans="2:18">
      <c r="B12" s="90" t="s">
        <v>195</v>
      </c>
      <c r="C12" s="91">
        <v>900</v>
      </c>
      <c r="D12" s="91">
        <v>2</v>
      </c>
      <c r="E12" s="91">
        <v>19134</v>
      </c>
      <c r="F12" s="91">
        <v>7</v>
      </c>
      <c r="G12" s="89">
        <f>(E12/F12)*(10.2)*POWER(10,D12+2)</f>
        <v>278809714.28571427</v>
      </c>
      <c r="H12" s="91">
        <v>2</v>
      </c>
      <c r="I12" s="91">
        <v>18838</v>
      </c>
      <c r="J12" s="91">
        <v>7</v>
      </c>
      <c r="K12" s="89">
        <f t="shared" si="0"/>
        <v>274496571.42857146</v>
      </c>
      <c r="L12" s="91">
        <v>2</v>
      </c>
      <c r="M12" s="91">
        <v>18096</v>
      </c>
      <c r="N12" s="91">
        <v>7</v>
      </c>
      <c r="O12" s="89">
        <f t="shared" si="1"/>
        <v>263684571.42857143</v>
      </c>
      <c r="P12" s="92">
        <f t="shared" si="2"/>
        <v>272330285.71428573</v>
      </c>
      <c r="Q12" s="92">
        <f t="shared" si="3"/>
        <v>7791795.8109272597</v>
      </c>
      <c r="R12" s="93">
        <f t="shared" si="5"/>
        <v>8.4350959416969342</v>
      </c>
    </row>
    <row r="13" spans="2:18">
      <c r="B13" s="90" t="s">
        <v>196</v>
      </c>
      <c r="C13" s="91">
        <v>900</v>
      </c>
      <c r="D13" s="91">
        <v>2</v>
      </c>
      <c r="E13" s="91">
        <v>9224</v>
      </c>
      <c r="F13" s="91">
        <v>7</v>
      </c>
      <c r="G13" s="89">
        <f t="shared" si="4"/>
        <v>134406857.14285713</v>
      </c>
      <c r="H13" s="91">
        <v>2</v>
      </c>
      <c r="I13" s="91">
        <v>9341</v>
      </c>
      <c r="J13" s="91">
        <v>7</v>
      </c>
      <c r="K13" s="89">
        <f t="shared" si="0"/>
        <v>136111714.28571427</v>
      </c>
      <c r="L13" s="91">
        <v>2</v>
      </c>
      <c r="M13" s="91">
        <v>9173</v>
      </c>
      <c r="N13" s="91">
        <v>7</v>
      </c>
      <c r="O13" s="89">
        <f t="shared" si="1"/>
        <v>133663714.28571427</v>
      </c>
      <c r="P13" s="92">
        <f t="shared" si="2"/>
        <v>134727428.57142857</v>
      </c>
      <c r="Q13" s="92">
        <f t="shared" si="3"/>
        <v>1255089.8496172463</v>
      </c>
      <c r="R13" s="93">
        <f t="shared" si="5"/>
        <v>8.1294560208497231</v>
      </c>
    </row>
    <row r="14" spans="2:18">
      <c r="B14" s="90" t="s">
        <v>197</v>
      </c>
      <c r="C14" s="91">
        <v>900</v>
      </c>
      <c r="D14" s="91">
        <v>2</v>
      </c>
      <c r="E14" s="91">
        <v>4238</v>
      </c>
      <c r="F14" s="91">
        <v>7</v>
      </c>
      <c r="G14" s="89">
        <f t="shared" si="4"/>
        <v>61753714.285714284</v>
      </c>
      <c r="H14" s="91">
        <v>2</v>
      </c>
      <c r="I14" s="91">
        <v>4832</v>
      </c>
      <c r="J14" s="91">
        <v>7</v>
      </c>
      <c r="K14" s="89">
        <f t="shared" si="0"/>
        <v>70409142.857142866</v>
      </c>
      <c r="L14" s="91">
        <v>2</v>
      </c>
      <c r="M14" s="91">
        <v>4770</v>
      </c>
      <c r="N14" s="91">
        <v>7</v>
      </c>
      <c r="O14" s="89">
        <f t="shared" si="1"/>
        <v>69505714.285714284</v>
      </c>
      <c r="P14" s="92">
        <f t="shared" si="2"/>
        <v>67222857.142857134</v>
      </c>
      <c r="Q14" s="92">
        <f t="shared" si="3"/>
        <v>4757907.9950957391</v>
      </c>
      <c r="R14" s="93">
        <f t="shared" si="5"/>
        <v>7.8275169671487372</v>
      </c>
    </row>
    <row r="15" spans="2:18">
      <c r="B15" s="90" t="s">
        <v>198</v>
      </c>
      <c r="C15" s="91">
        <v>900</v>
      </c>
      <c r="D15" s="91">
        <v>1</v>
      </c>
      <c r="E15" s="91">
        <v>22411</v>
      </c>
      <c r="F15" s="91">
        <v>7</v>
      </c>
      <c r="G15" s="89">
        <f t="shared" si="4"/>
        <v>32656028.571428567</v>
      </c>
      <c r="H15" s="91">
        <v>1</v>
      </c>
      <c r="I15" s="91">
        <v>23826</v>
      </c>
      <c r="J15" s="91">
        <v>7</v>
      </c>
      <c r="K15" s="89">
        <f t="shared" si="0"/>
        <v>34717885.714285716</v>
      </c>
      <c r="L15" s="91">
        <v>1</v>
      </c>
      <c r="M15" s="91">
        <v>24471</v>
      </c>
      <c r="N15" s="91">
        <v>7</v>
      </c>
      <c r="O15" s="89">
        <f t="shared" si="1"/>
        <v>35657742.857142851</v>
      </c>
      <c r="P15" s="92">
        <f t="shared" si="2"/>
        <v>34343885.714285709</v>
      </c>
      <c r="Q15" s="92">
        <f t="shared" si="3"/>
        <v>1535408.4678890193</v>
      </c>
      <c r="R15" s="93">
        <f t="shared" si="5"/>
        <v>7.5358494302775298</v>
      </c>
    </row>
    <row r="16" spans="2:18">
      <c r="B16" s="90" t="s">
        <v>199</v>
      </c>
      <c r="C16" s="91">
        <v>900</v>
      </c>
      <c r="D16" s="91">
        <v>1</v>
      </c>
      <c r="E16" s="91">
        <v>12012</v>
      </c>
      <c r="F16" s="91">
        <v>7</v>
      </c>
      <c r="G16" s="89">
        <f t="shared" si="4"/>
        <v>17503199.999999996</v>
      </c>
      <c r="H16" s="91">
        <v>1</v>
      </c>
      <c r="I16" s="91">
        <v>12668</v>
      </c>
      <c r="J16" s="91">
        <v>7</v>
      </c>
      <c r="K16" s="89">
        <f t="shared" si="0"/>
        <v>18459085.714285713</v>
      </c>
      <c r="L16" s="91">
        <v>1</v>
      </c>
      <c r="M16" s="91">
        <v>11470</v>
      </c>
      <c r="N16" s="91">
        <v>7</v>
      </c>
      <c r="O16" s="89">
        <f t="shared" si="1"/>
        <v>16713428.571428573</v>
      </c>
      <c r="P16" s="92">
        <f t="shared" si="2"/>
        <v>17558571.428571429</v>
      </c>
      <c r="Q16" s="92">
        <f t="shared" si="3"/>
        <v>874144.84579420183</v>
      </c>
      <c r="R16" s="93">
        <f t="shared" si="5"/>
        <v>7.2444891786585481</v>
      </c>
    </row>
    <row r="17" spans="2:18">
      <c r="B17" s="90" t="s">
        <v>200</v>
      </c>
      <c r="C17" s="91">
        <v>900</v>
      </c>
      <c r="D17" s="91">
        <v>1</v>
      </c>
      <c r="E17" s="91">
        <v>5750</v>
      </c>
      <c r="F17" s="91">
        <v>7</v>
      </c>
      <c r="G17" s="89">
        <f t="shared" si="4"/>
        <v>8378571.4285714272</v>
      </c>
      <c r="H17" s="91">
        <v>1</v>
      </c>
      <c r="I17" s="91">
        <v>5481</v>
      </c>
      <c r="J17" s="91">
        <v>7</v>
      </c>
      <c r="K17" s="89">
        <f t="shared" si="0"/>
        <v>7986599.9999999991</v>
      </c>
      <c r="L17" s="91">
        <v>1</v>
      </c>
      <c r="M17" s="91">
        <v>5831</v>
      </c>
      <c r="N17" s="91">
        <v>7</v>
      </c>
      <c r="O17" s="89">
        <f t="shared" si="1"/>
        <v>8496599.9999999981</v>
      </c>
      <c r="P17" s="92">
        <f t="shared" si="2"/>
        <v>8287257.1428571418</v>
      </c>
      <c r="Q17" s="92">
        <f t="shared" si="3"/>
        <v>266980.75601367303</v>
      </c>
      <c r="R17" s="93">
        <f t="shared" si="5"/>
        <v>6.9184108146481318</v>
      </c>
    </row>
    <row r="18" spans="2:18">
      <c r="B18" s="90" t="s">
        <v>201</v>
      </c>
      <c r="C18" s="91">
        <v>900</v>
      </c>
      <c r="D18" s="91">
        <v>1</v>
      </c>
      <c r="E18" s="91">
        <v>2868</v>
      </c>
      <c r="F18" s="91">
        <v>7</v>
      </c>
      <c r="G18" s="89">
        <f t="shared" si="4"/>
        <v>4179085.7142857141</v>
      </c>
      <c r="H18" s="91">
        <v>1</v>
      </c>
      <c r="I18" s="91">
        <v>2835</v>
      </c>
      <c r="J18" s="91">
        <v>7</v>
      </c>
      <c r="K18" s="89">
        <f t="shared" si="0"/>
        <v>4131000</v>
      </c>
      <c r="L18" s="91">
        <v>1</v>
      </c>
      <c r="M18" s="91">
        <v>2976</v>
      </c>
      <c r="N18" s="91">
        <v>7</v>
      </c>
      <c r="O18" s="89">
        <f t="shared" si="1"/>
        <v>4336457.1428571427</v>
      </c>
      <c r="P18" s="92">
        <f t="shared" si="2"/>
        <v>4215514.2857142854</v>
      </c>
      <c r="Q18" s="92">
        <f t="shared" si="3"/>
        <v>107463.6682790979</v>
      </c>
      <c r="R18" s="93">
        <f t="shared" si="5"/>
        <v>6.6248505653956435</v>
      </c>
    </row>
    <row r="19" spans="2:18">
      <c r="B19" s="90" t="s">
        <v>202</v>
      </c>
      <c r="C19" s="91">
        <v>900</v>
      </c>
      <c r="D19" s="91">
        <v>0</v>
      </c>
      <c r="E19" s="91">
        <v>10096</v>
      </c>
      <c r="F19" s="91">
        <v>7</v>
      </c>
      <c r="G19" s="89">
        <f t="shared" si="4"/>
        <v>1471131.4285714284</v>
      </c>
      <c r="H19" s="91">
        <v>0</v>
      </c>
      <c r="I19" s="91">
        <v>8923</v>
      </c>
      <c r="J19" s="91">
        <v>7</v>
      </c>
      <c r="K19" s="89">
        <f>(I19/J19)*(10.2)*POWER(10,H19+2)</f>
        <v>1300208.5714285716</v>
      </c>
      <c r="L19" s="91">
        <v>0</v>
      </c>
      <c r="M19" s="91">
        <v>8050</v>
      </c>
      <c r="N19" s="91">
        <v>7</v>
      </c>
      <c r="O19" s="89">
        <f t="shared" si="1"/>
        <v>1173000</v>
      </c>
      <c r="P19" s="92">
        <f t="shared" si="2"/>
        <v>1314780</v>
      </c>
      <c r="Q19" s="92">
        <f t="shared" si="3"/>
        <v>149598.9039848533</v>
      </c>
      <c r="R19" s="93">
        <f t="shared" si="5"/>
        <v>6.118853089115321</v>
      </c>
    </row>
    <row r="20" spans="2:18" ht="15" thickBot="1"/>
    <row r="21" spans="2:18" ht="55" customHeight="1" thickBot="1">
      <c r="B21" s="94" t="s">
        <v>4</v>
      </c>
      <c r="C21" s="94" t="s">
        <v>203</v>
      </c>
      <c r="D21" s="94" t="s">
        <v>204</v>
      </c>
      <c r="E21" s="94" t="s">
        <v>205</v>
      </c>
      <c r="F21" s="94" t="s">
        <v>206</v>
      </c>
      <c r="G21" s="95" t="s">
        <v>207</v>
      </c>
      <c r="H21" s="96" t="s">
        <v>208</v>
      </c>
      <c r="I21" s="96" t="s">
        <v>209</v>
      </c>
      <c r="J21" s="96" t="s">
        <v>210</v>
      </c>
      <c r="K21" s="96" t="s">
        <v>211</v>
      </c>
      <c r="L21" s="96" t="s">
        <v>212</v>
      </c>
      <c r="M21" s="97" t="s">
        <v>213</v>
      </c>
    </row>
    <row r="23" spans="2:18">
      <c r="B23" s="90" t="s">
        <v>187</v>
      </c>
      <c r="C23" s="98">
        <v>16.382114410400391</v>
      </c>
      <c r="D23" s="98">
        <v>16.2430419921875</v>
      </c>
      <c r="E23" s="98">
        <v>16.416009902954102</v>
      </c>
      <c r="F23" s="98">
        <f>AVERAGE(C23:E23)</f>
        <v>16.347055435180664</v>
      </c>
      <c r="G23" s="84">
        <f>15*180/4*1000/900</f>
        <v>750</v>
      </c>
      <c r="H23" s="84">
        <f>LOG(G23)/LOG(2)</f>
        <v>9.5507467853832431</v>
      </c>
      <c r="I23" s="91">
        <f>C23-H23</f>
        <v>6.8313676250171476</v>
      </c>
      <c r="J23" s="91">
        <f>D23-H23</f>
        <v>6.6922952068042569</v>
      </c>
      <c r="K23" s="91">
        <f>E23-H23</f>
        <v>6.8652631175708585</v>
      </c>
      <c r="L23" s="99">
        <f>AVERAGE(I23:K23)</f>
        <v>6.796308649797421</v>
      </c>
    </row>
    <row r="24" spans="2:18">
      <c r="B24" s="90" t="s">
        <v>188</v>
      </c>
      <c r="C24" s="98">
        <v>20.246736526489258</v>
      </c>
      <c r="D24" s="98">
        <v>20.337041854858398</v>
      </c>
      <c r="E24" s="98">
        <v>20.223323822021484</v>
      </c>
      <c r="F24" s="98">
        <f t="shared" ref="F24:F38" si="6">AVERAGE(C24:E24)</f>
        <v>20.269034067789715</v>
      </c>
      <c r="G24" s="84">
        <f t="shared" ref="G24:G26" si="7">15*180/4*1000/900</f>
        <v>750</v>
      </c>
      <c r="H24" s="84">
        <f t="shared" ref="H24:H38" si="8">LOG(G24)/LOG(2)</f>
        <v>9.5507467853832431</v>
      </c>
      <c r="I24" s="91">
        <f t="shared" ref="I24:I38" si="9">C24-H24</f>
        <v>10.695989741106015</v>
      </c>
      <c r="J24" s="91">
        <f t="shared" ref="J24:J38" si="10">D24-H24</f>
        <v>10.786295069475155</v>
      </c>
      <c r="K24" s="91">
        <f t="shared" ref="K24:K38" si="11">E24-H24</f>
        <v>10.672577036638241</v>
      </c>
      <c r="L24" s="99">
        <f t="shared" ref="L24:L38" si="12">AVERAGE(I24:K24)</f>
        <v>10.71828728240647</v>
      </c>
    </row>
    <row r="25" spans="2:18">
      <c r="B25" s="90" t="s">
        <v>189</v>
      </c>
      <c r="C25" s="98">
        <v>23.471084594726562</v>
      </c>
      <c r="D25" s="98">
        <v>23.434993743896484</v>
      </c>
      <c r="E25" s="98">
        <v>23.65556526184082</v>
      </c>
      <c r="F25" s="98">
        <f t="shared" si="6"/>
        <v>23.520547866821289</v>
      </c>
      <c r="G25" s="84">
        <f t="shared" si="7"/>
        <v>750</v>
      </c>
      <c r="H25" s="84">
        <f t="shared" si="8"/>
        <v>9.5507467853832431</v>
      </c>
      <c r="I25" s="91">
        <f t="shared" si="9"/>
        <v>13.920337809343319</v>
      </c>
      <c r="J25" s="91">
        <f t="shared" si="10"/>
        <v>13.884246958513241</v>
      </c>
      <c r="K25" s="91">
        <f t="shared" si="11"/>
        <v>14.104818476457577</v>
      </c>
      <c r="L25" s="99">
        <f t="shared" si="12"/>
        <v>13.969801081438044</v>
      </c>
    </row>
    <row r="26" spans="2:18">
      <c r="B26" s="90" t="s">
        <v>190</v>
      </c>
      <c r="C26" s="98">
        <v>27.687118530273438</v>
      </c>
      <c r="D26" s="98">
        <v>27.683933258056641</v>
      </c>
      <c r="E26" s="98">
        <v>27.721792221069336</v>
      </c>
      <c r="F26" s="98">
        <f t="shared" si="6"/>
        <v>27.697614669799805</v>
      </c>
      <c r="G26" s="84">
        <f t="shared" si="7"/>
        <v>750</v>
      </c>
      <c r="H26" s="84">
        <f t="shared" si="8"/>
        <v>9.5507467853832431</v>
      </c>
      <c r="I26" s="91">
        <f t="shared" si="9"/>
        <v>18.136371744890194</v>
      </c>
      <c r="J26" s="91">
        <f t="shared" si="10"/>
        <v>18.133186472673398</v>
      </c>
      <c r="K26" s="91">
        <f t="shared" si="11"/>
        <v>18.171045435686093</v>
      </c>
      <c r="L26" s="99">
        <f t="shared" si="12"/>
        <v>18.146867884416562</v>
      </c>
    </row>
    <row r="27" spans="2:18">
      <c r="B27" s="90" t="s">
        <v>191</v>
      </c>
      <c r="C27" s="98">
        <v>31.580327987670898</v>
      </c>
      <c r="D27" s="98">
        <v>31.876550674438477</v>
      </c>
      <c r="E27" s="98">
        <v>31.972114562988281</v>
      </c>
      <c r="F27" s="98">
        <f t="shared" si="6"/>
        <v>31.809664408365887</v>
      </c>
      <c r="G27" s="84">
        <f>15*180/4*1000/900</f>
        <v>750</v>
      </c>
      <c r="H27" s="84">
        <f>LOG(G27)/LOG(2)</f>
        <v>9.5507467853832431</v>
      </c>
      <c r="I27" s="91">
        <f t="shared" si="9"/>
        <v>22.029581202287655</v>
      </c>
      <c r="J27" s="91">
        <f t="shared" si="10"/>
        <v>22.325803889055233</v>
      </c>
      <c r="K27" s="91">
        <f t="shared" si="11"/>
        <v>22.421367777605038</v>
      </c>
      <c r="L27" s="99">
        <f t="shared" si="12"/>
        <v>22.25891762298264</v>
      </c>
    </row>
    <row r="28" spans="2:18">
      <c r="B28" s="90" t="s">
        <v>192</v>
      </c>
      <c r="C28" s="98">
        <v>16.648801803588867</v>
      </c>
      <c r="D28" s="98">
        <v>17.485513687133789</v>
      </c>
      <c r="E28" s="98">
        <v>16.725131988525391</v>
      </c>
      <c r="F28" s="98">
        <f t="shared" si="6"/>
        <v>16.953149159749348</v>
      </c>
      <c r="G28" s="84">
        <f>15*180/4*1000/1000</f>
        <v>675</v>
      </c>
      <c r="H28" s="84">
        <f t="shared" si="8"/>
        <v>9.3987436919381935</v>
      </c>
      <c r="I28" s="91">
        <f t="shared" si="9"/>
        <v>7.2500581116506737</v>
      </c>
      <c r="J28" s="91">
        <f t="shared" si="10"/>
        <v>8.0867699951955956</v>
      </c>
      <c r="K28" s="91">
        <f t="shared" si="11"/>
        <v>7.3263882965871971</v>
      </c>
      <c r="L28" s="99">
        <f t="shared" si="12"/>
        <v>7.5544054678111552</v>
      </c>
    </row>
    <row r="29" spans="2:18">
      <c r="B29" s="90" t="s">
        <v>193</v>
      </c>
      <c r="C29" s="98">
        <v>19.15205192565918</v>
      </c>
      <c r="D29" s="98">
        <v>18.957448959350586</v>
      </c>
      <c r="E29" s="98">
        <v>18.855649948120117</v>
      </c>
      <c r="F29" s="98">
        <f t="shared" si="6"/>
        <v>18.988383611043293</v>
      </c>
      <c r="G29" s="84">
        <f>15*180/4*1000/500</f>
        <v>1350</v>
      </c>
      <c r="H29" s="84">
        <f t="shared" si="8"/>
        <v>10.398743691938193</v>
      </c>
      <c r="I29" s="91">
        <f t="shared" si="9"/>
        <v>8.7533082337209862</v>
      </c>
      <c r="J29" s="91">
        <f t="shared" si="10"/>
        <v>8.5587052674123925</v>
      </c>
      <c r="K29" s="91">
        <f t="shared" si="11"/>
        <v>8.4569062561819237</v>
      </c>
      <c r="L29" s="99">
        <f t="shared" si="12"/>
        <v>8.5896399191051014</v>
      </c>
    </row>
    <row r="30" spans="2:18">
      <c r="B30" s="90" t="s">
        <v>194</v>
      </c>
      <c r="C30" s="98">
        <v>19.934587478637695</v>
      </c>
      <c r="D30" s="98">
        <v>19.768661499023438</v>
      </c>
      <c r="E30" s="98">
        <v>19.823604583740234</v>
      </c>
      <c r="F30" s="98">
        <f t="shared" si="6"/>
        <v>19.842284520467121</v>
      </c>
      <c r="G30" s="84">
        <f t="shared" ref="G30:G38" si="13">15*180/4*1000/500</f>
        <v>1350</v>
      </c>
      <c r="H30" s="84">
        <f t="shared" si="8"/>
        <v>10.398743691938193</v>
      </c>
      <c r="I30" s="91">
        <f t="shared" si="9"/>
        <v>9.5358437866995018</v>
      </c>
      <c r="J30" s="91">
        <f t="shared" si="10"/>
        <v>9.369917807085244</v>
      </c>
      <c r="K30" s="91">
        <f t="shared" si="11"/>
        <v>9.4248608918020409</v>
      </c>
      <c r="L30" s="99">
        <f t="shared" si="12"/>
        <v>9.4435408285289295</v>
      </c>
    </row>
    <row r="31" spans="2:18">
      <c r="B31" s="90" t="s">
        <v>195</v>
      </c>
      <c r="C31" s="98">
        <v>20.650510787963867</v>
      </c>
      <c r="D31" s="98">
        <v>20.447122573852539</v>
      </c>
      <c r="E31" s="98">
        <v>20.447004318237305</v>
      </c>
      <c r="F31" s="98">
        <f t="shared" si="6"/>
        <v>20.51487922668457</v>
      </c>
      <c r="G31" s="84">
        <f t="shared" si="13"/>
        <v>1350</v>
      </c>
      <c r="H31" s="84">
        <f t="shared" si="8"/>
        <v>10.398743691938193</v>
      </c>
      <c r="I31" s="91">
        <f t="shared" si="9"/>
        <v>10.251767096025674</v>
      </c>
      <c r="J31" s="91">
        <f t="shared" si="10"/>
        <v>10.048378881914346</v>
      </c>
      <c r="K31" s="91">
        <f t="shared" si="11"/>
        <v>10.048260626299111</v>
      </c>
      <c r="L31" s="99">
        <f t="shared" si="12"/>
        <v>10.116135534746377</v>
      </c>
    </row>
    <row r="32" spans="2:18">
      <c r="B32" s="90" t="s">
        <v>196</v>
      </c>
      <c r="C32" s="98">
        <v>21.825428009033203</v>
      </c>
      <c r="D32" s="98">
        <v>21.617404937744141</v>
      </c>
      <c r="E32" s="98">
        <v>21.863065719604492</v>
      </c>
      <c r="F32" s="98">
        <f t="shared" si="6"/>
        <v>21.768632888793945</v>
      </c>
      <c r="G32" s="84">
        <f t="shared" si="13"/>
        <v>1350</v>
      </c>
      <c r="H32" s="84">
        <f t="shared" si="8"/>
        <v>10.398743691938193</v>
      </c>
      <c r="I32" s="91">
        <f t="shared" si="9"/>
        <v>11.42668431709501</v>
      </c>
      <c r="J32" s="91">
        <f t="shared" si="10"/>
        <v>11.218661245805947</v>
      </c>
      <c r="K32" s="91">
        <f t="shared" si="11"/>
        <v>11.464322027666299</v>
      </c>
      <c r="L32" s="99">
        <f t="shared" si="12"/>
        <v>11.369889196855752</v>
      </c>
    </row>
    <row r="33" spans="2:12">
      <c r="B33" s="90" t="s">
        <v>197</v>
      </c>
      <c r="C33" s="98">
        <v>22.909189224243164</v>
      </c>
      <c r="D33" s="98">
        <v>22.986705780029297</v>
      </c>
      <c r="E33" s="98">
        <v>23.151363372802734</v>
      </c>
      <c r="F33" s="98">
        <f t="shared" si="6"/>
        <v>23.015752792358398</v>
      </c>
      <c r="G33" s="84">
        <f>15*180/4*1000/500</f>
        <v>1350</v>
      </c>
      <c r="H33" s="84">
        <f t="shared" si="8"/>
        <v>10.398743691938193</v>
      </c>
      <c r="I33" s="91">
        <f t="shared" si="9"/>
        <v>12.510445532304971</v>
      </c>
      <c r="J33" s="91">
        <f t="shared" si="10"/>
        <v>12.587962088091103</v>
      </c>
      <c r="K33" s="91">
        <f t="shared" si="11"/>
        <v>12.752619680864541</v>
      </c>
      <c r="L33" s="99">
        <f t="shared" si="12"/>
        <v>12.617009100420205</v>
      </c>
    </row>
    <row r="34" spans="2:12">
      <c r="B34" s="90" t="s">
        <v>198</v>
      </c>
      <c r="C34" s="98">
        <v>24.431295394897461</v>
      </c>
      <c r="D34" s="98">
        <v>24.009675979614258</v>
      </c>
      <c r="E34" s="98">
        <v>23.951196670532227</v>
      </c>
      <c r="F34" s="98">
        <f t="shared" si="6"/>
        <v>24.130722681681316</v>
      </c>
      <c r="G34" s="84">
        <f t="shared" si="13"/>
        <v>1350</v>
      </c>
      <c r="H34" s="84">
        <f t="shared" si="8"/>
        <v>10.398743691938193</v>
      </c>
      <c r="I34" s="91">
        <f t="shared" si="9"/>
        <v>14.032551702959267</v>
      </c>
      <c r="J34" s="91">
        <f t="shared" si="10"/>
        <v>13.610932287676064</v>
      </c>
      <c r="K34" s="91">
        <f t="shared" si="11"/>
        <v>13.552452978594033</v>
      </c>
      <c r="L34" s="99">
        <f t="shared" si="12"/>
        <v>13.731978989743121</v>
      </c>
    </row>
    <row r="35" spans="2:12">
      <c r="B35" s="90" t="s">
        <v>199</v>
      </c>
      <c r="C35" s="98">
        <v>25.132335662841797</v>
      </c>
      <c r="D35" s="98">
        <v>24.967596054077148</v>
      </c>
      <c r="E35" s="98">
        <v>25.03386116027832</v>
      </c>
      <c r="F35" s="98">
        <f t="shared" si="6"/>
        <v>25.044597625732422</v>
      </c>
      <c r="G35" s="84">
        <f t="shared" si="13"/>
        <v>1350</v>
      </c>
      <c r="H35" s="84">
        <f t="shared" si="8"/>
        <v>10.398743691938193</v>
      </c>
      <c r="I35" s="91">
        <f t="shared" si="9"/>
        <v>14.733591970903603</v>
      </c>
      <c r="J35" s="91">
        <f t="shared" si="10"/>
        <v>14.568852362138955</v>
      </c>
      <c r="K35" s="91">
        <f t="shared" si="11"/>
        <v>14.635117468340127</v>
      </c>
      <c r="L35" s="99">
        <f t="shared" si="12"/>
        <v>14.645853933794228</v>
      </c>
    </row>
    <row r="36" spans="2:12">
      <c r="B36" s="90" t="s">
        <v>200</v>
      </c>
      <c r="C36" s="98">
        <v>26.708147048950195</v>
      </c>
      <c r="D36" s="98">
        <v>26.763067245483398</v>
      </c>
      <c r="E36" s="98"/>
      <c r="F36" s="98">
        <f t="shared" si="6"/>
        <v>26.735607147216797</v>
      </c>
      <c r="G36" s="84">
        <f t="shared" si="13"/>
        <v>1350</v>
      </c>
      <c r="H36" s="84">
        <f t="shared" si="8"/>
        <v>10.398743691938193</v>
      </c>
      <c r="I36" s="91">
        <f t="shared" si="9"/>
        <v>16.309403357012002</v>
      </c>
      <c r="J36" s="91">
        <f t="shared" si="10"/>
        <v>16.364323553545205</v>
      </c>
      <c r="K36" s="91"/>
      <c r="L36" s="99">
        <f t="shared" si="12"/>
        <v>16.336863455278603</v>
      </c>
    </row>
    <row r="37" spans="2:12">
      <c r="B37" s="90" t="s">
        <v>201</v>
      </c>
      <c r="C37" s="98">
        <v>27.613700866699219</v>
      </c>
      <c r="D37" s="98">
        <v>27.812423706054688</v>
      </c>
      <c r="E37" s="98">
        <v>27.789873123168945</v>
      </c>
      <c r="F37" s="98">
        <f t="shared" si="6"/>
        <v>27.738665898640949</v>
      </c>
      <c r="G37" s="84">
        <f t="shared" si="13"/>
        <v>1350</v>
      </c>
      <c r="H37" s="84">
        <f t="shared" si="8"/>
        <v>10.398743691938193</v>
      </c>
      <c r="I37" s="91">
        <f t="shared" si="9"/>
        <v>17.214957174761025</v>
      </c>
      <c r="J37" s="91">
        <f t="shared" si="10"/>
        <v>17.413680014116494</v>
      </c>
      <c r="K37" s="91">
        <f t="shared" si="11"/>
        <v>17.391129431230752</v>
      </c>
      <c r="L37" s="99">
        <f t="shared" si="12"/>
        <v>17.339922206702756</v>
      </c>
    </row>
    <row r="38" spans="2:12">
      <c r="B38" s="90" t="s">
        <v>202</v>
      </c>
      <c r="C38" s="98">
        <v>29.07282829284668</v>
      </c>
      <c r="D38" s="98">
        <v>28.964012145996094</v>
      </c>
      <c r="E38" s="98">
        <v>29.311826705932617</v>
      </c>
      <c r="F38" s="98">
        <f t="shared" si="6"/>
        <v>29.116222381591797</v>
      </c>
      <c r="G38" s="84">
        <f t="shared" si="13"/>
        <v>1350</v>
      </c>
      <c r="H38" s="84">
        <f t="shared" si="8"/>
        <v>10.398743691938193</v>
      </c>
      <c r="I38" s="91">
        <f t="shared" si="9"/>
        <v>18.674084600908486</v>
      </c>
      <c r="J38" s="91">
        <f t="shared" si="10"/>
        <v>18.5652684540579</v>
      </c>
      <c r="K38" s="91">
        <f t="shared" si="11"/>
        <v>18.913083013994424</v>
      </c>
      <c r="L38" s="99">
        <f t="shared" si="12"/>
        <v>18.717478689653603</v>
      </c>
    </row>
    <row r="40" spans="2:12">
      <c r="B40" s="90" t="s">
        <v>214</v>
      </c>
      <c r="C40" s="98">
        <v>15.713388442993164</v>
      </c>
      <c r="D40" s="98">
        <v>15.726656913757324</v>
      </c>
      <c r="E40" s="98">
        <v>15.612536430358887</v>
      </c>
      <c r="F40" s="98">
        <f>AVERAGE(C40:E40)</f>
        <v>15.684193929036459</v>
      </c>
    </row>
    <row r="42" spans="2:12">
      <c r="B42" s="100" t="s">
        <v>215</v>
      </c>
      <c r="C42" s="84" t="s">
        <v>216</v>
      </c>
    </row>
    <row r="43" spans="2:12">
      <c r="B43" s="97" t="s">
        <v>217</v>
      </c>
      <c r="C43" s="84" t="s">
        <v>216</v>
      </c>
    </row>
    <row r="44" spans="2:12">
      <c r="C44" s="101" t="s">
        <v>218</v>
      </c>
      <c r="D44" s="99">
        <v>-3.6977000000000002</v>
      </c>
    </row>
    <row r="45" spans="2:12">
      <c r="C45" s="101" t="s">
        <v>219</v>
      </c>
      <c r="D45" s="99">
        <v>41.616</v>
      </c>
    </row>
    <row r="48" spans="2:12">
      <c r="B48" s="97" t="s">
        <v>220</v>
      </c>
      <c r="D48" s="84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2"/>
  <sheetViews>
    <sheetView topLeftCell="A47" workbookViewId="0">
      <selection activeCell="H73" sqref="H73"/>
    </sheetView>
  </sheetViews>
  <sheetFormatPr baseColWidth="10" defaultColWidth="8.83203125" defaultRowHeight="14" x14ac:dyDescent="0"/>
  <cols>
    <col min="1" max="1" width="13.33203125" style="84" bestFit="1" customWidth="1"/>
    <col min="2" max="4" width="8.83203125" style="84"/>
    <col min="5" max="6" width="13.33203125" style="84" bestFit="1" customWidth="1"/>
    <col min="7" max="10" width="13.6640625" style="84" customWidth="1"/>
    <col min="11" max="11" width="16.5" style="84" bestFit="1" customWidth="1"/>
    <col min="12" max="12" width="17" style="84" customWidth="1"/>
    <col min="13" max="13" width="19.1640625" style="84" customWidth="1"/>
    <col min="14" max="14" width="17" style="84" customWidth="1"/>
    <col min="15" max="15" width="18.83203125" style="84" customWidth="1"/>
    <col min="16" max="16" width="18" style="84" customWidth="1"/>
    <col min="17" max="17" width="23.5" style="84" customWidth="1"/>
    <col min="18" max="18" width="18.5" style="84" customWidth="1"/>
    <col min="19" max="19" width="23.5" style="84" customWidth="1"/>
    <col min="20" max="16384" width="8.83203125" style="84"/>
  </cols>
  <sheetData>
    <row r="1" spans="1:19">
      <c r="A1" s="102" t="s">
        <v>221</v>
      </c>
    </row>
    <row r="2" spans="1:19">
      <c r="A2" s="130" t="s">
        <v>4</v>
      </c>
      <c r="B2" s="130" t="s">
        <v>117</v>
      </c>
      <c r="C2" s="130" t="s">
        <v>117</v>
      </c>
      <c r="D2" s="130" t="s">
        <v>5</v>
      </c>
      <c r="E2" s="142" t="s">
        <v>222</v>
      </c>
      <c r="F2" s="142" t="s">
        <v>223</v>
      </c>
      <c r="G2" s="142" t="s">
        <v>224</v>
      </c>
      <c r="H2" s="144" t="s">
        <v>225</v>
      </c>
      <c r="I2" s="144" t="s">
        <v>226</v>
      </c>
      <c r="J2" s="144" t="s">
        <v>227</v>
      </c>
      <c r="K2" s="142" t="s">
        <v>228</v>
      </c>
      <c r="L2" s="142" t="s">
        <v>229</v>
      </c>
      <c r="M2" s="142" t="s">
        <v>230</v>
      </c>
      <c r="N2" s="142" t="s">
        <v>231</v>
      </c>
      <c r="O2" s="142" t="s">
        <v>232</v>
      </c>
      <c r="P2" s="144" t="s">
        <v>233</v>
      </c>
      <c r="Q2" s="144" t="s">
        <v>234</v>
      </c>
      <c r="R2" s="147" t="s">
        <v>235</v>
      </c>
      <c r="S2" s="144" t="s">
        <v>236</v>
      </c>
    </row>
    <row r="3" spans="1:19">
      <c r="A3" s="131"/>
      <c r="B3" s="131"/>
      <c r="C3" s="131"/>
      <c r="D3" s="131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8"/>
      <c r="S3" s="143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8">
        <v>24.450366973876953</v>
      </c>
      <c r="F4" s="98">
        <v>24.598825454711914</v>
      </c>
      <c r="G4" s="98">
        <v>24.436334609985352</v>
      </c>
      <c r="H4" s="98">
        <f>E4-$H$67+$H$72</f>
        <v>24.36128612792853</v>
      </c>
      <c r="I4" s="98">
        <f t="shared" ref="I4:J4" si="1">F4-$H$67+$H$72</f>
        <v>24.509744608763491</v>
      </c>
      <c r="J4" s="98">
        <f t="shared" si="1"/>
        <v>24.347253764036928</v>
      </c>
      <c r="K4" s="103">
        <f>((H4-'Calibration R. intestinalis '!$D$45)/('Calibration R. intestinalis '!$D$44))+$B$24</f>
        <v>8.319549391313128</v>
      </c>
      <c r="L4" s="103">
        <f>((I4-'Calibration R. intestinalis '!$D$45)/('Calibration R. intestinalis '!$D$44))+$B$24</f>
        <v>8.2794005201675631</v>
      </c>
      <c r="M4" s="103">
        <f>((J4-'Calibration R. intestinalis '!$D$45)/('Calibration R. intestinalis '!$D$44))+$B$24</f>
        <v>8.323344281080173</v>
      </c>
      <c r="N4" s="104">
        <f>AVERAGE(K4:M4)</f>
        <v>8.307431397520288</v>
      </c>
      <c r="O4" s="104">
        <f>STDEV(K4:M4)</f>
        <v>2.4349494059602871E-2</v>
      </c>
      <c r="P4" s="99">
        <f>(AVERAGE(POWER(10,K4),POWER(10,L4),POWER(10,M4)))*Calculation!$I4/Calculation!$K3</f>
        <v>203307593.98340449</v>
      </c>
      <c r="Q4" s="105">
        <f>(STDEV(POWER(10,K4),POWER(10,L4),POWER(10,M4)))*Calculation!$I4/Calculation!$K3</f>
        <v>11213687.111897679</v>
      </c>
      <c r="R4" s="104">
        <f>LOG(P4)</f>
        <v>8.3081536007899981</v>
      </c>
      <c r="S4" s="104">
        <f>O4*Calculation!$I4/Calculation!$K3</f>
        <v>2.4364750634828184E-2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6">
        <v>23.315397262573242</v>
      </c>
      <c r="F5" s="98">
        <v>22.948934555053711</v>
      </c>
      <c r="G5" s="98">
        <v>23.436399459838867</v>
      </c>
      <c r="H5" s="98">
        <f t="shared" ref="H5:H20" si="2">E5-$H$67+$H$72</f>
        <v>23.226316416624819</v>
      </c>
      <c r="I5" s="98">
        <f t="shared" ref="I5:I20" si="3">F5-$H$67+$H$72</f>
        <v>22.859853709105288</v>
      </c>
      <c r="J5" s="98">
        <f t="shared" ref="J5:J20" si="4">G5-$H$67+$H$72</f>
        <v>23.347318613890444</v>
      </c>
      <c r="K5" s="103">
        <f>((H5-'Calibration R. intestinalis '!$D$45)/('Calibration R. intestinalis '!$D$44))+$B$24</f>
        <v>8.6264887620851525</v>
      </c>
      <c r="L5" s="103">
        <f>((I5-'Calibration R. intestinalis '!$D$45)/('Calibration R. intestinalis '!$D$44))+$B$24</f>
        <v>8.7255943432625145</v>
      </c>
      <c r="M5" s="103">
        <f>((J5-'Calibration R. intestinalis '!$D$45)/('Calibration R. intestinalis '!$D$44))+$B$24</f>
        <v>8.5937651238057828</v>
      </c>
      <c r="N5" s="104">
        <f t="shared" ref="N5:N20" si="5">AVERAGE(K5:M5)</f>
        <v>8.6486160763844833</v>
      </c>
      <c r="O5" s="104">
        <f t="shared" ref="O5:O20" si="6">STDEV(K5:M5)</f>
        <v>6.8643639940046922E-2</v>
      </c>
      <c r="P5" s="99">
        <f>(AVERAGE(POWER(10,K5),POWER(10,L5),POWER(10,M5)))*Calculation!$I5/Calculation!$K4</f>
        <v>449927065.64933598</v>
      </c>
      <c r="Q5" s="105">
        <f>(STDEV(POWER(10,K5),POWER(10,L5),POWER(10,M5)))*Calculation!$I5/Calculation!$K4</f>
        <v>73260520.789827213</v>
      </c>
      <c r="R5" s="104">
        <f>LOG(P5)</f>
        <v>8.6531421192126885</v>
      </c>
      <c r="S5" s="104">
        <f>O5*Calculation!$I5/Calculation!$K4</f>
        <v>6.8775737482360905E-2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8">
        <v>22.399574279785156</v>
      </c>
      <c r="F6" s="98">
        <v>21.99043083190918</v>
      </c>
      <c r="G6" s="98">
        <v>22.139791488647461</v>
      </c>
      <c r="H6" s="98">
        <f t="shared" si="2"/>
        <v>22.310493433836733</v>
      </c>
      <c r="I6" s="98">
        <f t="shared" si="3"/>
        <v>21.901349985960756</v>
      </c>
      <c r="J6" s="98">
        <f t="shared" si="4"/>
        <v>22.050710642699038</v>
      </c>
      <c r="K6" s="103">
        <f>((H6-'Calibration R. intestinalis '!$D$45)/('Calibration R. intestinalis '!$D$44))+$B$24</f>
        <v>8.8741624464803408</v>
      </c>
      <c r="L6" s="103">
        <f>((I6-'Calibration R. intestinalis '!$D$45)/('Calibration R. intestinalis '!$D$44))+$B$24</f>
        <v>8.9848105379631473</v>
      </c>
      <c r="M6" s="103">
        <f>((J6-'Calibration R. intestinalis '!$D$45)/('Calibration R. intestinalis '!$D$44))+$B$24</f>
        <v>8.9444176838272575</v>
      </c>
      <c r="N6" s="104">
        <f t="shared" si="5"/>
        <v>8.9344635560902486</v>
      </c>
      <c r="O6" s="104">
        <f t="shared" si="6"/>
        <v>5.5991638049358756E-2</v>
      </c>
      <c r="P6" s="99">
        <f>(AVERAGE(POWER(10,K6),POWER(10,L6),POWER(10,M6)))*Calculation!$I6/Calculation!$K5</f>
        <v>868044484.83026934</v>
      </c>
      <c r="Q6" s="105">
        <f>(STDEV(POWER(10,K6),POWER(10,L6),POWER(10,M6)))*Calculation!$I6/Calculation!$K5</f>
        <v>109816575.38702305</v>
      </c>
      <c r="R6" s="104">
        <f t="shared" ref="R6:R18" si="7">LOG(P6)</f>
        <v>8.9385419821134402</v>
      </c>
      <c r="S6" s="104">
        <f>O6*Calculation!$I6/Calculation!$K5</f>
        <v>5.6211512157454749E-2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8">
        <v>21.6761474609375</v>
      </c>
      <c r="F7" s="98">
        <v>21.421535491943359</v>
      </c>
      <c r="G7" s="98">
        <v>21.449930191040039</v>
      </c>
      <c r="H7" s="98">
        <f t="shared" si="2"/>
        <v>21.587066614989077</v>
      </c>
      <c r="I7" s="98">
        <f t="shared" si="3"/>
        <v>21.332454645994936</v>
      </c>
      <c r="J7" s="98">
        <f t="shared" si="4"/>
        <v>21.360849345091616</v>
      </c>
      <c r="K7" s="103">
        <f>((H7-'Calibration R. intestinalis '!$D$45)/('Calibration R. intestinalis '!$D$44))+$B$24</f>
        <v>9.0698048238629436</v>
      </c>
      <c r="L7" s="103">
        <f>((I7-'Calibration R. intestinalis '!$D$45)/('Calibration R. intestinalis '!$D$44))+$B$24</f>
        <v>9.1386616724429111</v>
      </c>
      <c r="M7" s="103">
        <f>((J7-'Calibration R. intestinalis '!$D$45)/('Calibration R. intestinalis '!$D$44))+$B$24</f>
        <v>9.1309826560011551</v>
      </c>
      <c r="N7" s="104">
        <f t="shared" si="5"/>
        <v>9.1131497174356699</v>
      </c>
      <c r="O7" s="104">
        <f t="shared" si="6"/>
        <v>3.7733627873574753E-2</v>
      </c>
      <c r="P7" s="99">
        <f>(AVERAGE(POWER(10,K7),POWER(10,L7),POWER(10,M7)))*Calculation!$I7/Calculation!$K6</f>
        <v>1308629820.4864862</v>
      </c>
      <c r="Q7" s="105">
        <f>(STDEV(POWER(10,K7),POWER(10,L7),POWER(10,M7)))*Calculation!$I7/Calculation!$K6</f>
        <v>110849606.7118126</v>
      </c>
      <c r="R7" s="104">
        <f t="shared" si="7"/>
        <v>9.1168168125886382</v>
      </c>
      <c r="S7" s="104">
        <f>O7*Calculation!$I7/Calculation!$K6</f>
        <v>3.7959537264727901E-2</v>
      </c>
    </row>
    <row r="8" spans="1:19">
      <c r="A8" s="40">
        <v>4</v>
      </c>
      <c r="B8" s="32">
        <v>80</v>
      </c>
      <c r="C8" s="32">
        <f t="shared" ref="C8:C18" si="8">C7+B8</f>
        <v>360</v>
      </c>
      <c r="D8" s="13">
        <f t="shared" si="0"/>
        <v>6</v>
      </c>
      <c r="E8" s="98">
        <v>20.170400619506836</v>
      </c>
      <c r="F8" s="98">
        <v>19.966995239257812</v>
      </c>
      <c r="G8" s="98">
        <v>20.073785781860352</v>
      </c>
      <c r="H8" s="98">
        <f t="shared" si="2"/>
        <v>20.081319773558413</v>
      </c>
      <c r="I8" s="98">
        <f t="shared" si="3"/>
        <v>19.877914393309389</v>
      </c>
      <c r="J8" s="98">
        <f t="shared" si="4"/>
        <v>19.984704935911928</v>
      </c>
      <c r="K8" s="103">
        <f>((H8-'Calibration R. intestinalis '!$D$45)/('Calibration R. intestinalis '!$D$44))+$B$24</f>
        <v>9.477016561275569</v>
      </c>
      <c r="L8" s="103">
        <f>((I8-'Calibration R. intestinalis '!$D$45)/('Calibration R. intestinalis '!$D$44))+$B$24</f>
        <v>9.5320251829184883</v>
      </c>
      <c r="M8" s="103">
        <f>((J8-'Calibration R. intestinalis '!$D$45)/('Calibration R. intestinalis '!$D$44))+$B$24</f>
        <v>9.5031449215120638</v>
      </c>
      <c r="N8" s="104">
        <f t="shared" si="5"/>
        <v>9.504062221902041</v>
      </c>
      <c r="O8" s="104">
        <f t="shared" si="6"/>
        <v>2.7515780813336027E-2</v>
      </c>
      <c r="P8" s="99">
        <f>(AVERAGE(POWER(10,K8),POWER(10,L8),POWER(10,M8)))*Calculation!$I8/Calculation!$K7</f>
        <v>3231258671.5908484</v>
      </c>
      <c r="Q8" s="105">
        <f>(STDEV(POWER(10,K8),POWER(10,L8),POWER(10,M8)))*Calculation!$I8/Calculation!$K7</f>
        <v>204944676.91474566</v>
      </c>
      <c r="R8" s="104">
        <f t="shared" si="7"/>
        <v>9.5093717259371289</v>
      </c>
      <c r="S8" s="104">
        <f>O8*Calculation!$I8/Calculation!$K7</f>
        <v>2.781696970221622E-2</v>
      </c>
    </row>
    <row r="9" spans="1:19">
      <c r="A9" s="40">
        <v>5</v>
      </c>
      <c r="B9" s="32">
        <v>80</v>
      </c>
      <c r="C9" s="32">
        <f t="shared" si="8"/>
        <v>440</v>
      </c>
      <c r="D9" s="13">
        <f t="shared" si="0"/>
        <v>7.333333333333333</v>
      </c>
      <c r="E9" s="98">
        <v>19.001258850097656</v>
      </c>
      <c r="F9" s="98">
        <v>19.136741638183594</v>
      </c>
      <c r="G9" s="98">
        <v>19.14189338684082</v>
      </c>
      <c r="H9" s="98">
        <f t="shared" si="2"/>
        <v>18.912178004149233</v>
      </c>
      <c r="I9" s="98">
        <f t="shared" si="3"/>
        <v>19.04766079223517</v>
      </c>
      <c r="J9" s="98">
        <f t="shared" si="4"/>
        <v>19.052812540892397</v>
      </c>
      <c r="K9" s="103">
        <f>((H9-'Calibration R. intestinalis '!$D$45)/('Calibration R. intestinalis '!$D$44))+$B$24</f>
        <v>9.7931973681039164</v>
      </c>
      <c r="L9" s="103">
        <f>((I9-'Calibration R. intestinalis '!$D$45)/('Calibration R. intestinalis '!$D$44))+$B$24</f>
        <v>9.7565576222927533</v>
      </c>
      <c r="M9" s="103">
        <f>((J9-'Calibration R. intestinalis '!$D$45)/('Calibration R. intestinalis '!$D$44))+$B$24</f>
        <v>9.7551643917285578</v>
      </c>
      <c r="N9" s="104">
        <f t="shared" si="5"/>
        <v>9.7683064607084091</v>
      </c>
      <c r="O9" s="104">
        <f t="shared" si="6"/>
        <v>2.1567411204872051E-2</v>
      </c>
      <c r="P9" s="99">
        <f>(AVERAGE(POWER(10,K9),POWER(10,L9),POWER(10,M9)))*Calculation!$I9/Calculation!$K8</f>
        <v>5985990582.9912863</v>
      </c>
      <c r="Q9" s="105">
        <f>(STDEV(POWER(10,K9),POWER(10,L9),POWER(10,M9)))*Calculation!$I9/Calculation!$K8</f>
        <v>301384456.58817518</v>
      </c>
      <c r="R9" s="104">
        <f t="shared" si="7"/>
        <v>9.7771360292836356</v>
      </c>
      <c r="S9" s="104">
        <f>O9*Calculation!$I9/Calculation!$K8</f>
        <v>2.1992127684462275E-2</v>
      </c>
    </row>
    <row r="10" spans="1:19">
      <c r="A10" s="40">
        <v>6</v>
      </c>
      <c r="B10" s="32">
        <v>80</v>
      </c>
      <c r="C10" s="32">
        <f t="shared" si="8"/>
        <v>520</v>
      </c>
      <c r="D10" s="13">
        <f t="shared" si="0"/>
        <v>8.6666666666666661</v>
      </c>
      <c r="E10" s="98">
        <v>18.622537612915039</v>
      </c>
      <c r="F10" s="98">
        <v>18.765714645385742</v>
      </c>
      <c r="G10" s="98">
        <v>18.848588943481445</v>
      </c>
      <c r="H10" s="98">
        <f>E10-$H$70+$H$72</f>
        <v>18.350534085793928</v>
      </c>
      <c r="I10" s="98">
        <f>F10-$H$70+$H$72</f>
        <v>18.493711118264631</v>
      </c>
      <c r="J10" s="98">
        <f>G10-$H$70+$H$72</f>
        <v>18.576585416360334</v>
      </c>
      <c r="K10" s="103">
        <f>((H10-'Calibration R. intestinalis '!$D$45)/('Calibration R. intestinalis '!$D$44))+$B$24</f>
        <v>9.9450874398661764</v>
      </c>
      <c r="L10" s="103">
        <f>((I10-'Calibration R. intestinalis '!$D$45)/('Calibration R. intestinalis '!$D$44))+$B$24</f>
        <v>9.9063668750635401</v>
      </c>
      <c r="M10" s="103">
        <f>((J10-'Calibration R. intestinalis '!$D$45)/('Calibration R. intestinalis '!$D$44))+$B$24</f>
        <v>9.8839544840919356</v>
      </c>
      <c r="N10" s="104">
        <f t="shared" si="5"/>
        <v>9.9118029330072179</v>
      </c>
      <c r="O10" s="104">
        <f t="shared" si="6"/>
        <v>3.0926891452247241E-2</v>
      </c>
      <c r="P10" s="99">
        <f>(AVERAGE(POWER(10,K10),POWER(10,L10),POWER(10,M10)))*Calculation!$I10/Calculation!$K9</f>
        <v>8411009007.9402695</v>
      </c>
      <c r="Q10" s="105">
        <f>(STDEV(POWER(10,K10),POWER(10,L10),POWER(10,M10)))*Calculation!$I10/Calculation!$K9</f>
        <v>603995720.88156092</v>
      </c>
      <c r="R10" s="104">
        <f t="shared" si="7"/>
        <v>9.924848098092248</v>
      </c>
      <c r="S10" s="104">
        <f>O10*Calculation!$I10/Calculation!$K9</f>
        <v>3.1815824210166321E-2</v>
      </c>
    </row>
    <row r="11" spans="1:19">
      <c r="A11" s="40">
        <v>7</v>
      </c>
      <c r="B11" s="32">
        <v>80</v>
      </c>
      <c r="C11" s="32">
        <f t="shared" si="8"/>
        <v>600</v>
      </c>
      <c r="D11" s="13">
        <f t="shared" si="0"/>
        <v>10</v>
      </c>
      <c r="E11" s="98">
        <v>18.233583450317383</v>
      </c>
      <c r="F11" s="98">
        <v>18.629543304443359</v>
      </c>
      <c r="G11" s="98">
        <v>18.335081100463867</v>
      </c>
      <c r="H11" s="98">
        <f t="shared" si="2"/>
        <v>18.144502604368959</v>
      </c>
      <c r="I11" s="98">
        <f t="shared" si="3"/>
        <v>18.540462458494936</v>
      </c>
      <c r="J11" s="98">
        <f t="shared" si="4"/>
        <v>18.246000254515444</v>
      </c>
      <c r="K11" s="103">
        <f>((H11-'Calibration R. intestinalis '!$D$45)/('Calibration R. intestinalis '!$D$44))+$B$24</f>
        <v>10.000806260058448</v>
      </c>
      <c r="L11" s="103">
        <f>((I11-'Calibration R. intestinalis '!$D$45)/('Calibration R. intestinalis '!$D$44))+$B$24</f>
        <v>9.893723518320078</v>
      </c>
      <c r="M11" s="103">
        <f>((J11-'Calibration R. intestinalis '!$D$45)/('Calibration R. intestinalis '!$D$44))+$B$24</f>
        <v>9.9733573999166083</v>
      </c>
      <c r="N11" s="104">
        <f t="shared" si="5"/>
        <v>9.9559623927650449</v>
      </c>
      <c r="O11" s="104">
        <f t="shared" si="6"/>
        <v>5.5620302946890174E-2</v>
      </c>
      <c r="P11" s="99">
        <f>(AVERAGE(POWER(10,K11),POWER(10,L11),POWER(10,M11)))*Calculation!$I11/Calculation!$K10</f>
        <v>9437715182.1134663</v>
      </c>
      <c r="Q11" s="105">
        <f>(STDEV(POWER(10,K11),POWER(10,L11),POWER(10,M11)))*Calculation!$I11/Calculation!$K10</f>
        <v>1173252792.1298277</v>
      </c>
      <c r="R11" s="104">
        <f t="shared" si="7"/>
        <v>9.9748668667658915</v>
      </c>
      <c r="S11" s="104">
        <f>O11*Calculation!$I11/Calculation!$K10</f>
        <v>5.7784232599177268E-2</v>
      </c>
    </row>
    <row r="12" spans="1:19">
      <c r="A12" s="40">
        <v>8</v>
      </c>
      <c r="B12" s="32">
        <v>80</v>
      </c>
      <c r="C12" s="32">
        <f t="shared" si="8"/>
        <v>680</v>
      </c>
      <c r="D12" s="13">
        <f t="shared" si="0"/>
        <v>11.333333333333334</v>
      </c>
      <c r="E12" s="98">
        <v>18.016796112060547</v>
      </c>
      <c r="F12" s="98">
        <v>18.006889343261719</v>
      </c>
      <c r="G12" s="98">
        <v>18.150754928588867</v>
      </c>
      <c r="H12" s="98">
        <f t="shared" si="2"/>
        <v>17.927715266112124</v>
      </c>
      <c r="I12" s="98">
        <f t="shared" si="3"/>
        <v>17.917808497313295</v>
      </c>
      <c r="J12" s="98">
        <f t="shared" si="4"/>
        <v>18.061674082640444</v>
      </c>
      <c r="K12" s="103">
        <f>((H12-'Calibration R. intestinalis '!$D$45)/('Calibration R. intestinalis '!$D$44))+$B$24</f>
        <v>10.05943387675446</v>
      </c>
      <c r="L12" s="103">
        <f>((I12-'Calibration R. intestinalis '!$D$45)/('Calibration R. intestinalis '!$D$44))+$B$24</f>
        <v>10.062113047265541</v>
      </c>
      <c r="M12" s="103">
        <f>((J12-'Calibration R. intestinalis '!$D$45)/('Calibration R. intestinalis '!$D$44))+$B$24</f>
        <v>10.02320627134344</v>
      </c>
      <c r="N12" s="104">
        <f t="shared" si="5"/>
        <v>10.048251065121148</v>
      </c>
      <c r="O12" s="104">
        <f t="shared" si="6"/>
        <v>2.1730756088612125E-2</v>
      </c>
      <c r="P12" s="99">
        <f>(AVERAGE(POWER(10,K12),POWER(10,L12),POWER(10,M12)))*Calculation!$I12/Calculation!$K11</f>
        <v>11701097233.988113</v>
      </c>
      <c r="Q12" s="105">
        <f>(STDEV(POWER(10,K12),POWER(10,L12),POWER(10,M12)))*Calculation!$I12/Calculation!$K11</f>
        <v>576940703.69819188</v>
      </c>
      <c r="R12" s="104">
        <f t="shared" si="7"/>
        <v>10.068226588269535</v>
      </c>
      <c r="S12" s="104">
        <f>O12*Calculation!$I12/Calculation!$K11</f>
        <v>2.2734814644121373E-2</v>
      </c>
    </row>
    <row r="13" spans="1:19">
      <c r="A13" s="40">
        <v>9</v>
      </c>
      <c r="B13" s="32">
        <v>80</v>
      </c>
      <c r="C13" s="32">
        <f t="shared" si="8"/>
        <v>760</v>
      </c>
      <c r="D13" s="13">
        <f t="shared" si="0"/>
        <v>12.666666666666666</v>
      </c>
      <c r="E13" s="98">
        <v>17.951242446899414</v>
      </c>
      <c r="F13" s="98">
        <v>18.167245864868164</v>
      </c>
      <c r="G13" s="98">
        <v>18.183574676513672</v>
      </c>
      <c r="H13" s="98">
        <f t="shared" si="2"/>
        <v>17.862161600950991</v>
      </c>
      <c r="I13" s="98">
        <f t="shared" si="3"/>
        <v>18.078165018919741</v>
      </c>
      <c r="J13" s="98">
        <f t="shared" si="4"/>
        <v>18.094493830565249</v>
      </c>
      <c r="K13" s="103">
        <f>((H13-'Calibration R. intestinalis '!$D$45)/('Calibration R. intestinalis '!$D$44))+$B$24</f>
        <v>10.077162103804012</v>
      </c>
      <c r="L13" s="103">
        <f>((I13-'Calibration R. intestinalis '!$D$45)/('Calibration R. intestinalis '!$D$44))+$B$24</f>
        <v>10.018746489241243</v>
      </c>
      <c r="M13" s="103">
        <f>((J13-'Calibration R. intestinalis '!$D$45)/('Calibration R. intestinalis '!$D$44))+$B$24</f>
        <v>10.014330551862464</v>
      </c>
      <c r="N13" s="104">
        <f t="shared" si="5"/>
        <v>10.036746381635906</v>
      </c>
      <c r="O13" s="104">
        <f t="shared" si="6"/>
        <v>3.5070615542223432E-2</v>
      </c>
      <c r="P13" s="99">
        <f>(AVERAGE(POWER(10,K13),POWER(10,L13),POWER(10,M13)))*Calculation!$I13/Calculation!$K12</f>
        <v>11475497864.603559</v>
      </c>
      <c r="Q13" s="105">
        <f>(STDEV(POWER(10,K13),POWER(10,L13),POWER(10,M13)))*Calculation!$I13/Calculation!$K12</f>
        <v>946844112.0817101</v>
      </c>
      <c r="R13" s="104">
        <f t="shared" si="7"/>
        <v>10.059771536489006</v>
      </c>
      <c r="S13" s="104">
        <f>O13*Calculation!$I13/Calculation!$K12</f>
        <v>3.6898664675130199E-2</v>
      </c>
    </row>
    <row r="14" spans="1:19">
      <c r="A14" s="40">
        <v>10</v>
      </c>
      <c r="B14" s="32">
        <v>80</v>
      </c>
      <c r="C14" s="32">
        <f t="shared" si="8"/>
        <v>840</v>
      </c>
      <c r="D14" s="13">
        <f t="shared" si="0"/>
        <v>14</v>
      </c>
      <c r="E14" s="98">
        <v>17.996295928955078</v>
      </c>
      <c r="F14" s="98">
        <v>18.088472366333008</v>
      </c>
      <c r="G14" s="98">
        <v>17.84527587890625</v>
      </c>
      <c r="H14" s="98">
        <f t="shared" si="2"/>
        <v>17.907215083006655</v>
      </c>
      <c r="I14" s="98">
        <f t="shared" si="3"/>
        <v>17.999391520384584</v>
      </c>
      <c r="J14" s="98">
        <f t="shared" si="4"/>
        <v>17.756195032957827</v>
      </c>
      <c r="K14" s="103">
        <f>((H14-'Calibration R. intestinalis '!$D$45)/('Calibration R. intestinalis '!$D$44))+$B$24</f>
        <v>10.064977913075813</v>
      </c>
      <c r="L14" s="103">
        <f>((I14-'Calibration R. intestinalis '!$D$45)/('Calibration R. intestinalis '!$D$44))+$B$24</f>
        <v>10.040049866620468</v>
      </c>
      <c r="M14" s="103">
        <f>((J14-'Calibration R. intestinalis '!$D$45)/('Calibration R. intestinalis '!$D$44))+$B$24</f>
        <v>10.105819530851409</v>
      </c>
      <c r="N14" s="104">
        <f t="shared" si="5"/>
        <v>10.070282436849229</v>
      </c>
      <c r="O14" s="104">
        <f t="shared" si="6"/>
        <v>3.3204151285792037E-2</v>
      </c>
      <c r="P14" s="99">
        <f>(AVERAGE(POWER(10,K14),POWER(10,L14),POWER(10,M14)))*Calculation!$I14/Calculation!$K13</f>
        <v>12404023772.015451</v>
      </c>
      <c r="Q14" s="105">
        <f>(STDEV(POWER(10,K14),POWER(10,L14),POWER(10,M14)))*Calculation!$I14/Calculation!$K13</f>
        <v>956067833.5506084</v>
      </c>
      <c r="R14" s="104">
        <f t="shared" si="7"/>
        <v>10.093562589881094</v>
      </c>
      <c r="S14" s="104">
        <f>O14*Calculation!$I14/Calculation!$K13</f>
        <v>3.4964048032720185E-2</v>
      </c>
    </row>
    <row r="15" spans="1:19">
      <c r="A15" s="40">
        <v>11</v>
      </c>
      <c r="B15" s="32">
        <v>80</v>
      </c>
      <c r="C15" s="32">
        <f t="shared" si="8"/>
        <v>920</v>
      </c>
      <c r="D15" s="13">
        <f t="shared" si="0"/>
        <v>15.333333333333334</v>
      </c>
      <c r="E15" s="98">
        <v>17.993432998657227</v>
      </c>
      <c r="F15" s="98">
        <v>17.922151565551758</v>
      </c>
      <c r="G15" s="98">
        <v>18.854854583740234</v>
      </c>
      <c r="H15" s="98">
        <f t="shared" si="2"/>
        <v>17.904352152708803</v>
      </c>
      <c r="I15" s="98">
        <f t="shared" si="3"/>
        <v>17.833070719603334</v>
      </c>
      <c r="J15" s="98">
        <f t="shared" si="4"/>
        <v>18.765773737791811</v>
      </c>
      <c r="K15" s="103">
        <f>((H15-'Calibration R. intestinalis '!$D$45)/('Calibration R. intestinalis '!$D$44))+$B$24</f>
        <v>10.065752159309376</v>
      </c>
      <c r="L15" s="103">
        <f>((I15-'Calibration R. intestinalis '!$D$45)/('Calibration R. intestinalis '!$D$44))+$B$24</f>
        <v>10.085029394646334</v>
      </c>
      <c r="M15" s="103">
        <f>((J15-'Calibration R. intestinalis '!$D$45)/('Calibration R. intestinalis '!$D$44))+$B$24</f>
        <v>9.8327907008127422</v>
      </c>
      <c r="N15" s="104">
        <f t="shared" si="5"/>
        <v>9.9945240849228174</v>
      </c>
      <c r="O15" s="104">
        <f t="shared" si="6"/>
        <v>0.14039646933713096</v>
      </c>
      <c r="P15" s="99">
        <f>(AVERAGE(POWER(10,K15),POWER(10,L15),POWER(10,M15)))*Calculation!$I15/Calculation!$K14</f>
        <v>10750501405.349985</v>
      </c>
      <c r="Q15" s="105">
        <f>(STDEV(POWER(10,K15),POWER(10,L15),POWER(10,M15)))*Calculation!$I15/Calculation!$K14</f>
        <v>3112187226.0128431</v>
      </c>
      <c r="R15" s="104">
        <f t="shared" si="7"/>
        <v>10.031428720297995</v>
      </c>
      <c r="S15" s="104">
        <f>O15*Calculation!$I15/Calculation!$K14</f>
        <v>0.14796547314250877</v>
      </c>
    </row>
    <row r="16" spans="1:19">
      <c r="A16" s="40">
        <v>12</v>
      </c>
      <c r="B16" s="32">
        <v>80</v>
      </c>
      <c r="C16" s="32">
        <f t="shared" si="8"/>
        <v>1000</v>
      </c>
      <c r="D16" s="13">
        <f t="shared" si="0"/>
        <v>16.666666666666668</v>
      </c>
      <c r="E16" s="98">
        <v>18.057952880859375</v>
      </c>
      <c r="F16" s="98">
        <v>17.981090545654297</v>
      </c>
      <c r="G16" s="98">
        <v>17.957866668701172</v>
      </c>
      <c r="H16" s="98">
        <f t="shared" si="2"/>
        <v>17.968872034910952</v>
      </c>
      <c r="I16" s="98">
        <f t="shared" si="3"/>
        <v>17.892009699705874</v>
      </c>
      <c r="J16" s="98">
        <f t="shared" si="4"/>
        <v>17.868785822752749</v>
      </c>
      <c r="K16" s="103">
        <f>((H16-'Calibration R. intestinalis '!$D$45)/('Calibration R. intestinalis '!$D$44))+$B$24</f>
        <v>10.048303506849159</v>
      </c>
      <c r="L16" s="103">
        <f>((I16-'Calibration R. intestinalis '!$D$45)/('Calibration R. intestinalis '!$D$44))+$B$24</f>
        <v>10.069090032312305</v>
      </c>
      <c r="M16" s="103">
        <f>((J16-'Calibration R. intestinalis '!$D$45)/('Calibration R. intestinalis '!$D$44))+$B$24</f>
        <v>10.07537065998711</v>
      </c>
      <c r="N16" s="104">
        <f t="shared" si="5"/>
        <v>10.064254733049523</v>
      </c>
      <c r="O16" s="104">
        <f t="shared" si="6"/>
        <v>1.4166608061522892E-2</v>
      </c>
      <c r="P16" s="99">
        <f>(AVERAGE(POWER(10,K16),POWER(10,L16),POWER(10,M16)))*Calculation!$I16/Calculation!$K15</f>
        <v>12234970555.368193</v>
      </c>
      <c r="Q16" s="105">
        <f>(STDEV(POWER(10,K16),POWER(10,L16),POWER(10,M16)))*Calculation!$I16/Calculation!$K15</f>
        <v>396095591.61530757</v>
      </c>
      <c r="R16" s="104">
        <f t="shared" si="7"/>
        <v>10.087602928517681</v>
      </c>
      <c r="S16" s="104">
        <f>O16*Calculation!$I16/Calculation!$K15</f>
        <v>1.4943791786258862E-2</v>
      </c>
    </row>
    <row r="17" spans="1:19">
      <c r="A17" s="40">
        <v>13</v>
      </c>
      <c r="B17" s="32">
        <v>80</v>
      </c>
      <c r="C17" s="32">
        <f t="shared" si="8"/>
        <v>1080</v>
      </c>
      <c r="D17" s="13">
        <f t="shared" si="0"/>
        <v>18</v>
      </c>
      <c r="E17" s="98">
        <v>18.30394172668457</v>
      </c>
      <c r="F17" s="98">
        <v>17.975973129272461</v>
      </c>
      <c r="G17" s="98">
        <v>17.984285354614258</v>
      </c>
      <c r="H17" s="98">
        <f t="shared" si="2"/>
        <v>18.214860880736147</v>
      </c>
      <c r="I17" s="98">
        <f t="shared" si="3"/>
        <v>17.886892283324038</v>
      </c>
      <c r="J17" s="98">
        <f t="shared" si="4"/>
        <v>17.895204508665834</v>
      </c>
      <c r="K17" s="103">
        <f>((H17-'Calibration R. intestinalis '!$D$45)/('Calibration R. intestinalis '!$D$44))+$B$24</f>
        <v>9.9817786817348466</v>
      </c>
      <c r="L17" s="103">
        <f>((I17-'Calibration R. intestinalis '!$D$45)/('Calibration R. intestinalis '!$D$44))+$B$24</f>
        <v>10.070473978111542</v>
      </c>
      <c r="M17" s="103">
        <f>((J17-'Calibration R. intestinalis '!$D$45)/('Calibration R. intestinalis '!$D$44))+$B$24</f>
        <v>10.068226033350799</v>
      </c>
      <c r="N17" s="104">
        <f t="shared" si="5"/>
        <v>10.040159564399062</v>
      </c>
      <c r="O17" s="104">
        <f t="shared" si="6"/>
        <v>5.0571819320660523E-2</v>
      </c>
      <c r="P17" s="99">
        <f>(AVERAGE(POWER(10,K17),POWER(10,L17),POWER(10,M17)))*Calculation!$I17/Calculation!$K16</f>
        <v>11632630866.327915</v>
      </c>
      <c r="Q17" s="105">
        <f>(STDEV(POWER(10,K17),POWER(10,L17),POWER(10,M17)))*Calculation!$I17/Calculation!$K16</f>
        <v>1306342233.6615014</v>
      </c>
      <c r="R17" s="104">
        <f t="shared" si="7"/>
        <v>10.065677947016987</v>
      </c>
      <c r="S17" s="104">
        <f>O17*Calculation!$I17/Calculation!$K16</f>
        <v>5.3396151830502919E-2</v>
      </c>
    </row>
    <row r="18" spans="1:19">
      <c r="A18" s="40">
        <v>14</v>
      </c>
      <c r="B18" s="32">
        <v>360</v>
      </c>
      <c r="C18" s="32">
        <f t="shared" si="8"/>
        <v>1440</v>
      </c>
      <c r="D18" s="13">
        <f t="shared" si="0"/>
        <v>24</v>
      </c>
      <c r="E18" s="98">
        <v>17.970258712768555</v>
      </c>
      <c r="F18" s="98">
        <v>18.092458724975586</v>
      </c>
      <c r="G18" s="98">
        <v>17.947610855102539</v>
      </c>
      <c r="H18" s="98">
        <f t="shared" si="2"/>
        <v>17.881177866820131</v>
      </c>
      <c r="I18" s="98">
        <f t="shared" si="3"/>
        <v>18.003377879027163</v>
      </c>
      <c r="J18" s="98">
        <f t="shared" si="4"/>
        <v>17.858530009154116</v>
      </c>
      <c r="K18" s="103">
        <f>((H18-'Calibration R. intestinalis '!$D$45)/('Calibration R. intestinalis '!$D$44))+$B$24</f>
        <v>10.072019375657018</v>
      </c>
      <c r="L18" s="103">
        <f>((I18-'Calibration R. intestinalis '!$D$45)/('Calibration R. intestinalis '!$D$44))+$B$24</f>
        <v>10.038971802244617</v>
      </c>
      <c r="M18" s="103">
        <f>((J18-'Calibration R. intestinalis '!$D$45)/('Calibration R. intestinalis '!$D$44))+$B$24</f>
        <v>10.078144225608613</v>
      </c>
      <c r="N18" s="104">
        <f t="shared" si="5"/>
        <v>10.063045134503417</v>
      </c>
      <c r="O18" s="104">
        <f t="shared" si="6"/>
        <v>2.1071840006612306E-2</v>
      </c>
      <c r="P18" s="99">
        <f>(AVERAGE(POWER(10,K18),POWER(10,L18),POWER(10,M18)))*Calculation!$I18/Calculation!$K17</f>
        <v>12229534841.453115</v>
      </c>
      <c r="Q18" s="105">
        <f>(STDEV(POWER(10,K18),POWER(10,L18),POWER(10,M18)))*Calculation!$I18/Calculation!$K17</f>
        <v>585630539.74391711</v>
      </c>
      <c r="R18" s="104">
        <f t="shared" si="7"/>
        <v>10.087409938668994</v>
      </c>
      <c r="S18" s="104">
        <f>O18*Calculation!$I18/Calculation!$K17</f>
        <v>2.2270471515018479E-2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8">
        <v>18.472358703613281</v>
      </c>
      <c r="F19" s="98">
        <v>18.396371841430664</v>
      </c>
      <c r="G19" s="98">
        <v>18.442085266113281</v>
      </c>
      <c r="H19" s="98">
        <f t="shared" si="2"/>
        <v>18.383277857664858</v>
      </c>
      <c r="I19" s="98">
        <f t="shared" si="3"/>
        <v>18.307290995482241</v>
      </c>
      <c r="J19" s="98">
        <f t="shared" si="4"/>
        <v>18.353004420164858</v>
      </c>
      <c r="K19" s="103">
        <f>((H19-'Calibration R. intestinalis '!$D$45)/('Calibration R. intestinalis '!$D$44))+$B$24</f>
        <v>9.9362322672261758</v>
      </c>
      <c r="L19" s="103">
        <f>((I19-'Calibration R. intestinalis '!$D$45)/('Calibration R. intestinalis '!$D$44))+$B$24</f>
        <v>9.9567820311828559</v>
      </c>
      <c r="M19" s="103">
        <f>((J19-'Calibration R. intestinalis '!$D$45)/('Calibration R. intestinalis '!$D$44))+$B$24</f>
        <v>9.9444193666393232</v>
      </c>
      <c r="N19" s="104">
        <f t="shared" si="5"/>
        <v>9.945811221682785</v>
      </c>
      <c r="O19" s="104">
        <f t="shared" si="6"/>
        <v>1.0345344122614975E-2</v>
      </c>
      <c r="P19" s="99">
        <f>(AVERAGE(POWER(10,K19),POWER(10,L19),POWER(10,M19)))*Calculation!$I19/Calculation!$K18</f>
        <v>9330833600.5667114</v>
      </c>
      <c r="Q19" s="105">
        <f>(STDEV(POWER(10,K19),POWER(10,L19),POWER(10,M19)))*Calculation!$I19/Calculation!$K18</f>
        <v>222778185.83894464</v>
      </c>
      <c r="R19" s="104">
        <f>LOG(P19)</f>
        <v>9.9699204445990475</v>
      </c>
      <c r="S19" s="104">
        <f>O19*Calculation!$I19/Calculation!$K18</f>
        <v>1.0933819330607242E-2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8">
        <v>20.14149284362793</v>
      </c>
      <c r="F20" s="98">
        <v>20.281229019165039</v>
      </c>
      <c r="G20" s="98">
        <v>20.400838851928711</v>
      </c>
      <c r="H20" s="98">
        <f t="shared" si="2"/>
        <v>20.052411997679506</v>
      </c>
      <c r="I20" s="98">
        <f t="shared" si="3"/>
        <v>20.192148173216616</v>
      </c>
      <c r="J20" s="98">
        <f t="shared" si="4"/>
        <v>20.311758005980288</v>
      </c>
      <c r="K20" s="103">
        <f>((H20-'Calibration R. intestinalis '!$D$45)/('Calibration R. intestinalis '!$D$44))+$B$24</f>
        <v>9.4848343333714418</v>
      </c>
      <c r="L20" s="103">
        <f>((I20-'Calibration R. intestinalis '!$D$45)/('Calibration R. intestinalis '!$D$44))+$B$24</f>
        <v>9.4470443083458555</v>
      </c>
      <c r="M20" s="103">
        <f>((J20-'Calibration R. intestinalis '!$D$45)/('Calibration R. intestinalis '!$D$44))+$B$24</f>
        <v>9.4146972188676195</v>
      </c>
      <c r="N20" s="104">
        <f t="shared" si="5"/>
        <v>9.4488586201949722</v>
      </c>
      <c r="O20" s="104">
        <f t="shared" si="6"/>
        <v>3.5103739164723674E-2</v>
      </c>
      <c r="P20" s="99">
        <f>(AVERAGE(POWER(10,K20),POWER(10,L20),POWER(10,M20)))*Calculation!$I20/Calculation!$K19</f>
        <v>2977370142.6492705</v>
      </c>
      <c r="Q20" s="105">
        <f>(STDEV(POWER(10,K20),POWER(10,L20),POWER(10,M20)))*Calculation!$I20/Calculation!$K19</f>
        <v>241211163.90030956</v>
      </c>
      <c r="R20" s="104">
        <f>LOG(P20)</f>
        <v>9.47383282890857</v>
      </c>
      <c r="S20" s="104">
        <f>O20*Calculation!$I20/Calculation!$K19</f>
        <v>3.7100548546937388E-2</v>
      </c>
    </row>
    <row r="21" spans="1:19">
      <c r="A21" s="10"/>
      <c r="B21" s="10"/>
      <c r="C21" s="10"/>
      <c r="D21" s="107"/>
    </row>
    <row r="24" spans="1:19">
      <c r="A24" s="101" t="s">
        <v>237</v>
      </c>
      <c r="B24" s="108">
        <f>LOG(B25)</f>
        <v>3.6532125137753435</v>
      </c>
    </row>
    <row r="25" spans="1:19">
      <c r="A25" s="84" t="s">
        <v>238</v>
      </c>
      <c r="B25" s="84">
        <f>20*1800/4/2</f>
        <v>4500</v>
      </c>
    </row>
    <row r="26" spans="1:19">
      <c r="E26" s="146" t="s">
        <v>221</v>
      </c>
      <c r="F26" s="146"/>
      <c r="G26" s="146"/>
      <c r="H26" s="146"/>
    </row>
    <row r="27" spans="1:19">
      <c r="A27" s="97" t="s">
        <v>239</v>
      </c>
      <c r="B27" s="97" t="s">
        <v>240</v>
      </c>
      <c r="E27" s="98">
        <v>15.713388442993164</v>
      </c>
      <c r="F27" s="98">
        <v>15.726656913757324</v>
      </c>
      <c r="G27" s="98">
        <v>15.612536430358887</v>
      </c>
      <c r="H27" s="109">
        <f>AVERAGE(E27:G27)</f>
        <v>15.684193929036459</v>
      </c>
    </row>
    <row r="28" spans="1:19">
      <c r="A28" s="97" t="s">
        <v>239</v>
      </c>
      <c r="B28" s="97" t="s">
        <v>241</v>
      </c>
      <c r="E28" s="110">
        <v>15.18875789642334</v>
      </c>
      <c r="F28" s="109">
        <v>15.280285835266113</v>
      </c>
      <c r="G28" s="109">
        <v>15.261421203613281</v>
      </c>
      <c r="H28" s="109">
        <f t="shared" ref="H28:H69" si="9">AVERAGE(E28:G28)</f>
        <v>15.243488311767578</v>
      </c>
    </row>
    <row r="29" spans="1:19">
      <c r="A29" s="97" t="s">
        <v>239</v>
      </c>
      <c r="B29" s="97" t="s">
        <v>242</v>
      </c>
      <c r="E29" s="110">
        <v>15.903929710388184</v>
      </c>
      <c r="F29" s="109">
        <v>15.71695613861084</v>
      </c>
      <c r="G29" s="109">
        <v>15.745060920715332</v>
      </c>
      <c r="H29" s="109">
        <f t="shared" si="9"/>
        <v>15.788648923238119</v>
      </c>
    </row>
    <row r="30" spans="1:19">
      <c r="A30" s="97" t="s">
        <v>239</v>
      </c>
      <c r="B30" s="97" t="s">
        <v>243</v>
      </c>
      <c r="E30" s="110">
        <v>15.95374870300293</v>
      </c>
      <c r="F30" s="109">
        <v>15.781205177307129</v>
      </c>
      <c r="G30" s="109">
        <v>15.694306373596191</v>
      </c>
      <c r="H30" s="109">
        <f t="shared" si="9"/>
        <v>15.80975341796875</v>
      </c>
    </row>
    <row r="31" spans="1:19">
      <c r="A31" s="97" t="s">
        <v>244</v>
      </c>
      <c r="B31" s="97" t="s">
        <v>245</v>
      </c>
      <c r="E31" s="110">
        <v>15.793012619018555</v>
      </c>
      <c r="F31" s="109">
        <v>15.662893295288086</v>
      </c>
      <c r="G31" s="109">
        <v>15.729142189025879</v>
      </c>
      <c r="H31" s="109">
        <f t="shared" si="9"/>
        <v>15.728349367777506</v>
      </c>
    </row>
    <row r="32" spans="1:19">
      <c r="A32" s="97" t="s">
        <v>244</v>
      </c>
      <c r="B32" s="97" t="s">
        <v>246</v>
      </c>
      <c r="E32" s="110">
        <v>15.790358543395996</v>
      </c>
      <c r="F32" s="109">
        <v>15.747311592102051</v>
      </c>
      <c r="G32" s="109">
        <v>15.724276542663574</v>
      </c>
      <c r="H32" s="109">
        <f t="shared" si="9"/>
        <v>15.753982226053873</v>
      </c>
    </row>
    <row r="33" spans="1:8">
      <c r="A33" s="97" t="s">
        <v>244</v>
      </c>
      <c r="B33" s="97" t="s">
        <v>246</v>
      </c>
      <c r="E33" s="110">
        <v>15.449001312255859</v>
      </c>
      <c r="F33" s="109">
        <v>15.556774139404297</v>
      </c>
      <c r="G33" s="109">
        <v>15.49962043762207</v>
      </c>
      <c r="H33" s="109">
        <f t="shared" si="9"/>
        <v>15.501798629760742</v>
      </c>
    </row>
    <row r="34" spans="1:8">
      <c r="A34" s="97" t="s">
        <v>244</v>
      </c>
      <c r="B34" s="97" t="s">
        <v>247</v>
      </c>
      <c r="E34" s="110">
        <v>15.347023010253906</v>
      </c>
      <c r="F34" s="109">
        <v>15.780600547790527</v>
      </c>
      <c r="G34" s="109">
        <v>15.718053817749023</v>
      </c>
      <c r="H34" s="109">
        <f t="shared" si="9"/>
        <v>15.615225791931152</v>
      </c>
    </row>
    <row r="35" spans="1:8">
      <c r="A35" s="97" t="s">
        <v>248</v>
      </c>
      <c r="B35" s="97" t="s">
        <v>247</v>
      </c>
      <c r="E35" s="110">
        <v>15.825298309326172</v>
      </c>
      <c r="F35" s="109">
        <v>15.804603576660156</v>
      </c>
      <c r="G35" s="109">
        <v>15.760408401489258</v>
      </c>
      <c r="H35" s="109">
        <f t="shared" si="9"/>
        <v>15.796770095825195</v>
      </c>
    </row>
    <row r="36" spans="1:8">
      <c r="A36" s="97" t="s">
        <v>248</v>
      </c>
      <c r="B36" s="97" t="s">
        <v>249</v>
      </c>
      <c r="E36" s="110">
        <v>15.800871849060059</v>
      </c>
      <c r="F36" s="109">
        <v>15.699575424194336</v>
      </c>
      <c r="G36" s="109">
        <v>15.968178749084473</v>
      </c>
      <c r="H36" s="109">
        <f t="shared" si="9"/>
        <v>15.822875340779623</v>
      </c>
    </row>
    <row r="37" spans="1:8">
      <c r="A37" s="97" t="s">
        <v>248</v>
      </c>
      <c r="B37" s="97" t="s">
        <v>249</v>
      </c>
      <c r="E37" s="110">
        <v>15.717584609985352</v>
      </c>
      <c r="F37" s="109">
        <v>15.693602561950684</v>
      </c>
      <c r="G37" s="109">
        <v>15.63984489440918</v>
      </c>
      <c r="H37" s="109">
        <f t="shared" si="9"/>
        <v>15.683677355448404</v>
      </c>
    </row>
    <row r="38" spans="1:8">
      <c r="A38" s="97" t="s">
        <v>248</v>
      </c>
      <c r="B38" s="97" t="s">
        <v>249</v>
      </c>
      <c r="E38" s="110">
        <v>15.61665153503418</v>
      </c>
      <c r="F38" s="109">
        <v>15.740999221801758</v>
      </c>
      <c r="G38" s="109">
        <v>15.586724281311035</v>
      </c>
      <c r="H38" s="109">
        <f t="shared" si="9"/>
        <v>15.648125012715658</v>
      </c>
    </row>
    <row r="39" spans="1:8">
      <c r="A39" s="97" t="s">
        <v>250</v>
      </c>
      <c r="B39" s="97" t="s">
        <v>251</v>
      </c>
      <c r="E39" s="110">
        <v>15.755837440490723</v>
      </c>
      <c r="F39" s="109">
        <v>15.457893371582031</v>
      </c>
      <c r="G39" s="109">
        <v>15.691001892089844</v>
      </c>
      <c r="H39" s="109">
        <f t="shared" si="9"/>
        <v>15.634910901387533</v>
      </c>
    </row>
    <row r="40" spans="1:8">
      <c r="A40" s="97" t="s">
        <v>250</v>
      </c>
      <c r="B40" s="97" t="s">
        <v>251</v>
      </c>
      <c r="E40" s="110">
        <v>15.560844421386719</v>
      </c>
      <c r="F40" s="109">
        <v>15.738679885864258</v>
      </c>
      <c r="G40" s="109">
        <v>15.730792999267578</v>
      </c>
      <c r="H40" s="109">
        <f t="shared" si="9"/>
        <v>15.676772435506185</v>
      </c>
    </row>
    <row r="41" spans="1:8">
      <c r="A41" s="97" t="s">
        <v>250</v>
      </c>
      <c r="B41" s="97" t="s">
        <v>252</v>
      </c>
      <c r="E41" s="110">
        <v>15.789995193481445</v>
      </c>
      <c r="F41" s="109">
        <v>15.670146942138672</v>
      </c>
      <c r="G41" s="109">
        <v>15.804409980773926</v>
      </c>
      <c r="H41" s="109">
        <f t="shared" si="9"/>
        <v>15.754850705464682</v>
      </c>
    </row>
    <row r="42" spans="1:8">
      <c r="A42" s="97" t="s">
        <v>250</v>
      </c>
      <c r="B42" s="97" t="s">
        <v>253</v>
      </c>
      <c r="E42" s="110">
        <v>15.759750366210938</v>
      </c>
      <c r="F42" s="109">
        <v>15.668698310852051</v>
      </c>
      <c r="G42" s="109">
        <v>15.640106201171875</v>
      </c>
      <c r="H42" s="109">
        <f t="shared" si="9"/>
        <v>15.689518292744955</v>
      </c>
    </row>
    <row r="43" spans="1:8">
      <c r="A43" s="97" t="s">
        <v>254</v>
      </c>
      <c r="B43" s="97" t="s">
        <v>255</v>
      </c>
      <c r="E43" s="110">
        <v>15.258575439453125</v>
      </c>
      <c r="F43" s="109">
        <v>15.478802680969238</v>
      </c>
      <c r="G43" s="109">
        <v>15.974754333496094</v>
      </c>
      <c r="H43" s="109">
        <f t="shared" si="9"/>
        <v>15.570710817972818</v>
      </c>
    </row>
    <row r="44" spans="1:8">
      <c r="A44" s="97" t="s">
        <v>254</v>
      </c>
      <c r="B44" s="97" t="s">
        <v>278</v>
      </c>
      <c r="E44" s="110">
        <v>15.35291576385498</v>
      </c>
      <c r="F44" s="109">
        <v>15.170954704284668</v>
      </c>
      <c r="G44" s="109">
        <v>15.236812591552734</v>
      </c>
      <c r="H44" s="109">
        <f t="shared" si="9"/>
        <v>15.253561019897461</v>
      </c>
    </row>
    <row r="45" spans="1:8">
      <c r="A45" s="97" t="s">
        <v>254</v>
      </c>
      <c r="B45" s="97" t="s">
        <v>279</v>
      </c>
      <c r="E45" s="110">
        <v>15.810567855834961</v>
      </c>
      <c r="F45" s="109">
        <v>15.790656089782715</v>
      </c>
      <c r="G45" s="109">
        <v>15.956247329711914</v>
      </c>
      <c r="H45" s="109">
        <f t="shared" si="9"/>
        <v>15.852490425109863</v>
      </c>
    </row>
    <row r="46" spans="1:8">
      <c r="A46" s="97" t="s">
        <v>254</v>
      </c>
      <c r="B46" s="97" t="s">
        <v>280</v>
      </c>
      <c r="E46" s="110">
        <v>15.760116577148438</v>
      </c>
      <c r="F46" s="109">
        <v>15.89314079284668</v>
      </c>
      <c r="G46" s="109">
        <v>15.903885841369629</v>
      </c>
      <c r="H46" s="109">
        <f t="shared" si="9"/>
        <v>15.852381070454916</v>
      </c>
    </row>
    <row r="47" spans="1:8">
      <c r="A47" s="97" t="s">
        <v>281</v>
      </c>
      <c r="B47" s="97" t="s">
        <v>282</v>
      </c>
      <c r="E47" s="110">
        <v>15.956473350524902</v>
      </c>
      <c r="F47" s="109">
        <v>15.595272064208984</v>
      </c>
      <c r="G47" s="109">
        <v>15.919502258300781</v>
      </c>
      <c r="H47" s="109">
        <f t="shared" si="9"/>
        <v>15.823749224344889</v>
      </c>
    </row>
    <row r="48" spans="1:8">
      <c r="A48" s="97" t="s">
        <v>281</v>
      </c>
      <c r="B48" s="97" t="s">
        <v>283</v>
      </c>
      <c r="E48" s="110">
        <v>15.711461067199707</v>
      </c>
      <c r="F48" s="109">
        <v>15.73438835144043</v>
      </c>
      <c r="G48" s="109">
        <v>15.689187049865723</v>
      </c>
      <c r="H48" s="109">
        <f t="shared" si="9"/>
        <v>15.711678822835287</v>
      </c>
    </row>
    <row r="49" spans="1:8">
      <c r="A49" s="97" t="s">
        <v>281</v>
      </c>
      <c r="B49" s="97" t="s">
        <v>284</v>
      </c>
      <c r="E49" s="110">
        <v>15.574808120727539</v>
      </c>
      <c r="F49" s="109">
        <v>15.501856803894043</v>
      </c>
      <c r="G49" s="109">
        <v>15.596255302429199</v>
      </c>
      <c r="H49" s="109">
        <f t="shared" si="9"/>
        <v>15.557640075683594</v>
      </c>
    </row>
    <row r="50" spans="1:8">
      <c r="A50" s="97" t="s">
        <v>281</v>
      </c>
      <c r="B50" s="97" t="s">
        <v>285</v>
      </c>
      <c r="E50" s="110">
        <v>15.60640811920166</v>
      </c>
      <c r="F50" s="109">
        <v>15.595258712768555</v>
      </c>
      <c r="G50" s="109">
        <v>15.58064079284668</v>
      </c>
      <c r="H50" s="109">
        <f t="shared" si="9"/>
        <v>15.594102541605631</v>
      </c>
    </row>
    <row r="51" spans="1:8">
      <c r="A51" s="97" t="s">
        <v>286</v>
      </c>
      <c r="B51" s="97" t="s">
        <v>287</v>
      </c>
      <c r="E51" s="110">
        <v>15.40764331817627</v>
      </c>
      <c r="F51" s="109">
        <v>15.702505111694336</v>
      </c>
      <c r="G51" s="109">
        <v>15.805522918701172</v>
      </c>
      <c r="H51" s="109">
        <f t="shared" si="9"/>
        <v>15.638557116190592</v>
      </c>
    </row>
    <row r="52" spans="1:8">
      <c r="A52" s="61" t="s">
        <v>286</v>
      </c>
      <c r="B52" s="61" t="s">
        <v>288</v>
      </c>
      <c r="C52" s="61"/>
      <c r="D52" s="61"/>
      <c r="E52" s="110">
        <v>15.5</v>
      </c>
      <c r="F52" s="109">
        <v>15.5</v>
      </c>
      <c r="G52" s="109">
        <v>15.4</v>
      </c>
      <c r="H52" s="109">
        <f t="shared" si="9"/>
        <v>15.466666666666667</v>
      </c>
    </row>
    <row r="53" spans="1:8">
      <c r="A53" s="61" t="s">
        <v>286</v>
      </c>
      <c r="B53" s="61" t="s">
        <v>288</v>
      </c>
      <c r="C53" s="61"/>
      <c r="D53" s="61"/>
      <c r="E53" s="122">
        <v>15.8</v>
      </c>
      <c r="F53" s="123">
        <v>15.4</v>
      </c>
      <c r="G53" s="123">
        <v>15.4</v>
      </c>
      <c r="H53" s="109">
        <f t="shared" si="9"/>
        <v>15.533333333333333</v>
      </c>
    </row>
    <row r="54" spans="1:8">
      <c r="A54" s="61" t="s">
        <v>286</v>
      </c>
      <c r="B54" s="61" t="s">
        <v>289</v>
      </c>
      <c r="C54" s="61"/>
      <c r="D54" s="61"/>
      <c r="E54" s="122">
        <v>15.6</v>
      </c>
      <c r="F54" s="123">
        <v>15.5</v>
      </c>
      <c r="G54" s="123">
        <v>15.6</v>
      </c>
      <c r="H54" s="109">
        <f t="shared" si="9"/>
        <v>15.566666666666668</v>
      </c>
    </row>
    <row r="55" spans="1:8">
      <c r="A55" s="61" t="s">
        <v>290</v>
      </c>
      <c r="B55" s="61" t="s">
        <v>291</v>
      </c>
      <c r="C55" s="61"/>
      <c r="D55" s="61"/>
      <c r="E55" s="122">
        <v>15.6</v>
      </c>
      <c r="F55" s="123">
        <v>15.6</v>
      </c>
      <c r="G55" s="123">
        <v>15.8</v>
      </c>
      <c r="H55" s="109">
        <f t="shared" si="9"/>
        <v>15.666666666666666</v>
      </c>
    </row>
    <row r="56" spans="1:8">
      <c r="A56" s="61" t="s">
        <v>290</v>
      </c>
      <c r="B56" s="61" t="s">
        <v>291</v>
      </c>
      <c r="C56" s="61"/>
      <c r="D56" s="61"/>
      <c r="E56" s="122">
        <v>15.577789306640625</v>
      </c>
      <c r="F56" s="123">
        <v>15.603015899658203</v>
      </c>
      <c r="G56" s="123">
        <v>15.626909255981445</v>
      </c>
      <c r="H56" s="109">
        <f t="shared" si="9"/>
        <v>15.602571487426758</v>
      </c>
    </row>
    <row r="57" spans="1:8">
      <c r="A57" s="97" t="s">
        <v>290</v>
      </c>
      <c r="B57" s="97" t="s">
        <v>292</v>
      </c>
      <c r="E57" s="122">
        <v>15.925136566162109</v>
      </c>
      <c r="F57" s="123"/>
      <c r="G57" s="123">
        <v>15.940312385559082</v>
      </c>
      <c r="H57" s="109">
        <f t="shared" si="9"/>
        <v>15.932724475860596</v>
      </c>
    </row>
    <row r="58" spans="1:8">
      <c r="A58" s="97" t="s">
        <v>290</v>
      </c>
      <c r="B58" s="97" t="s">
        <v>292</v>
      </c>
      <c r="E58" s="110">
        <v>15.2</v>
      </c>
      <c r="F58" s="109">
        <v>15.3</v>
      </c>
      <c r="G58" s="109">
        <v>15.4</v>
      </c>
      <c r="H58" s="109">
        <f t="shared" si="9"/>
        <v>15.299999999999999</v>
      </c>
    </row>
    <row r="59" spans="1:8">
      <c r="A59" s="97" t="s">
        <v>293</v>
      </c>
      <c r="B59" s="97" t="s">
        <v>294</v>
      </c>
      <c r="E59" s="110">
        <v>15.989936828613281</v>
      </c>
      <c r="F59" s="109">
        <v>15.856328964233398</v>
      </c>
      <c r="G59" s="109">
        <v>15.836997985839844</v>
      </c>
      <c r="H59" s="109">
        <f t="shared" si="9"/>
        <v>15.894421259562174</v>
      </c>
    </row>
    <row r="60" spans="1:8">
      <c r="A60" s="97" t="s">
        <v>293</v>
      </c>
      <c r="B60" s="97" t="s">
        <v>308</v>
      </c>
      <c r="E60" s="110">
        <v>15.699069023132324</v>
      </c>
      <c r="F60" s="109">
        <v>15.817172050476074</v>
      </c>
      <c r="G60" s="109">
        <v>16.075807571411133</v>
      </c>
      <c r="H60" s="109">
        <f t="shared" si="9"/>
        <v>15.86401621500651</v>
      </c>
    </row>
    <row r="61" spans="1:8">
      <c r="A61" s="97" t="s">
        <v>293</v>
      </c>
      <c r="B61" s="97" t="s">
        <v>309</v>
      </c>
      <c r="E61" s="110">
        <v>14.193151473999023</v>
      </c>
      <c r="F61" s="109">
        <v>14.592436790466309</v>
      </c>
      <c r="G61" s="109">
        <v>14.826726913452148</v>
      </c>
      <c r="H61" s="109">
        <f t="shared" si="9"/>
        <v>14.53743839263916</v>
      </c>
    </row>
    <row r="62" spans="1:8">
      <c r="A62" s="97" t="s">
        <v>310</v>
      </c>
      <c r="B62" s="97" t="s">
        <v>309</v>
      </c>
      <c r="E62" s="110">
        <v>15.753643035888672</v>
      </c>
      <c r="F62" s="109">
        <v>15.53950309753418</v>
      </c>
      <c r="G62" s="109">
        <v>16.160148620605469</v>
      </c>
      <c r="H62" s="109">
        <f t="shared" si="9"/>
        <v>15.81776491800944</v>
      </c>
    </row>
    <row r="63" spans="1:8">
      <c r="A63" s="97" t="s">
        <v>310</v>
      </c>
      <c r="B63" s="97" t="s">
        <v>311</v>
      </c>
      <c r="E63" s="110">
        <v>16.152790069580078</v>
      </c>
      <c r="F63" s="109">
        <v>15.918967247009277</v>
      </c>
      <c r="G63" s="109">
        <v>16.004350662231445</v>
      </c>
      <c r="H63" s="109">
        <f t="shared" si="9"/>
        <v>16.025369326273601</v>
      </c>
    </row>
    <row r="64" spans="1:8">
      <c r="A64" s="97" t="s">
        <v>310</v>
      </c>
      <c r="B64" s="97" t="s">
        <v>312</v>
      </c>
      <c r="E64" s="110">
        <v>15.725796699523926</v>
      </c>
      <c r="F64" s="109">
        <v>15.72511100769043</v>
      </c>
      <c r="G64" s="109">
        <v>15.700724601745605</v>
      </c>
      <c r="H64" s="109">
        <f t="shared" si="9"/>
        <v>15.71721076965332</v>
      </c>
    </row>
    <row r="65" spans="1:8">
      <c r="A65" s="97" t="s">
        <v>310</v>
      </c>
      <c r="B65" s="97" t="s">
        <v>313</v>
      </c>
      <c r="E65" s="110">
        <v>15.868610382080078</v>
      </c>
      <c r="F65" s="109">
        <v>15.950244903564453</v>
      </c>
      <c r="G65" s="109">
        <v>15.73750114440918</v>
      </c>
      <c r="H65" s="109">
        <f t="shared" si="9"/>
        <v>15.852118810017904</v>
      </c>
    </row>
    <row r="66" spans="1:8">
      <c r="A66" s="97" t="s">
        <v>310</v>
      </c>
      <c r="B66" s="97" t="s">
        <v>313</v>
      </c>
      <c r="E66" s="110">
        <v>15.411773681640625</v>
      </c>
      <c r="F66" s="109">
        <v>15.347482681274414</v>
      </c>
      <c r="G66" s="109">
        <v>15.357060432434082</v>
      </c>
      <c r="H66" s="109">
        <f t="shared" si="9"/>
        <v>15.372105598449707</v>
      </c>
    </row>
    <row r="67" spans="1:8">
      <c r="A67" s="97" t="s">
        <v>239</v>
      </c>
      <c r="B67" s="97" t="s">
        <v>314</v>
      </c>
      <c r="E67" s="110">
        <v>15.701089859008789</v>
      </c>
      <c r="F67" s="109">
        <v>15.69521427154541</v>
      </c>
      <c r="G67" s="109">
        <v>15.858868598937988</v>
      </c>
      <c r="H67" s="109">
        <f t="shared" si="9"/>
        <v>15.751724243164062</v>
      </c>
    </row>
    <row r="68" spans="1:8">
      <c r="A68" s="97" t="s">
        <v>239</v>
      </c>
      <c r="B68" s="97" t="s">
        <v>315</v>
      </c>
      <c r="E68" s="110">
        <v>15.664003372192383</v>
      </c>
      <c r="F68" s="109">
        <v>15.706714630126953</v>
      </c>
      <c r="G68" s="109">
        <v>15.883712768554688</v>
      </c>
      <c r="H68" s="109">
        <f t="shared" si="9"/>
        <v>15.751476923624674</v>
      </c>
    </row>
    <row r="69" spans="1:8">
      <c r="A69" s="97" t="s">
        <v>239</v>
      </c>
      <c r="B69" s="97" t="s">
        <v>315</v>
      </c>
      <c r="E69" s="110">
        <v>15.815454483032227</v>
      </c>
      <c r="F69" s="109">
        <v>15.873584747314453</v>
      </c>
      <c r="G69" s="109">
        <v>15.955685615539551</v>
      </c>
      <c r="H69" s="109">
        <f t="shared" si="9"/>
        <v>15.881574948628744</v>
      </c>
    </row>
    <row r="70" spans="1:8">
      <c r="A70" s="97" t="s">
        <v>239</v>
      </c>
      <c r="B70" s="97" t="s">
        <v>321</v>
      </c>
      <c r="E70" s="110">
        <v>15.894612312316895</v>
      </c>
      <c r="F70" s="109">
        <v>15.946266174316406</v>
      </c>
      <c r="G70" s="109">
        <v>15.963062286376953</v>
      </c>
      <c r="H70" s="109">
        <f>AVERAGE(E70:G70)</f>
        <v>15.934646924336752</v>
      </c>
    </row>
    <row r="71" spans="1:8">
      <c r="A71" s="97"/>
      <c r="B71" s="97"/>
      <c r="E71"/>
    </row>
    <row r="72" spans="1:8">
      <c r="F72" s="97" t="s">
        <v>256</v>
      </c>
      <c r="H72" s="112">
        <f>AVERAGE(H27:H70)</f>
        <v>15.662643397215641</v>
      </c>
    </row>
  </sheetData>
  <mergeCells count="20">
    <mergeCell ref="A2:A3"/>
    <mergeCell ref="B2:B3"/>
    <mergeCell ref="C2:C3"/>
    <mergeCell ref="D2:D3"/>
    <mergeCell ref="E2:E3"/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7" workbookViewId="0">
      <selection activeCell="G30" sqref="G30"/>
    </sheetView>
  </sheetViews>
  <sheetFormatPr baseColWidth="10" defaultRowHeight="14" x14ac:dyDescent="0"/>
  <cols>
    <col min="7" max="7" width="11" bestFit="1" customWidth="1"/>
  </cols>
  <sheetData>
    <row r="1" spans="1:22">
      <c r="A1" s="84"/>
      <c r="B1" s="142" t="s">
        <v>4</v>
      </c>
      <c r="C1" s="144" t="s">
        <v>186</v>
      </c>
      <c r="D1" s="145" t="s">
        <v>18</v>
      </c>
      <c r="E1" s="145"/>
      <c r="F1" s="145"/>
      <c r="G1" s="145"/>
      <c r="H1" s="145" t="s">
        <v>20</v>
      </c>
      <c r="I1" s="145"/>
      <c r="J1" s="145"/>
      <c r="K1" s="145"/>
      <c r="L1" s="145" t="s">
        <v>21</v>
      </c>
      <c r="M1" s="145"/>
      <c r="N1" s="145"/>
      <c r="O1" s="145"/>
      <c r="P1" s="83" t="s">
        <v>22</v>
      </c>
      <c r="Q1" s="83" t="s">
        <v>22</v>
      </c>
      <c r="R1" s="83" t="s">
        <v>22</v>
      </c>
      <c r="S1" s="149" t="s">
        <v>257</v>
      </c>
      <c r="T1" s="84"/>
      <c r="U1" s="84"/>
      <c r="V1" s="84"/>
    </row>
    <row r="2" spans="1:22">
      <c r="A2" s="84"/>
      <c r="B2" s="143"/>
      <c r="C2" s="143"/>
      <c r="D2" s="85" t="s">
        <v>19</v>
      </c>
      <c r="E2" s="85" t="s">
        <v>68</v>
      </c>
      <c r="F2" s="85" t="s">
        <v>69</v>
      </c>
      <c r="G2" s="85" t="s">
        <v>70</v>
      </c>
      <c r="H2" s="85" t="s">
        <v>19</v>
      </c>
      <c r="I2" s="85" t="s">
        <v>68</v>
      </c>
      <c r="J2" s="85" t="s">
        <v>69</v>
      </c>
      <c r="K2" s="85" t="s">
        <v>70</v>
      </c>
      <c r="L2" s="85" t="s">
        <v>19</v>
      </c>
      <c r="M2" s="85" t="s">
        <v>68</v>
      </c>
      <c r="N2" s="85" t="s">
        <v>69</v>
      </c>
      <c r="O2" s="85" t="s">
        <v>71</v>
      </c>
      <c r="P2" s="86" t="s">
        <v>70</v>
      </c>
      <c r="Q2" s="86" t="s">
        <v>23</v>
      </c>
      <c r="R2" s="86" t="s">
        <v>72</v>
      </c>
      <c r="S2" s="150"/>
      <c r="T2" s="84"/>
      <c r="U2" s="84"/>
      <c r="V2" s="84"/>
    </row>
    <row r="3" spans="1:22">
      <c r="A3" s="84"/>
      <c r="B3" s="87"/>
      <c r="C3" s="87"/>
      <c r="D3" s="88"/>
      <c r="E3" s="88"/>
      <c r="F3" s="88"/>
      <c r="G3" s="89"/>
      <c r="H3" s="88"/>
      <c r="I3" s="88"/>
      <c r="J3" s="88"/>
      <c r="K3" s="89"/>
      <c r="L3" s="88"/>
      <c r="M3" s="88"/>
      <c r="N3" s="88"/>
      <c r="O3" s="89"/>
      <c r="P3" s="139"/>
      <c r="Q3" s="140"/>
      <c r="R3" s="141"/>
      <c r="S3" s="84"/>
      <c r="T3" s="84"/>
      <c r="U3" s="84"/>
      <c r="V3" s="84"/>
    </row>
    <row r="4" spans="1:22">
      <c r="A4" s="84"/>
      <c r="B4" s="90" t="s">
        <v>187</v>
      </c>
      <c r="C4" s="91">
        <v>500</v>
      </c>
      <c r="D4" s="91">
        <v>2</v>
      </c>
      <c r="E4" s="91">
        <v>11777</v>
      </c>
      <c r="F4" s="91">
        <v>6</v>
      </c>
      <c r="G4" s="89">
        <f>(E4/F4)*(10.2)*POWER(10,D4+2)</f>
        <v>200208999.99999997</v>
      </c>
      <c r="H4" s="91">
        <v>2</v>
      </c>
      <c r="I4" s="91">
        <v>12350</v>
      </c>
      <c r="J4" s="91">
        <v>6</v>
      </c>
      <c r="K4" s="89">
        <f>(I4/J4)*(10.2)*POWER(10,H4+2)</f>
        <v>209950000</v>
      </c>
      <c r="L4" s="91">
        <v>2</v>
      </c>
      <c r="M4" s="91">
        <v>12193</v>
      </c>
      <c r="N4" s="91">
        <v>6</v>
      </c>
      <c r="O4" s="89">
        <f t="shared" ref="O4:O19" si="0">(M4/N4)*(10.2)*POWER(10,L4+2)</f>
        <v>207281000</v>
      </c>
      <c r="P4" s="92">
        <f t="shared" ref="P4:P19" si="1">AVERAGE(O4,K4,G4)</f>
        <v>205813333.33333334</v>
      </c>
      <c r="Q4" s="92">
        <f t="shared" ref="Q4:Q19" si="2">STDEV(O4,K4,G4)</f>
        <v>5033617.4202389978</v>
      </c>
      <c r="R4" s="93">
        <f>LOG(P4)</f>
        <v>8.313473506507659</v>
      </c>
      <c r="S4" s="97"/>
      <c r="T4" s="84"/>
      <c r="U4" s="84"/>
      <c r="V4" s="84"/>
    </row>
    <row r="5" spans="1:22">
      <c r="A5" s="84"/>
      <c r="B5" s="90" t="s">
        <v>188</v>
      </c>
      <c r="C5" s="91">
        <v>500</v>
      </c>
      <c r="D5" s="91">
        <v>1</v>
      </c>
      <c r="E5" s="91">
        <v>10368</v>
      </c>
      <c r="F5" s="91">
        <v>6</v>
      </c>
      <c r="G5" s="89">
        <f t="shared" ref="G5:G19" si="3">(E5/F5)*(10.2)*POWER(10,D5+2)</f>
        <v>17625600</v>
      </c>
      <c r="H5" s="91">
        <v>1</v>
      </c>
      <c r="I5" s="91">
        <v>11649</v>
      </c>
      <c r="J5" s="91">
        <v>6</v>
      </c>
      <c r="K5" s="89">
        <f t="shared" ref="K5:K19" si="4">(I5/J5)*(10.2)*POWER(10,H5+2)</f>
        <v>19803300</v>
      </c>
      <c r="L5" s="91">
        <v>1</v>
      </c>
      <c r="M5" s="91">
        <v>11377</v>
      </c>
      <c r="N5" s="91">
        <v>6</v>
      </c>
      <c r="O5" s="89">
        <f t="shared" si="0"/>
        <v>19340899.999999996</v>
      </c>
      <c r="P5" s="92">
        <f t="shared" si="1"/>
        <v>18923266.666666668</v>
      </c>
      <c r="Q5" s="92">
        <f t="shared" si="2"/>
        <v>1147348.0393208207</v>
      </c>
      <c r="R5" s="93">
        <f t="shared" ref="R5:R19" si="5">LOG(P5)</f>
        <v>7.2769961094890272</v>
      </c>
      <c r="S5" s="84"/>
      <c r="T5" s="84"/>
      <c r="U5" s="84"/>
      <c r="V5" s="84"/>
    </row>
    <row r="6" spans="1:22">
      <c r="A6" s="84"/>
      <c r="B6" s="90" t="s">
        <v>189</v>
      </c>
      <c r="C6" s="91">
        <v>500</v>
      </c>
      <c r="D6" s="91">
        <v>1</v>
      </c>
      <c r="E6" s="91">
        <v>1368</v>
      </c>
      <c r="F6" s="91">
        <v>6</v>
      </c>
      <c r="G6" s="89">
        <f t="shared" si="3"/>
        <v>2325600</v>
      </c>
      <c r="H6" s="91">
        <v>1</v>
      </c>
      <c r="I6" s="91">
        <v>1169</v>
      </c>
      <c r="J6" s="91">
        <v>6</v>
      </c>
      <c r="K6" s="89">
        <f t="shared" si="4"/>
        <v>1987300</v>
      </c>
      <c r="L6" s="91">
        <v>1</v>
      </c>
      <c r="M6" s="91">
        <v>1324</v>
      </c>
      <c r="N6" s="91">
        <v>6</v>
      </c>
      <c r="O6" s="89">
        <f t="shared" si="0"/>
        <v>2250799.9999999995</v>
      </c>
      <c r="P6" s="92">
        <f t="shared" si="1"/>
        <v>2187900</v>
      </c>
      <c r="Q6" s="92">
        <f t="shared" si="2"/>
        <v>177704.89582451005</v>
      </c>
      <c r="R6" s="93">
        <f t="shared" si="5"/>
        <v>6.3400274682826607</v>
      </c>
      <c r="S6" s="84"/>
      <c r="T6" s="84"/>
      <c r="U6" s="84"/>
      <c r="V6" s="84"/>
    </row>
    <row r="7" spans="1:22">
      <c r="A7" s="84"/>
      <c r="B7" s="90" t="s">
        <v>190</v>
      </c>
      <c r="C7" s="91">
        <v>500</v>
      </c>
      <c r="D7" s="91">
        <v>1</v>
      </c>
      <c r="E7" s="91">
        <v>1657</v>
      </c>
      <c r="F7" s="91">
        <v>67</v>
      </c>
      <c r="G7" s="89">
        <f>(E7/F7)*(10.2)*POWER(10,D7+2)</f>
        <v>252259.70149253728</v>
      </c>
      <c r="H7" s="91">
        <v>1</v>
      </c>
      <c r="I7" s="91">
        <v>1712</v>
      </c>
      <c r="J7" s="91">
        <v>67</v>
      </c>
      <c r="K7" s="89">
        <f t="shared" si="4"/>
        <v>260632.83582089547</v>
      </c>
      <c r="L7" s="91">
        <v>1</v>
      </c>
      <c r="M7" s="91">
        <v>1701</v>
      </c>
      <c r="N7" s="91">
        <v>67</v>
      </c>
      <c r="O7" s="89">
        <f t="shared" si="0"/>
        <v>258958.20895522388</v>
      </c>
      <c r="P7" s="92">
        <f t="shared" si="1"/>
        <v>257283.58208955219</v>
      </c>
      <c r="Q7" s="92">
        <f t="shared" si="2"/>
        <v>4430.6462253947329</v>
      </c>
      <c r="R7" s="93">
        <f t="shared" si="5"/>
        <v>5.410412073674765</v>
      </c>
      <c r="S7" s="97"/>
      <c r="T7" s="84"/>
      <c r="U7" s="84"/>
      <c r="V7" s="84"/>
    </row>
    <row r="8" spans="1:22">
      <c r="A8" s="84"/>
      <c r="B8" s="90" t="s">
        <v>191</v>
      </c>
      <c r="C8" s="91">
        <v>500</v>
      </c>
      <c r="D8" s="91">
        <v>1</v>
      </c>
      <c r="E8" s="91">
        <v>1582</v>
      </c>
      <c r="F8" s="91">
        <v>334</v>
      </c>
      <c r="G8" s="89">
        <f t="shared" si="3"/>
        <v>48312.574850299396</v>
      </c>
      <c r="H8" s="91">
        <v>1</v>
      </c>
      <c r="I8" s="91">
        <v>1222</v>
      </c>
      <c r="J8" s="91">
        <v>334</v>
      </c>
      <c r="K8" s="89">
        <f t="shared" si="4"/>
        <v>37318.562874251496</v>
      </c>
      <c r="L8" s="91">
        <v>1</v>
      </c>
      <c r="M8" s="91">
        <v>1331</v>
      </c>
      <c r="N8" s="91">
        <v>334</v>
      </c>
      <c r="O8" s="89">
        <f t="shared" si="0"/>
        <v>40647.305389221554</v>
      </c>
      <c r="P8" s="92">
        <f t="shared" si="1"/>
        <v>42092.814371257482</v>
      </c>
      <c r="Q8" s="92">
        <f t="shared" si="2"/>
        <v>5637.7475107733544</v>
      </c>
      <c r="R8" s="93">
        <f t="shared" si="5"/>
        <v>4.6242079641192557</v>
      </c>
      <c r="S8" s="97"/>
      <c r="T8" s="84"/>
      <c r="U8" s="84"/>
      <c r="V8" s="84"/>
    </row>
    <row r="9" spans="1:22">
      <c r="A9" s="84"/>
      <c r="B9" s="90" t="s">
        <v>192</v>
      </c>
      <c r="C9" s="91">
        <v>900</v>
      </c>
      <c r="D9" s="91">
        <v>2</v>
      </c>
      <c r="E9" s="91">
        <v>14797</v>
      </c>
      <c r="F9" s="91">
        <v>6</v>
      </c>
      <c r="G9" s="89">
        <f t="shared" si="3"/>
        <v>251548999.99999997</v>
      </c>
      <c r="H9" s="91">
        <v>2</v>
      </c>
      <c r="I9" s="91">
        <v>12831</v>
      </c>
      <c r="J9" s="91">
        <v>6</v>
      </c>
      <c r="K9" s="89">
        <f t="shared" si="4"/>
        <v>218126999.99999997</v>
      </c>
      <c r="L9" s="91">
        <v>2</v>
      </c>
      <c r="M9" s="91">
        <v>13557</v>
      </c>
      <c r="N9" s="91">
        <v>6</v>
      </c>
      <c r="O9" s="89">
        <f t="shared" si="0"/>
        <v>230468999.99999997</v>
      </c>
      <c r="P9" s="92">
        <f t="shared" si="1"/>
        <v>233381666.66666663</v>
      </c>
      <c r="Q9" s="92">
        <f t="shared" si="2"/>
        <v>16900302.995311458</v>
      </c>
      <c r="R9" s="93">
        <f t="shared" si="5"/>
        <v>8.3680667369783137</v>
      </c>
      <c r="S9" s="84"/>
      <c r="T9" s="84"/>
      <c r="U9" s="84"/>
      <c r="V9" s="84"/>
    </row>
    <row r="10" spans="1:22">
      <c r="A10" s="84"/>
      <c r="B10" s="90" t="s">
        <v>193</v>
      </c>
      <c r="C10" s="91">
        <v>900</v>
      </c>
      <c r="D10" s="91">
        <v>2</v>
      </c>
      <c r="E10" s="91">
        <v>6167</v>
      </c>
      <c r="F10" s="91">
        <v>6</v>
      </c>
      <c r="G10" s="89">
        <f t="shared" si="3"/>
        <v>104838999.99999999</v>
      </c>
      <c r="H10" s="91">
        <v>2</v>
      </c>
      <c r="I10" s="91">
        <v>6132</v>
      </c>
      <c r="J10" s="91">
        <v>6</v>
      </c>
      <c r="K10" s="89">
        <f t="shared" si="4"/>
        <v>104244000</v>
      </c>
      <c r="L10" s="91">
        <v>2</v>
      </c>
      <c r="M10" s="91">
        <v>5412</v>
      </c>
      <c r="N10" s="91">
        <v>6</v>
      </c>
      <c r="O10" s="89">
        <f t="shared" si="0"/>
        <v>92004000</v>
      </c>
      <c r="P10" s="92">
        <f t="shared" si="1"/>
        <v>100362333.33333333</v>
      </c>
      <c r="Q10" s="92">
        <f t="shared" si="2"/>
        <v>7244639.9726510411</v>
      </c>
      <c r="R10" s="93">
        <f t="shared" si="5"/>
        <v>8.0015707497132311</v>
      </c>
      <c r="S10" s="84"/>
      <c r="T10" s="84"/>
      <c r="U10" s="84"/>
      <c r="V10" s="84"/>
    </row>
    <row r="11" spans="1:22">
      <c r="A11" s="84"/>
      <c r="B11" s="90" t="s">
        <v>194</v>
      </c>
      <c r="C11" s="91">
        <v>900</v>
      </c>
      <c r="D11" s="91">
        <v>2</v>
      </c>
      <c r="E11" s="91">
        <v>2783</v>
      </c>
      <c r="F11" s="91">
        <v>6</v>
      </c>
      <c r="G11" s="89">
        <f t="shared" si="3"/>
        <v>47310999.999999993</v>
      </c>
      <c r="H11" s="91">
        <v>2</v>
      </c>
      <c r="I11" s="91">
        <v>2791</v>
      </c>
      <c r="J11" s="91">
        <v>6</v>
      </c>
      <c r="K11" s="89">
        <f t="shared" si="4"/>
        <v>47447000</v>
      </c>
      <c r="L11" s="91">
        <v>2</v>
      </c>
      <c r="M11" s="91">
        <v>2844</v>
      </c>
      <c r="N11" s="91">
        <v>6</v>
      </c>
      <c r="O11" s="89">
        <f t="shared" si="0"/>
        <v>48347999.999999993</v>
      </c>
      <c r="P11" s="92">
        <f t="shared" si="1"/>
        <v>47702000</v>
      </c>
      <c r="Q11" s="92">
        <f t="shared" si="2"/>
        <v>563569.87144452473</v>
      </c>
      <c r="R11" s="93">
        <f t="shared" si="5"/>
        <v>7.6785365880706147</v>
      </c>
      <c r="S11" s="84"/>
      <c r="T11" s="84"/>
      <c r="U11" s="84"/>
      <c r="V11" s="84"/>
    </row>
    <row r="12" spans="1:22">
      <c r="A12" s="84"/>
      <c r="B12" s="90" t="s">
        <v>195</v>
      </c>
      <c r="C12" s="91">
        <v>900</v>
      </c>
      <c r="D12" s="91">
        <v>1</v>
      </c>
      <c r="E12" s="91">
        <v>14347</v>
      </c>
      <c r="F12" s="91">
        <v>6</v>
      </c>
      <c r="G12" s="89">
        <f t="shared" si="3"/>
        <v>24389899.999999996</v>
      </c>
      <c r="H12" s="91">
        <v>1</v>
      </c>
      <c r="I12" s="91">
        <v>13548</v>
      </c>
      <c r="J12" s="91">
        <v>6</v>
      </c>
      <c r="K12" s="89">
        <f t="shared" si="4"/>
        <v>23031600</v>
      </c>
      <c r="L12" s="91">
        <v>1</v>
      </c>
      <c r="M12" s="91">
        <v>14200</v>
      </c>
      <c r="N12" s="91">
        <v>6</v>
      </c>
      <c r="O12" s="89">
        <f t="shared" si="0"/>
        <v>24139999.999999996</v>
      </c>
      <c r="P12" s="92">
        <f t="shared" si="1"/>
        <v>23853833.333333332</v>
      </c>
      <c r="Q12" s="92">
        <f t="shared" si="2"/>
        <v>722954.52369656716</v>
      </c>
      <c r="R12" s="93">
        <f t="shared" si="5"/>
        <v>7.3775581805140655</v>
      </c>
      <c r="S12" s="84"/>
      <c r="T12" s="84"/>
      <c r="U12" s="84"/>
      <c r="V12" s="84"/>
    </row>
    <row r="13" spans="1:22">
      <c r="A13" s="84"/>
      <c r="B13" s="90" t="s">
        <v>196</v>
      </c>
      <c r="C13" s="91">
        <v>900</v>
      </c>
      <c r="D13" s="91">
        <v>1</v>
      </c>
      <c r="E13" s="91">
        <v>5210</v>
      </c>
      <c r="F13" s="91">
        <v>6</v>
      </c>
      <c r="G13" s="89">
        <f t="shared" si="3"/>
        <v>8857000</v>
      </c>
      <c r="H13" s="91">
        <v>1</v>
      </c>
      <c r="I13" s="91">
        <v>5214</v>
      </c>
      <c r="J13" s="91">
        <v>6</v>
      </c>
      <c r="K13" s="89">
        <f t="shared" si="4"/>
        <v>8863800</v>
      </c>
      <c r="L13" s="91">
        <v>1</v>
      </c>
      <c r="M13" s="91">
        <v>5752</v>
      </c>
      <c r="N13" s="91">
        <v>6</v>
      </c>
      <c r="O13" s="89">
        <f t="shared" si="0"/>
        <v>9778400</v>
      </c>
      <c r="P13" s="92">
        <f t="shared" si="1"/>
        <v>9166400</v>
      </c>
      <c r="Q13" s="92">
        <f t="shared" si="2"/>
        <v>530018.4525089669</v>
      </c>
      <c r="R13" s="93">
        <f t="shared" si="5"/>
        <v>6.9621988049055377</v>
      </c>
      <c r="S13" s="84"/>
      <c r="T13" s="84"/>
      <c r="U13" s="84"/>
      <c r="V13" s="84"/>
    </row>
    <row r="14" spans="1:22">
      <c r="A14" s="84"/>
      <c r="B14" s="90" t="s">
        <v>197</v>
      </c>
      <c r="C14" s="91">
        <v>900</v>
      </c>
      <c r="D14" s="91">
        <v>1</v>
      </c>
      <c r="E14" s="91">
        <v>2620</v>
      </c>
      <c r="F14" s="91">
        <v>6</v>
      </c>
      <c r="G14" s="89">
        <f t="shared" si="3"/>
        <v>4454000</v>
      </c>
      <c r="H14" s="91">
        <v>1</v>
      </c>
      <c r="I14" s="91">
        <v>2454</v>
      </c>
      <c r="J14" s="91">
        <v>6</v>
      </c>
      <c r="K14" s="89">
        <f t="shared" si="4"/>
        <v>4171799.9999999991</v>
      </c>
      <c r="L14" s="91">
        <v>1</v>
      </c>
      <c r="M14" s="91">
        <v>2673</v>
      </c>
      <c r="N14" s="91">
        <v>6</v>
      </c>
      <c r="O14" s="89">
        <f t="shared" si="0"/>
        <v>4544099.9999999991</v>
      </c>
      <c r="P14" s="92">
        <f t="shared" si="1"/>
        <v>4389966.666666666</v>
      </c>
      <c r="Q14" s="92">
        <f t="shared" si="2"/>
        <v>194234.45454741904</v>
      </c>
      <c r="R14" s="93">
        <f t="shared" si="5"/>
        <v>6.642461222625335</v>
      </c>
      <c r="S14" s="84"/>
      <c r="T14" s="84"/>
      <c r="U14" s="84"/>
      <c r="V14" s="84"/>
    </row>
    <row r="15" spans="1:22">
      <c r="A15" s="84"/>
      <c r="B15" s="90" t="s">
        <v>198</v>
      </c>
      <c r="C15" s="91">
        <v>900</v>
      </c>
      <c r="D15" s="91">
        <v>1</v>
      </c>
      <c r="E15" s="91">
        <v>1562</v>
      </c>
      <c r="F15" s="91">
        <v>6</v>
      </c>
      <c r="G15" s="89">
        <f t="shared" si="3"/>
        <v>2655399.9999999995</v>
      </c>
      <c r="H15" s="91">
        <v>1</v>
      </c>
      <c r="I15" s="91">
        <v>1614</v>
      </c>
      <c r="J15" s="91">
        <v>6</v>
      </c>
      <c r="K15" s="89">
        <f t="shared" si="4"/>
        <v>2743799.9999999995</v>
      </c>
      <c r="L15" s="91">
        <v>1</v>
      </c>
      <c r="M15" s="91">
        <v>1660</v>
      </c>
      <c r="N15" s="91">
        <v>6</v>
      </c>
      <c r="O15" s="89">
        <f t="shared" si="0"/>
        <v>2822000</v>
      </c>
      <c r="P15" s="92">
        <f t="shared" si="1"/>
        <v>2740400</v>
      </c>
      <c r="Q15" s="92">
        <f t="shared" si="2"/>
        <v>83352.024570492809</v>
      </c>
      <c r="R15" s="93">
        <f t="shared" si="5"/>
        <v>6.4378139588473458</v>
      </c>
      <c r="S15" s="84"/>
      <c r="T15" s="84"/>
      <c r="U15" s="84"/>
      <c r="V15" s="84"/>
    </row>
    <row r="16" spans="1:22">
      <c r="A16" s="84"/>
      <c r="B16" s="90" t="s">
        <v>199</v>
      </c>
      <c r="C16" s="91">
        <v>900</v>
      </c>
      <c r="D16" s="91">
        <v>1</v>
      </c>
      <c r="E16" s="91">
        <v>2084</v>
      </c>
      <c r="F16" s="91">
        <v>13</v>
      </c>
      <c r="G16" s="89">
        <f t="shared" si="3"/>
        <v>1635138.4615384615</v>
      </c>
      <c r="H16" s="91">
        <v>1</v>
      </c>
      <c r="I16" s="91">
        <v>2144</v>
      </c>
      <c r="J16" s="91">
        <v>13</v>
      </c>
      <c r="K16" s="89">
        <f t="shared" si="4"/>
        <v>1682215.3846153847</v>
      </c>
      <c r="L16" s="91">
        <v>1</v>
      </c>
      <c r="M16" s="91">
        <v>1740</v>
      </c>
      <c r="N16" s="91">
        <v>13</v>
      </c>
      <c r="O16" s="89">
        <f t="shared" si="0"/>
        <v>1365230.769230769</v>
      </c>
      <c r="P16" s="92">
        <f t="shared" si="1"/>
        <v>1560861.5384615387</v>
      </c>
      <c r="Q16" s="92">
        <f t="shared" si="2"/>
        <v>171048.55326475156</v>
      </c>
      <c r="R16" s="93">
        <f t="shared" si="5"/>
        <v>6.1933643792000312</v>
      </c>
      <c r="S16" s="84"/>
      <c r="T16" s="84"/>
      <c r="U16" s="84"/>
      <c r="V16" s="84"/>
    </row>
    <row r="17" spans="1:22">
      <c r="A17" s="84"/>
      <c r="B17" s="90" t="s">
        <v>200</v>
      </c>
      <c r="C17" s="91">
        <v>900</v>
      </c>
      <c r="D17" s="91">
        <v>1</v>
      </c>
      <c r="E17" s="91">
        <v>2200</v>
      </c>
      <c r="F17" s="91">
        <v>26</v>
      </c>
      <c r="G17" s="89">
        <f t="shared" si="3"/>
        <v>863076.92307692301</v>
      </c>
      <c r="H17" s="91">
        <v>1</v>
      </c>
      <c r="I17" s="91">
        <v>2389</v>
      </c>
      <c r="J17" s="91">
        <v>26</v>
      </c>
      <c r="K17" s="89">
        <f t="shared" si="4"/>
        <v>937223.07692307688</v>
      </c>
      <c r="L17" s="91">
        <v>1</v>
      </c>
      <c r="M17" s="91">
        <v>2163</v>
      </c>
      <c r="N17" s="91">
        <v>26</v>
      </c>
      <c r="O17" s="89">
        <f t="shared" si="0"/>
        <v>848561.53846153838</v>
      </c>
      <c r="P17" s="92">
        <f t="shared" si="1"/>
        <v>882953.84615384601</v>
      </c>
      <c r="Q17" s="92">
        <f t="shared" si="2"/>
        <v>47555.611170987548</v>
      </c>
      <c r="R17" s="93">
        <f t="shared" si="5"/>
        <v>5.9459380026890356</v>
      </c>
      <c r="S17" s="84"/>
      <c r="T17" s="84"/>
      <c r="U17" s="84"/>
      <c r="V17" s="84"/>
    </row>
    <row r="18" spans="1:22">
      <c r="A18" s="84"/>
      <c r="B18" s="90" t="s">
        <v>201</v>
      </c>
      <c r="C18" s="91">
        <v>900</v>
      </c>
      <c r="D18" s="91">
        <v>1</v>
      </c>
      <c r="E18" s="91">
        <v>2258</v>
      </c>
      <c r="F18" s="91">
        <v>53</v>
      </c>
      <c r="G18" s="89">
        <f t="shared" si="3"/>
        <v>434558.49056603765</v>
      </c>
      <c r="H18" s="91">
        <v>1</v>
      </c>
      <c r="I18" s="91">
        <v>2364</v>
      </c>
      <c r="J18" s="91">
        <v>53</v>
      </c>
      <c r="K18" s="89">
        <f t="shared" si="4"/>
        <v>454958.49056603771</v>
      </c>
      <c r="L18" s="91">
        <v>1</v>
      </c>
      <c r="M18" s="91">
        <v>2494</v>
      </c>
      <c r="N18" s="91">
        <v>53</v>
      </c>
      <c r="O18" s="89">
        <f t="shared" si="0"/>
        <v>479977.35849056597</v>
      </c>
      <c r="P18" s="92">
        <f t="shared" si="1"/>
        <v>456498.11320754705</v>
      </c>
      <c r="Q18" s="92">
        <f t="shared" si="2"/>
        <v>22748.543234570494</v>
      </c>
      <c r="R18" s="93">
        <f t="shared" si="5"/>
        <v>5.6594389868533534</v>
      </c>
      <c r="S18" s="84"/>
      <c r="T18" s="84"/>
      <c r="U18" s="84"/>
      <c r="V18" s="84"/>
    </row>
    <row r="19" spans="1:22">
      <c r="A19" s="84"/>
      <c r="B19" s="90" t="s">
        <v>202</v>
      </c>
      <c r="C19" s="91">
        <v>900</v>
      </c>
      <c r="D19" s="91">
        <v>1</v>
      </c>
      <c r="E19" s="91">
        <v>2389</v>
      </c>
      <c r="F19" s="91">
        <v>107</v>
      </c>
      <c r="G19" s="89">
        <f t="shared" si="3"/>
        <v>227736.44859813081</v>
      </c>
      <c r="H19" s="91">
        <v>1</v>
      </c>
      <c r="I19" s="91">
        <v>2798</v>
      </c>
      <c r="J19" s="91">
        <v>107</v>
      </c>
      <c r="K19" s="89">
        <f t="shared" si="4"/>
        <v>266725.23364485975</v>
      </c>
      <c r="L19" s="91">
        <v>1</v>
      </c>
      <c r="M19" s="91">
        <v>7437</v>
      </c>
      <c r="N19" s="91">
        <v>394</v>
      </c>
      <c r="O19" s="89">
        <f t="shared" si="0"/>
        <v>192531.47208121826</v>
      </c>
      <c r="P19" s="92">
        <f t="shared" si="1"/>
        <v>228997.71810806962</v>
      </c>
      <c r="Q19" s="92">
        <f t="shared" si="2"/>
        <v>37112.958172626859</v>
      </c>
      <c r="R19" s="93">
        <f t="shared" si="5"/>
        <v>5.359831154750319</v>
      </c>
      <c r="S19" s="84"/>
      <c r="T19" s="84"/>
      <c r="U19" s="84"/>
      <c r="V19" s="84"/>
    </row>
    <row r="20" spans="1:22" ht="15" thickBot="1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ht="43" thickBot="1">
      <c r="A21" s="84"/>
      <c r="B21" s="94" t="s">
        <v>4</v>
      </c>
      <c r="C21" s="94" t="s">
        <v>203</v>
      </c>
      <c r="D21" s="94" t="s">
        <v>204</v>
      </c>
      <c r="E21" s="94" t="s">
        <v>205</v>
      </c>
      <c r="F21" s="94" t="s">
        <v>206</v>
      </c>
      <c r="G21" s="95" t="s">
        <v>207</v>
      </c>
      <c r="H21" s="96" t="s">
        <v>208</v>
      </c>
      <c r="I21" s="96" t="s">
        <v>258</v>
      </c>
      <c r="J21" s="96" t="s">
        <v>259</v>
      </c>
      <c r="K21" s="96" t="s">
        <v>260</v>
      </c>
      <c r="L21" s="96" t="s">
        <v>261</v>
      </c>
      <c r="M21" s="97" t="s">
        <v>257</v>
      </c>
      <c r="N21" s="84"/>
      <c r="O21" s="84"/>
      <c r="P21" s="84"/>
      <c r="Q21" s="84"/>
      <c r="R21" s="84"/>
      <c r="S21" s="84"/>
      <c r="T21" s="84"/>
      <c r="U21" s="84"/>
      <c r="V21" s="84"/>
    </row>
    <row r="22" spans="1:2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>
      <c r="A23" s="84"/>
      <c r="B23" s="90" t="s">
        <v>187</v>
      </c>
      <c r="C23" s="98">
        <v>12.024166107177734</v>
      </c>
      <c r="D23" s="98">
        <v>11.937971115112305</v>
      </c>
      <c r="E23" s="98">
        <v>12.113894462585449</v>
      </c>
      <c r="F23" s="103">
        <f>AVERAGE(C23:E23)</f>
        <v>12.025343894958496</v>
      </c>
      <c r="G23" s="113">
        <f>1000/1000*200/4*1000/900</f>
        <v>55.555555555555557</v>
      </c>
      <c r="H23" s="112">
        <f>LOG(G23)/LOG(2)</f>
        <v>5.7958592832197748</v>
      </c>
      <c r="I23" s="98">
        <f>C23-H23</f>
        <v>6.2283068239579595</v>
      </c>
      <c r="J23" s="98">
        <f>D23-H23</f>
        <v>6.1421118318925298</v>
      </c>
      <c r="K23" s="98">
        <f>E23-H23</f>
        <v>6.3180351793656744</v>
      </c>
      <c r="L23" s="103">
        <f>AVERAGE(I23:K23)</f>
        <v>6.2294846117387221</v>
      </c>
      <c r="M23" s="97"/>
      <c r="N23" s="84"/>
      <c r="O23" s="84"/>
      <c r="P23" s="84"/>
      <c r="Q23" s="84"/>
      <c r="R23" s="84"/>
      <c r="S23" s="84"/>
      <c r="T23" s="84"/>
      <c r="U23" s="84"/>
      <c r="V23" s="84"/>
    </row>
    <row r="24" spans="1:22">
      <c r="A24" s="84"/>
      <c r="B24" s="90" t="s">
        <v>188</v>
      </c>
      <c r="C24" s="98">
        <v>17.587196350097656</v>
      </c>
      <c r="D24" s="98">
        <v>17.463251113891602</v>
      </c>
      <c r="E24" s="98">
        <v>17.496953964233398</v>
      </c>
      <c r="F24" s="103">
        <f t="shared" ref="F24:F38" si="6">AVERAGE(C24:E24)</f>
        <v>17.515800476074219</v>
      </c>
      <c r="G24" s="113">
        <f t="shared" ref="G24:G27" si="7">1000/1000*200/4*1000/900</f>
        <v>55.555555555555557</v>
      </c>
      <c r="H24" s="112">
        <f t="shared" ref="H24:H38" si="8">LOG(G24)/LOG(2)</f>
        <v>5.7958592832197748</v>
      </c>
      <c r="I24" s="98">
        <f>C24-H24</f>
        <v>11.791337066877881</v>
      </c>
      <c r="J24" s="98">
        <f t="shared" ref="J24:J38" si="9">D24-H24</f>
        <v>11.667391830671827</v>
      </c>
      <c r="K24" s="98">
        <f t="shared" ref="K24:K38" si="10">E24-H24</f>
        <v>11.701094681013624</v>
      </c>
      <c r="L24" s="103">
        <f t="shared" ref="L24:L38" si="11">AVERAGE(I24:K24)</f>
        <v>11.719941192854444</v>
      </c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>
      <c r="A25" s="84"/>
      <c r="B25" s="90" t="s">
        <v>189</v>
      </c>
      <c r="C25" s="98">
        <v>20.035877227783203</v>
      </c>
      <c r="D25" s="98">
        <v>19.974271774291992</v>
      </c>
      <c r="E25" s="98">
        <v>19.944717407226562</v>
      </c>
      <c r="F25" s="103">
        <f t="shared" si="6"/>
        <v>19.984955469767254</v>
      </c>
      <c r="G25" s="113">
        <f t="shared" si="7"/>
        <v>55.555555555555557</v>
      </c>
      <c r="H25" s="112">
        <f t="shared" si="8"/>
        <v>5.7958592832197748</v>
      </c>
      <c r="I25" s="98">
        <f>C25-H25</f>
        <v>14.240017944563428</v>
      </c>
      <c r="J25" s="98">
        <f t="shared" si="9"/>
        <v>14.178412491072217</v>
      </c>
      <c r="K25" s="98">
        <f t="shared" si="10"/>
        <v>14.148858124006788</v>
      </c>
      <c r="L25" s="103">
        <f t="shared" si="11"/>
        <v>14.189096186547479</v>
      </c>
      <c r="M25" s="84"/>
      <c r="N25" s="84"/>
      <c r="O25" s="84"/>
      <c r="P25" s="84"/>
      <c r="Q25" s="84"/>
      <c r="R25" s="84"/>
      <c r="S25" s="84"/>
      <c r="T25" s="84"/>
      <c r="U25" s="84"/>
      <c r="V25" s="84"/>
    </row>
    <row r="26" spans="1:22">
      <c r="A26" s="84"/>
      <c r="B26" s="90" t="s">
        <v>190</v>
      </c>
      <c r="C26" s="98">
        <v>24.500289916992188</v>
      </c>
      <c r="D26" s="98">
        <v>24.458871841430664</v>
      </c>
      <c r="E26" s="98">
        <v>24.548263549804688</v>
      </c>
      <c r="F26" s="103">
        <f t="shared" si="6"/>
        <v>24.502475102742512</v>
      </c>
      <c r="G26" s="113">
        <f t="shared" si="7"/>
        <v>55.555555555555557</v>
      </c>
      <c r="H26" s="112">
        <f t="shared" si="8"/>
        <v>5.7958592832197748</v>
      </c>
      <c r="I26" s="98">
        <f>C26-H26</f>
        <v>18.704430633772411</v>
      </c>
      <c r="J26" s="98">
        <f t="shared" si="9"/>
        <v>18.663012558210887</v>
      </c>
      <c r="K26" s="98">
        <f t="shared" si="10"/>
        <v>18.752404266584911</v>
      </c>
      <c r="L26" s="103">
        <f t="shared" si="11"/>
        <v>18.706615819522735</v>
      </c>
      <c r="M26" s="97"/>
      <c r="N26" s="84"/>
      <c r="O26" s="84"/>
      <c r="P26" s="84"/>
      <c r="Q26" s="84"/>
      <c r="R26" s="84"/>
      <c r="S26" s="84"/>
      <c r="T26" s="84"/>
      <c r="U26" s="84"/>
      <c r="V26" s="84"/>
    </row>
    <row r="27" spans="1:22">
      <c r="A27" s="84"/>
      <c r="B27" s="90" t="s">
        <v>191</v>
      </c>
      <c r="C27" s="98">
        <v>27.966335296630859</v>
      </c>
      <c r="D27" s="98">
        <v>27.953102111816406</v>
      </c>
      <c r="E27" s="98">
        <v>27.858415603637695</v>
      </c>
      <c r="F27" s="103">
        <f>AVERAGE(C27:E27)</f>
        <v>27.92595100402832</v>
      </c>
      <c r="G27" s="113">
        <f t="shared" si="7"/>
        <v>55.555555555555557</v>
      </c>
      <c r="H27" s="112">
        <f t="shared" si="8"/>
        <v>5.7958592832197748</v>
      </c>
      <c r="I27" s="98">
        <f>C27-H27</f>
        <v>22.170476013411083</v>
      </c>
      <c r="J27" s="98">
        <f>D27-H27</f>
        <v>22.15724282859663</v>
      </c>
      <c r="K27" s="98">
        <f>E27-H27</f>
        <v>22.062556320417919</v>
      </c>
      <c r="L27" s="103">
        <f t="shared" si="11"/>
        <v>22.130091720808547</v>
      </c>
      <c r="M27" s="97"/>
      <c r="N27" s="84"/>
      <c r="O27" s="84"/>
      <c r="P27" s="84"/>
      <c r="Q27" s="84"/>
      <c r="R27" s="84"/>
      <c r="S27" s="84"/>
      <c r="T27" s="84"/>
      <c r="U27" s="84"/>
      <c r="V27" s="84"/>
    </row>
    <row r="28" spans="1:22">
      <c r="A28" s="84"/>
      <c r="B28" s="90" t="s">
        <v>192</v>
      </c>
      <c r="C28" s="98">
        <v>13.96388053894043</v>
      </c>
      <c r="D28" s="98">
        <v>13.646139144897461</v>
      </c>
      <c r="E28" s="98">
        <v>13.680848121643066</v>
      </c>
      <c r="F28" s="103">
        <f t="shared" si="6"/>
        <v>13.763622601826986</v>
      </c>
      <c r="G28" s="84">
        <f>1000/1000*200/4*1000/500</f>
        <v>100</v>
      </c>
      <c r="H28" s="112">
        <f t="shared" si="8"/>
        <v>6.6438561897747244</v>
      </c>
      <c r="I28" s="98">
        <f t="shared" ref="I28:I38" si="12">C28-H28</f>
        <v>7.3200243491657053</v>
      </c>
      <c r="J28" s="98">
        <f t="shared" si="9"/>
        <v>7.0022829551227366</v>
      </c>
      <c r="K28" s="98">
        <f t="shared" si="10"/>
        <v>7.036991931868342</v>
      </c>
      <c r="L28" s="103">
        <f t="shared" si="11"/>
        <v>7.119766412052261</v>
      </c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>
      <c r="A29" s="84"/>
      <c r="B29" s="90" t="s">
        <v>193</v>
      </c>
      <c r="C29" s="98">
        <v>15.15186882019043</v>
      </c>
      <c r="D29" s="98">
        <v>15.517631530761719</v>
      </c>
      <c r="E29" s="98">
        <v>15.663459777832031</v>
      </c>
      <c r="F29" s="103">
        <f t="shared" si="6"/>
        <v>15.44432004292806</v>
      </c>
      <c r="G29" s="84">
        <f t="shared" ref="G29:G38" si="13">1000/1000*200/4*1000/500</f>
        <v>100</v>
      </c>
      <c r="H29" s="112">
        <f t="shared" si="8"/>
        <v>6.6438561897747244</v>
      </c>
      <c r="I29" s="98">
        <f t="shared" si="12"/>
        <v>8.5080126304157062</v>
      </c>
      <c r="J29" s="98">
        <f t="shared" si="9"/>
        <v>8.8737753409869953</v>
      </c>
      <c r="K29" s="98">
        <f t="shared" si="10"/>
        <v>9.0196035880573078</v>
      </c>
      <c r="L29" s="103">
        <f t="shared" si="11"/>
        <v>8.800463853153337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>
      <c r="A30" s="84"/>
      <c r="B30" s="90" t="s">
        <v>194</v>
      </c>
      <c r="C30" s="98">
        <v>16.251581192016602</v>
      </c>
      <c r="D30" s="98">
        <v>16.335042953491211</v>
      </c>
      <c r="E30" s="98">
        <v>16.212072372436523</v>
      </c>
      <c r="F30" s="103">
        <f t="shared" si="6"/>
        <v>16.266232172648113</v>
      </c>
      <c r="G30" s="84">
        <f t="shared" si="13"/>
        <v>100</v>
      </c>
      <c r="H30" s="112">
        <f t="shared" si="8"/>
        <v>6.6438561897747244</v>
      </c>
      <c r="I30" s="98">
        <f t="shared" si="12"/>
        <v>9.6077250022418781</v>
      </c>
      <c r="J30" s="98">
        <f t="shared" si="9"/>
        <v>9.6911867637164875</v>
      </c>
      <c r="K30" s="98">
        <f t="shared" si="10"/>
        <v>9.5682161826618</v>
      </c>
      <c r="L30" s="103">
        <f t="shared" si="11"/>
        <v>9.6223759828733879</v>
      </c>
      <c r="M30" s="84"/>
      <c r="N30" s="84"/>
      <c r="O30" s="84"/>
      <c r="P30" s="84"/>
      <c r="Q30" s="84"/>
      <c r="R30" s="84"/>
      <c r="S30" s="84"/>
      <c r="T30" s="84"/>
      <c r="U30" s="84"/>
      <c r="V30" s="84"/>
    </row>
    <row r="31" spans="1:22">
      <c r="A31" s="84"/>
      <c r="B31" s="90" t="s">
        <v>195</v>
      </c>
      <c r="C31" s="98">
        <v>18.410284042358398</v>
      </c>
      <c r="D31" s="98">
        <v>18.640316009521484</v>
      </c>
      <c r="E31" s="98">
        <v>18.454940795898438</v>
      </c>
      <c r="F31" s="103">
        <f t="shared" si="6"/>
        <v>18.501846949259441</v>
      </c>
      <c r="G31" s="84">
        <f t="shared" si="13"/>
        <v>100</v>
      </c>
      <c r="H31" s="112">
        <f t="shared" si="8"/>
        <v>6.6438561897747244</v>
      </c>
      <c r="I31" s="98">
        <f t="shared" si="12"/>
        <v>11.766427852583675</v>
      </c>
      <c r="J31" s="98">
        <f t="shared" si="9"/>
        <v>11.996459819746761</v>
      </c>
      <c r="K31" s="98">
        <f t="shared" si="10"/>
        <v>11.811084606123714</v>
      </c>
      <c r="L31" s="103">
        <f t="shared" si="11"/>
        <v>11.857990759484716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>
      <c r="A32" s="84"/>
      <c r="B32" s="90" t="s">
        <v>196</v>
      </c>
      <c r="C32" s="98">
        <v>18.648725509643555</v>
      </c>
      <c r="D32" s="98">
        <v>18.836643218994141</v>
      </c>
      <c r="E32" s="98">
        <v>18.618749618530273</v>
      </c>
      <c r="F32" s="103">
        <f t="shared" si="6"/>
        <v>18.701372782389324</v>
      </c>
      <c r="G32" s="84">
        <f t="shared" si="13"/>
        <v>100</v>
      </c>
      <c r="H32" s="112">
        <f t="shared" si="8"/>
        <v>6.6438561897747244</v>
      </c>
      <c r="I32" s="98">
        <f t="shared" si="12"/>
        <v>12.004869319868831</v>
      </c>
      <c r="J32" s="98">
        <f t="shared" si="9"/>
        <v>12.192787029219417</v>
      </c>
      <c r="K32" s="98">
        <f t="shared" si="10"/>
        <v>11.97489342875555</v>
      </c>
      <c r="L32" s="103">
        <f t="shared" si="11"/>
        <v>12.057516592614599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>
      <c r="A33" s="84"/>
      <c r="B33" s="90" t="s">
        <v>197</v>
      </c>
      <c r="C33" s="98">
        <v>19.173038482666016</v>
      </c>
      <c r="D33" s="98">
        <v>19.267778396606445</v>
      </c>
      <c r="E33" s="98">
        <v>19.15654182434082</v>
      </c>
      <c r="F33" s="103">
        <f t="shared" si="6"/>
        <v>19.199119567871094</v>
      </c>
      <c r="G33" s="84">
        <f t="shared" si="13"/>
        <v>100</v>
      </c>
      <c r="H33" s="112">
        <f t="shared" si="8"/>
        <v>6.6438561897747244</v>
      </c>
      <c r="I33" s="98">
        <f t="shared" si="12"/>
        <v>12.529182292891292</v>
      </c>
      <c r="J33" s="98">
        <f t="shared" si="9"/>
        <v>12.623922206831722</v>
      </c>
      <c r="K33" s="98">
        <f t="shared" si="10"/>
        <v>12.512685634566097</v>
      </c>
      <c r="L33" s="103">
        <f t="shared" si="11"/>
        <v>12.55526337809637</v>
      </c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>
      <c r="A34" s="84"/>
      <c r="B34" s="90" t="s">
        <v>198</v>
      </c>
      <c r="C34" s="98">
        <v>20.283313751220703</v>
      </c>
      <c r="D34" s="98">
        <v>20.449991226196289</v>
      </c>
      <c r="E34" s="98">
        <v>20.311237335205078</v>
      </c>
      <c r="F34" s="103">
        <f t="shared" si="6"/>
        <v>20.348180770874023</v>
      </c>
      <c r="G34" s="84">
        <f t="shared" si="13"/>
        <v>100</v>
      </c>
      <c r="H34" s="112">
        <f t="shared" si="8"/>
        <v>6.6438561897747244</v>
      </c>
      <c r="I34" s="98">
        <f t="shared" si="12"/>
        <v>13.63945756144598</v>
      </c>
      <c r="J34" s="98">
        <f t="shared" si="9"/>
        <v>13.806135036421566</v>
      </c>
      <c r="K34" s="98">
        <f t="shared" si="10"/>
        <v>13.667381145430355</v>
      </c>
      <c r="L34" s="103">
        <f t="shared" si="11"/>
        <v>13.7043245810993</v>
      </c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>
      <c r="A35" s="84"/>
      <c r="B35" s="90" t="s">
        <v>199</v>
      </c>
      <c r="C35" s="98">
        <v>21.243825912475586</v>
      </c>
      <c r="D35" s="98">
        <v>21.539775848388672</v>
      </c>
      <c r="E35" s="98">
        <v>21.392797470092773</v>
      </c>
      <c r="F35" s="103">
        <f t="shared" si="6"/>
        <v>21.392133076985676</v>
      </c>
      <c r="G35" s="84">
        <f t="shared" si="13"/>
        <v>100</v>
      </c>
      <c r="H35" s="112">
        <f t="shared" si="8"/>
        <v>6.6438561897747244</v>
      </c>
      <c r="I35" s="98">
        <f t="shared" si="12"/>
        <v>14.599969722700862</v>
      </c>
      <c r="J35" s="98">
        <f t="shared" si="9"/>
        <v>14.895919658613948</v>
      </c>
      <c r="K35" s="98">
        <f t="shared" si="10"/>
        <v>14.74894128031805</v>
      </c>
      <c r="L35" s="103">
        <f t="shared" si="11"/>
        <v>14.748276887210954</v>
      </c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>
      <c r="A36" s="84"/>
      <c r="B36" s="90" t="s">
        <v>200</v>
      </c>
      <c r="C36" s="98">
        <v>22.513101577758789</v>
      </c>
      <c r="D36" s="98">
        <v>22.496644973754883</v>
      </c>
      <c r="E36" s="98">
        <v>22.572574615478516</v>
      </c>
      <c r="F36" s="103">
        <f t="shared" si="6"/>
        <v>22.527440388997395</v>
      </c>
      <c r="G36" s="84">
        <f t="shared" si="13"/>
        <v>100</v>
      </c>
      <c r="H36" s="112">
        <f t="shared" si="8"/>
        <v>6.6438561897747244</v>
      </c>
      <c r="I36" s="98">
        <f t="shared" si="12"/>
        <v>15.869245387984066</v>
      </c>
      <c r="J36" s="98">
        <f t="shared" si="9"/>
        <v>15.852788783980159</v>
      </c>
      <c r="K36" s="98">
        <f t="shared" si="10"/>
        <v>15.928718425703792</v>
      </c>
      <c r="L36" s="103">
        <f t="shared" si="11"/>
        <v>15.883584199222673</v>
      </c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>
      <c r="A37" s="84"/>
      <c r="B37" s="90" t="s">
        <v>201</v>
      </c>
      <c r="C37" s="98">
        <v>25.11761474609375</v>
      </c>
      <c r="D37" s="98">
        <v>25.00200080871582</v>
      </c>
      <c r="E37" s="98">
        <v>25.069990158081055</v>
      </c>
      <c r="F37" s="103">
        <f t="shared" si="6"/>
        <v>25.063201904296875</v>
      </c>
      <c r="G37" s="84">
        <f t="shared" si="13"/>
        <v>100</v>
      </c>
      <c r="H37" s="112">
        <f t="shared" si="8"/>
        <v>6.6438561897747244</v>
      </c>
      <c r="I37" s="98">
        <f t="shared" si="12"/>
        <v>18.473758556319027</v>
      </c>
      <c r="J37" s="98">
        <f t="shared" si="9"/>
        <v>18.358144618941097</v>
      </c>
      <c r="K37" s="98">
        <f t="shared" si="10"/>
        <v>18.426133968306331</v>
      </c>
      <c r="L37" s="103">
        <f t="shared" si="11"/>
        <v>18.419345714522152</v>
      </c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>
      <c r="A38" s="84"/>
      <c r="B38" s="90" t="s">
        <v>202</v>
      </c>
      <c r="C38" s="98">
        <v>25.78911018371582</v>
      </c>
      <c r="D38" s="98">
        <v>25.811565399169922</v>
      </c>
      <c r="E38" s="98">
        <v>25.885698318481445</v>
      </c>
      <c r="F38" s="103">
        <f t="shared" si="6"/>
        <v>25.82879130045573</v>
      </c>
      <c r="G38" s="84">
        <f t="shared" si="13"/>
        <v>100</v>
      </c>
      <c r="H38" s="112">
        <f t="shared" si="8"/>
        <v>6.6438561897747244</v>
      </c>
      <c r="I38" s="98">
        <f t="shared" si="12"/>
        <v>19.145253993941097</v>
      </c>
      <c r="J38" s="98">
        <f t="shared" si="9"/>
        <v>19.167709209395198</v>
      </c>
      <c r="K38" s="98">
        <f t="shared" si="10"/>
        <v>19.241842128706722</v>
      </c>
      <c r="L38" s="103">
        <f t="shared" si="11"/>
        <v>19.184935110681007</v>
      </c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>
      <c r="A39" s="84"/>
      <c r="B39" s="84"/>
      <c r="C39" s="84"/>
      <c r="D39" s="84"/>
      <c r="E39" s="84"/>
      <c r="F39" s="112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>
      <c r="A40" s="84"/>
      <c r="B40" s="90" t="s">
        <v>262</v>
      </c>
      <c r="C40" s="98">
        <v>10.746070861816406</v>
      </c>
      <c r="D40" s="98">
        <v>10.822755813598633</v>
      </c>
      <c r="E40" s="98">
        <v>10.731834411621094</v>
      </c>
      <c r="F40" s="103">
        <f>AVERAGE(C40:E40)</f>
        <v>10.766887029012045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>
      <c r="A42" s="84"/>
      <c r="B42" s="97" t="s">
        <v>215</v>
      </c>
      <c r="C42" s="84" t="s">
        <v>216</v>
      </c>
      <c r="D42" s="84"/>
      <c r="E42" s="84"/>
      <c r="F42" t="s">
        <v>263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>
      <c r="A43" s="84"/>
      <c r="B43" s="84" t="s">
        <v>264</v>
      </c>
      <c r="C43" s="84" t="s">
        <v>216</v>
      </c>
      <c r="D43" s="84"/>
      <c r="E43" s="84"/>
      <c r="F43">
        <v>0.34642903804779052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>
      <c r="A44" s="84"/>
      <c r="B44" s="84"/>
      <c r="C44" s="101" t="s">
        <v>218</v>
      </c>
      <c r="D44" s="99">
        <v>-3.9893000000000001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>
      <c r="A45" s="84"/>
      <c r="B45" s="84"/>
      <c r="C45" s="101" t="s">
        <v>219</v>
      </c>
      <c r="D45" s="99">
        <v>40.134999999999998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>
      <c r="A48" s="84"/>
      <c r="B48" s="97" t="s">
        <v>220</v>
      </c>
      <c r="C48" s="84"/>
      <c r="D48" s="84">
        <f>-1+ POWER(10,-(1/D44))</f>
        <v>0.78102716558460528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>
      <c r="A50" s="84"/>
      <c r="B50" s="97" t="s">
        <v>265</v>
      </c>
      <c r="C50" s="11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workbookViewId="0">
      <selection activeCell="R9" sqref="R9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2" t="s">
        <v>266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29">
      <c r="A2" s="130" t="s">
        <v>4</v>
      </c>
      <c r="B2" s="130" t="s">
        <v>117</v>
      </c>
      <c r="C2" s="130" t="s">
        <v>117</v>
      </c>
      <c r="D2" s="130" t="s">
        <v>5</v>
      </c>
      <c r="E2" s="142" t="s">
        <v>222</v>
      </c>
      <c r="F2" s="142" t="s">
        <v>223</v>
      </c>
      <c r="G2" s="142" t="s">
        <v>224</v>
      </c>
      <c r="H2" s="144" t="s">
        <v>225</v>
      </c>
      <c r="I2" s="144" t="s">
        <v>226</v>
      </c>
      <c r="J2" s="144" t="s">
        <v>227</v>
      </c>
      <c r="K2" s="142" t="s">
        <v>228</v>
      </c>
      <c r="L2" s="142" t="s">
        <v>229</v>
      </c>
      <c r="M2" s="142" t="s">
        <v>230</v>
      </c>
      <c r="N2" s="142" t="s">
        <v>231</v>
      </c>
      <c r="O2" s="142" t="s">
        <v>232</v>
      </c>
      <c r="P2" s="144" t="s">
        <v>233</v>
      </c>
      <c r="Q2" s="144" t="s">
        <v>267</v>
      </c>
      <c r="R2" s="144" t="s">
        <v>235</v>
      </c>
      <c r="S2" s="144" t="s">
        <v>236</v>
      </c>
      <c r="T2" s="84"/>
      <c r="U2" s="84"/>
      <c r="V2" s="84"/>
      <c r="W2" s="84"/>
      <c r="X2" s="84"/>
      <c r="Y2" s="84"/>
      <c r="Z2" s="84"/>
      <c r="AA2" s="84"/>
      <c r="AB2" s="84"/>
      <c r="AC2" s="84"/>
    </row>
    <row r="3" spans="1:29">
      <c r="A3" s="131"/>
      <c r="B3" s="131"/>
      <c r="C3" s="131"/>
      <c r="D3" s="131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84"/>
      <c r="U3" s="84"/>
      <c r="V3" s="84"/>
      <c r="W3" s="84"/>
      <c r="X3" s="84"/>
      <c r="Y3" s="84"/>
      <c r="Z3" s="84"/>
      <c r="AA3" s="84"/>
      <c r="AB3" s="84"/>
      <c r="AC3" s="84"/>
    </row>
    <row r="4" spans="1:2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8">
        <v>24.121341705322266</v>
      </c>
      <c r="F4" s="98">
        <v>24.154041290283203</v>
      </c>
      <c r="G4" s="103">
        <v>24.324985504150391</v>
      </c>
      <c r="H4" s="109">
        <f t="shared" ref="H4:H20" si="1">(E4-$H$58)+$H$67</f>
        <v>24.248905152540942</v>
      </c>
      <c r="I4" s="109">
        <f t="shared" ref="I4:I20" si="2">(F4-$H$58)+$H$67</f>
        <v>24.28160473750188</v>
      </c>
      <c r="J4" s="109">
        <f t="shared" ref="J4:J20" si="3">(G4-$H$58)+$H$67</f>
        <v>24.452548951369067</v>
      </c>
      <c r="K4" s="103">
        <f>((H4-'CalibrationB. hydrogenotrophica'!$D$45)/('CalibrationB. hydrogenotrophica'!$D$44))+$B$24</f>
        <v>7.6353885465277198</v>
      </c>
      <c r="L4" s="103">
        <f>((I4-'CalibrationB. hydrogenotrophica'!$D$45)/('CalibrationB. hydrogenotrophica'!$D$44))+$B$24</f>
        <v>7.6271917237866536</v>
      </c>
      <c r="M4" s="103">
        <f>((J4-'CalibrationB. hydrogenotrophica'!$D$45)/('CalibrationB. hydrogenotrophica'!$D$44))+$B$24</f>
        <v>7.5843410447534421</v>
      </c>
      <c r="N4" s="104">
        <f>AVERAGE(K4:M4)</f>
        <v>7.6156404383559391</v>
      </c>
      <c r="O4" s="104">
        <f>STDEV(K4:M4)</f>
        <v>2.7414157030175308E-2</v>
      </c>
      <c r="P4" s="105">
        <f>(AVERAGE(POWER(10,K4),POWER(10,L4),POWER(10,M4)))*Calculation!$I4/Calculation!$K3</f>
        <v>41350693.571370244</v>
      </c>
      <c r="Q4" s="105">
        <f>(STDEV(POWER(10,K4),POWER(10,L4),POWER(10,M4)))*Calculation!$I4/Calculation!$K3</f>
        <v>2565794.9195224466</v>
      </c>
      <c r="R4" s="104">
        <f>LOG(P4)</f>
        <v>7.6164827983309538</v>
      </c>
      <c r="S4" s="104">
        <f>O4*Calculation!$I4/Calculation!$K3</f>
        <v>2.7431333820294466E-2</v>
      </c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spans="1:2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8">
        <v>22.919811248779297</v>
      </c>
      <c r="F5" s="98">
        <v>22.718978881835938</v>
      </c>
      <c r="G5" s="103">
        <v>22.775646209716797</v>
      </c>
      <c r="H5" s="109">
        <f t="shared" si="1"/>
        <v>23.047374695997974</v>
      </c>
      <c r="I5" s="109">
        <f t="shared" si="2"/>
        <v>22.846542329054614</v>
      </c>
      <c r="J5" s="109">
        <f t="shared" si="3"/>
        <v>22.903209656935474</v>
      </c>
      <c r="K5" s="103">
        <f>((H5-'CalibrationB. hydrogenotrophica'!$D$45)/('CalibrationB. hydrogenotrophica'!$D$44))+$B$24</f>
        <v>7.9365768393467526</v>
      </c>
      <c r="L5" s="103">
        <f>((I5-'CalibrationB. hydrogenotrophica'!$D$45)/('CalibrationB. hydrogenotrophica'!$D$44))+$B$24</f>
        <v>7.9869195979618883</v>
      </c>
      <c r="M5" s="103">
        <f>((J5-'CalibrationB. hydrogenotrophica'!$D$45)/('CalibrationB. hydrogenotrophica'!$D$44))+$B$24</f>
        <v>7.9727147680717181</v>
      </c>
      <c r="N5" s="104">
        <f t="shared" ref="N5:N20" si="4">AVERAGE(K5:M5)</f>
        <v>7.9654037351267872</v>
      </c>
      <c r="O5" s="104">
        <f t="shared" ref="O5:O20" si="5">STDEV(K5:M5)</f>
        <v>2.5955476075134185E-2</v>
      </c>
      <c r="P5" s="105">
        <f>(AVERAGE(POWER(10,K5),POWER(10,L5),POWER(10,M5)))*Calculation!$I5/Calculation!$K4</f>
        <v>92629986.974397376</v>
      </c>
      <c r="Q5" s="105">
        <f>(STDEV(POWER(10,K5),POWER(10,L5),POWER(10,M5)))*Calculation!$I5/Calculation!$K4</f>
        <v>5468909.0651564924</v>
      </c>
      <c r="R5" s="104">
        <f t="shared" ref="R5:R20" si="6">LOG(P5)</f>
        <v>7.9667516029810148</v>
      </c>
      <c r="S5" s="104">
        <f>O5*Calculation!$I5/Calculation!$K4</f>
        <v>2.6005424688029848E-2</v>
      </c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2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8">
        <v>22.029148101806641</v>
      </c>
      <c r="F6" s="98">
        <v>21.737720489501953</v>
      </c>
      <c r="G6" s="103">
        <v>21.665870666503906</v>
      </c>
      <c r="H6" s="109">
        <f t="shared" si="1"/>
        <v>22.156711549025317</v>
      </c>
      <c r="I6" s="109">
        <f t="shared" si="2"/>
        <v>21.86528393672063</v>
      </c>
      <c r="J6" s="109">
        <f t="shared" si="3"/>
        <v>21.793434113722583</v>
      </c>
      <c r="K6" s="103">
        <f>((H6-'CalibrationB. hydrogenotrophica'!$D$45)/('CalibrationB. hydrogenotrophica'!$D$44))+$B$24</f>
        <v>8.1598398546558695</v>
      </c>
      <c r="L6" s="103">
        <f>((I6-'CalibrationB. hydrogenotrophica'!$D$45)/('CalibrationB. hydrogenotrophica'!$D$44))+$B$24</f>
        <v>8.232892172682762</v>
      </c>
      <c r="M6" s="103">
        <f>((J6-'CalibrationB. hydrogenotrophica'!$D$45)/('CalibrationB. hydrogenotrophica'!$D$44))+$B$24</f>
        <v>8.2509028068787487</v>
      </c>
      <c r="N6" s="104">
        <f t="shared" si="4"/>
        <v>8.2145449447391261</v>
      </c>
      <c r="O6" s="104">
        <f t="shared" si="5"/>
        <v>4.822427704795975E-2</v>
      </c>
      <c r="P6" s="105">
        <f>(AVERAGE(POWER(10,K6),POWER(10,L6),POWER(10,M6)))*Calculation!$I6/Calculation!$K5</f>
        <v>165195423.12663975</v>
      </c>
      <c r="Q6" s="105">
        <f>(STDEV(POWER(10,K6),POWER(10,L6),POWER(10,M6)))*Calculation!$I6/Calculation!$K5</f>
        <v>17813975.94932707</v>
      </c>
      <c r="R6" s="104">
        <f t="shared" si="6"/>
        <v>8.2179980106697137</v>
      </c>
      <c r="S6" s="104">
        <f>O6*Calculation!$I6/Calculation!$K5</f>
        <v>4.8413649430584939E-2</v>
      </c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spans="1:2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8">
        <v>21.767734527587891</v>
      </c>
      <c r="F7" s="98">
        <v>21.096246719360352</v>
      </c>
      <c r="G7" s="103">
        <v>20.722629547119141</v>
      </c>
      <c r="H7" s="109">
        <f t="shared" si="1"/>
        <v>21.895297974806567</v>
      </c>
      <c r="I7" s="109">
        <f t="shared" si="2"/>
        <v>21.223810166579028</v>
      </c>
      <c r="J7" s="109">
        <f t="shared" si="3"/>
        <v>20.850192994337817</v>
      </c>
      <c r="K7" s="103">
        <f>((H7-'CalibrationB. hydrogenotrophica'!$D$45)/('CalibrationB. hydrogenotrophica'!$D$44))+$B$24</f>
        <v>8.2253685374369958</v>
      </c>
      <c r="L7" s="103">
        <f>((I7-'CalibrationB. hydrogenotrophica'!$D$45)/('CalibrationB. hydrogenotrophica'!$D$44))+$B$24</f>
        <v>8.3936907514162762</v>
      </c>
      <c r="M7" s="103">
        <f>((J7-'CalibrationB. hydrogenotrophica'!$D$45)/('CalibrationB. hydrogenotrophica'!$D$44))+$B$24</f>
        <v>8.4873455711192829</v>
      </c>
      <c r="N7" s="104">
        <f t="shared" si="4"/>
        <v>8.3688016199908528</v>
      </c>
      <c r="O7" s="104">
        <f t="shared" si="5"/>
        <v>0.13275011559910818</v>
      </c>
      <c r="P7" s="105">
        <f>(AVERAGE(POWER(10,K7),POWER(10,L7),POWER(10,M7)))*Calculation!$I7/Calculation!$K6</f>
        <v>242354087.7709837</v>
      </c>
      <c r="Q7" s="105">
        <f>(STDEV(POWER(10,K7),POWER(10,L7),POWER(10,M7)))*Calculation!$I7/Calculation!$K6</f>
        <v>70217962.32396251</v>
      </c>
      <c r="R7" s="104">
        <f t="shared" si="6"/>
        <v>8.3844503493379587</v>
      </c>
      <c r="S7" s="104">
        <f>O7*Calculation!$I7/Calculation!$K6</f>
        <v>0.13354488407170198</v>
      </c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spans="1:29">
      <c r="A8" s="40">
        <v>4</v>
      </c>
      <c r="B8" s="32">
        <v>80</v>
      </c>
      <c r="C8" s="32">
        <f t="shared" ref="C8:C18" si="7">C7+B8</f>
        <v>360</v>
      </c>
      <c r="D8" s="13">
        <f t="shared" si="0"/>
        <v>6</v>
      </c>
      <c r="E8" s="98">
        <v>20.861413955688477</v>
      </c>
      <c r="F8" s="98">
        <v>19.93388557434082</v>
      </c>
      <c r="G8" s="103">
        <v>20.080352783203125</v>
      </c>
      <c r="H8" s="109">
        <f t="shared" si="1"/>
        <v>20.988977402907153</v>
      </c>
      <c r="I8" s="109">
        <f t="shared" si="2"/>
        <v>20.061449021559497</v>
      </c>
      <c r="J8" s="109">
        <f t="shared" si="3"/>
        <v>20.207916230421802</v>
      </c>
      <c r="K8" s="103">
        <f>((H8-'CalibrationB. hydrogenotrophica'!$D$45)/('CalibrationB. hydrogenotrophica'!$D$44))+$B$24</f>
        <v>8.4525564079655133</v>
      </c>
      <c r="L8" s="103">
        <f>((I8-'CalibrationB. hydrogenotrophica'!$D$45)/('CalibrationB. hydrogenotrophica'!$D$44))+$B$24</f>
        <v>8.6850604516192007</v>
      </c>
      <c r="M8" s="103">
        <f>((J8-'CalibrationB. hydrogenotrophica'!$D$45)/('CalibrationB. hydrogenotrophica'!$D$44))+$B$24</f>
        <v>8.6483454367388202</v>
      </c>
      <c r="N8" s="104">
        <f t="shared" si="4"/>
        <v>8.5953207654411781</v>
      </c>
      <c r="O8" s="104">
        <f t="shared" si="5"/>
        <v>0.12499297741671804</v>
      </c>
      <c r="P8" s="105">
        <f>(AVERAGE(POWER(10,K8),POWER(10,L8),POWER(10,M8)))*Calculation!$I8/Calculation!$K7</f>
        <v>408667192.49751616</v>
      </c>
      <c r="Q8" s="105">
        <f>(STDEV(POWER(10,K8),POWER(10,L8),POWER(10,M8)))*Calculation!$I8/Calculation!$K7</f>
        <v>107554737.70518079</v>
      </c>
      <c r="R8" s="104">
        <f t="shared" si="6"/>
        <v>8.6113697742684998</v>
      </c>
      <c r="S8" s="104">
        <f>O8*Calculation!$I8/Calculation!$K7</f>
        <v>0.12636115578103044</v>
      </c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spans="1:29">
      <c r="A9" s="40">
        <v>5</v>
      </c>
      <c r="B9" s="32">
        <v>80</v>
      </c>
      <c r="C9" s="32">
        <f t="shared" si="7"/>
        <v>440</v>
      </c>
      <c r="D9" s="13">
        <f t="shared" si="0"/>
        <v>7.333333333333333</v>
      </c>
      <c r="E9" s="98">
        <v>20.743146896362305</v>
      </c>
      <c r="F9" s="98">
        <v>20.464046478271484</v>
      </c>
      <c r="G9" s="103">
        <v>20.716899871826172</v>
      </c>
      <c r="H9" s="109">
        <f t="shared" si="1"/>
        <v>20.870710343580981</v>
      </c>
      <c r="I9" s="109">
        <f t="shared" si="2"/>
        <v>20.591609925490161</v>
      </c>
      <c r="J9" s="109">
        <f t="shared" si="3"/>
        <v>20.844463319044849</v>
      </c>
      <c r="K9" s="103">
        <f>((H9-'CalibrationB. hydrogenotrophica'!$D$45)/('CalibrationB. hydrogenotrophica'!$D$44))+$B$24</f>
        <v>8.4822024760291264</v>
      </c>
      <c r="L9" s="103">
        <f>((I9-'CalibrationB. hydrogenotrophica'!$D$45)/('CalibrationB. hydrogenotrophica'!$D$44))+$B$24</f>
        <v>8.5521647295800811</v>
      </c>
      <c r="M9" s="103">
        <f>((J9-'CalibrationB. hydrogenotrophica'!$D$45)/('CalibrationB. hydrogenotrophica'!$D$44))+$B$24</f>
        <v>8.4887818319402211</v>
      </c>
      <c r="N9" s="104">
        <f t="shared" si="4"/>
        <v>8.5077163458498095</v>
      </c>
      <c r="O9" s="104">
        <f t="shared" si="5"/>
        <v>3.8633742935759136E-2</v>
      </c>
      <c r="P9" s="105">
        <f>(AVERAGE(POWER(10,K9),POWER(10,L9),POWER(10,M9)))*Calculation!$I9/Calculation!$K8</f>
        <v>329116263.82039887</v>
      </c>
      <c r="Q9" s="105">
        <f>(STDEV(POWER(10,K9),POWER(10,L9),POWER(10,M9)))*Calculation!$I9/Calculation!$K8</f>
        <v>29964366.803624477</v>
      </c>
      <c r="R9" s="104">
        <f t="shared" si="6"/>
        <v>8.5173493441993546</v>
      </c>
      <c r="S9" s="104">
        <f>O9*Calculation!$I9/Calculation!$K8</f>
        <v>3.9394538338471292E-2</v>
      </c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spans="1:29">
      <c r="A10" s="40">
        <v>6</v>
      </c>
      <c r="B10" s="32">
        <v>80</v>
      </c>
      <c r="C10" s="32">
        <f t="shared" si="7"/>
        <v>520</v>
      </c>
      <c r="D10" s="13">
        <f t="shared" si="0"/>
        <v>8.6666666666666661</v>
      </c>
      <c r="E10" s="98">
        <v>19.35296630859375</v>
      </c>
      <c r="F10" s="98">
        <v>19.210849761962891</v>
      </c>
      <c r="G10" s="103">
        <v>19.435186386108398</v>
      </c>
      <c r="H10" s="109">
        <f>(E10-$H$63)+$H$67</f>
        <v>19.803087840936122</v>
      </c>
      <c r="I10" s="109">
        <f t="shared" ref="I10:J10" si="8">(F10-$H$63)+$H$67</f>
        <v>19.660971294305263</v>
      </c>
      <c r="J10" s="109">
        <f t="shared" si="8"/>
        <v>19.885307918450771</v>
      </c>
      <c r="K10" s="103">
        <f>((H10-'CalibrationB. hydrogenotrophica'!$D$45)/('CalibrationB. hydrogenotrophica'!$D$44))+$B$24</f>
        <v>8.7498239892381751</v>
      </c>
      <c r="L10" s="103">
        <f>((I10-'CalibrationB. hydrogenotrophica'!$D$45)/('CalibrationB. hydrogenotrophica'!$D$44))+$B$24</f>
        <v>8.7854484212515267</v>
      </c>
      <c r="M10" s="103">
        <f>((J10-'CalibrationB. hydrogenotrophica'!$D$45)/('CalibrationB. hydrogenotrophica'!$D$44))+$B$24</f>
        <v>8.7292138377041599</v>
      </c>
      <c r="N10" s="104">
        <f t="shared" si="4"/>
        <v>8.7548287493979533</v>
      </c>
      <c r="O10" s="104">
        <f t="shared" si="5"/>
        <v>2.8449390413137599E-2</v>
      </c>
      <c r="P10" s="105">
        <f>(AVERAGE(POWER(10,K10),POWER(10,L10),POWER(10,M10)))*Calculation!$I10/Calculation!$K9</f>
        <v>585814495.02884102</v>
      </c>
      <c r="Q10" s="105">
        <f>(STDEV(POWER(10,K10),POWER(10,L10),POWER(10,M10)))*Calculation!$I10/Calculation!$K9</f>
        <v>38673906.313425258</v>
      </c>
      <c r="R10" s="104">
        <f t="shared" si="6"/>
        <v>8.767760113390576</v>
      </c>
      <c r="S10" s="104">
        <f>O10*Calculation!$I10/Calculation!$K9</f>
        <v>2.9267112269216005E-2</v>
      </c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spans="1:29">
      <c r="A11" s="40">
        <v>7</v>
      </c>
      <c r="B11" s="32">
        <v>80</v>
      </c>
      <c r="C11" s="32">
        <f t="shared" si="7"/>
        <v>600</v>
      </c>
      <c r="D11" s="13">
        <f t="shared" si="0"/>
        <v>10</v>
      </c>
      <c r="E11" s="98">
        <v>18.83802604675293</v>
      </c>
      <c r="F11" s="98">
        <v>19.221553802490234</v>
      </c>
      <c r="G11" s="103">
        <v>18.752542495727539</v>
      </c>
      <c r="H11" s="109">
        <f t="shared" si="1"/>
        <v>18.965589493971606</v>
      </c>
      <c r="I11" s="109">
        <f t="shared" si="2"/>
        <v>19.349117249708911</v>
      </c>
      <c r="J11" s="109">
        <f t="shared" si="3"/>
        <v>18.880105942946216</v>
      </c>
      <c r="K11" s="103">
        <f>((H11-'CalibrationB. hydrogenotrophica'!$D$45)/('CalibrationB. hydrogenotrophica'!$D$44))+$B$24</f>
        <v>8.9597601552233144</v>
      </c>
      <c r="L11" s="103">
        <f>((I11-'CalibrationB. hydrogenotrophica'!$D$45)/('CalibrationB. hydrogenotrophica'!$D$44))+$B$24</f>
        <v>8.8636210441669121</v>
      </c>
      <c r="M11" s="103">
        <f>((J11-'CalibrationB. hydrogenotrophica'!$D$45)/('CalibrationB. hydrogenotrophica'!$D$44))+$B$24</f>
        <v>8.9811883634366332</v>
      </c>
      <c r="N11" s="104">
        <f t="shared" si="4"/>
        <v>8.9348565209422866</v>
      </c>
      <c r="O11" s="104">
        <f t="shared" si="5"/>
        <v>6.2615188974956548E-2</v>
      </c>
      <c r="P11" s="105">
        <f>(AVERAGE(POWER(10,K11),POWER(10,L11),POWER(10,M11)))*Calculation!$I11/Calculation!$K10</f>
        <v>900252389.58720386</v>
      </c>
      <c r="Q11" s="105">
        <f>(STDEV(POWER(10,K11),POWER(10,L11),POWER(10,M11)))*Calculation!$I11/Calculation!$K10</f>
        <v>124716652.70922728</v>
      </c>
      <c r="R11" s="104">
        <f t="shared" si="6"/>
        <v>8.9543642828155079</v>
      </c>
      <c r="S11" s="104">
        <f>O11*Calculation!$I11/Calculation!$K10</f>
        <v>6.5051257405505145E-2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spans="1:29">
      <c r="A12" s="40">
        <v>8</v>
      </c>
      <c r="B12" s="32">
        <v>80</v>
      </c>
      <c r="C12" s="32">
        <f t="shared" si="7"/>
        <v>680</v>
      </c>
      <c r="D12" s="13">
        <f t="shared" si="0"/>
        <v>11.333333333333334</v>
      </c>
      <c r="E12" s="98">
        <v>18.453475952148438</v>
      </c>
      <c r="F12" s="98">
        <v>18.272603988647461</v>
      </c>
      <c r="G12" s="103">
        <v>18.163400650024414</v>
      </c>
      <c r="H12" s="109">
        <f t="shared" si="1"/>
        <v>18.581039399367114</v>
      </c>
      <c r="I12" s="109">
        <f t="shared" si="2"/>
        <v>18.400167435866138</v>
      </c>
      <c r="J12" s="109">
        <f t="shared" si="3"/>
        <v>18.290964097243091</v>
      </c>
      <c r="K12" s="103">
        <f>((H12-'CalibrationB. hydrogenotrophica'!$D$45)/('CalibrationB. hydrogenotrophica'!$D$44))+$B$24</f>
        <v>9.0561555365194053</v>
      </c>
      <c r="L12" s="103">
        <f>((I12-'CalibrationB. hydrogenotrophica'!$D$45)/('CalibrationB. hydrogenotrophica'!$D$44))+$B$24</f>
        <v>9.1014948099510793</v>
      </c>
      <c r="M12" s="103">
        <f>((J12-'CalibrationB. hydrogenotrophica'!$D$45)/('CalibrationB. hydrogenotrophica'!$D$44))+$B$24</f>
        <v>9.1288688702180547</v>
      </c>
      <c r="N12" s="104">
        <f>AVERAGE(K12:M12)</f>
        <v>9.0955064055628458</v>
      </c>
      <c r="O12" s="104">
        <f>STDEV(K12:M12)</f>
        <v>3.6724691485845611E-2</v>
      </c>
      <c r="P12" s="105">
        <f>(AVERAGE(POWER(10,K12),POWER(10,L12),POWER(10,M12)))*Calculation!$I12/Calculation!$K11</f>
        <v>1306623915.5417724</v>
      </c>
      <c r="Q12" s="105">
        <f>(STDEV(POWER(10,K12),POWER(10,L12),POWER(10,M12)))*Calculation!$I12/Calculation!$K11</f>
        <v>109277453.38690172</v>
      </c>
      <c r="R12" s="104">
        <f t="shared" si="6"/>
        <v>9.116150602952807</v>
      </c>
      <c r="S12" s="104">
        <f>O12*Calculation!$I12/Calculation!$K11</f>
        <v>3.8421537216129446E-2</v>
      </c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spans="1:29">
      <c r="A13" s="40">
        <v>9</v>
      </c>
      <c r="B13" s="32">
        <v>80</v>
      </c>
      <c r="C13" s="32">
        <f t="shared" si="7"/>
        <v>760</v>
      </c>
      <c r="D13" s="13">
        <f t="shared" si="0"/>
        <v>12.666666666666666</v>
      </c>
      <c r="E13" s="98">
        <v>18.001180648803711</v>
      </c>
      <c r="F13" s="98">
        <v>17.515083312988281</v>
      </c>
      <c r="G13" s="103">
        <v>17.534513473510742</v>
      </c>
      <c r="H13" s="109">
        <f t="shared" si="1"/>
        <v>18.128744096022388</v>
      </c>
      <c r="I13" s="109">
        <f t="shared" si="2"/>
        <v>17.642646760206958</v>
      </c>
      <c r="J13" s="109">
        <f t="shared" si="3"/>
        <v>17.662076920729419</v>
      </c>
      <c r="K13" s="103">
        <f>((H13-'CalibrationB. hydrogenotrophica'!$D$45)/('CalibrationB. hydrogenotrophica'!$D$44))+$B$24</f>
        <v>9.1695326461237787</v>
      </c>
      <c r="L13" s="103">
        <f>((I13-'CalibrationB. hydrogenotrophica'!$D$45)/('CalibrationB. hydrogenotrophica'!$D$44))+$B$24</f>
        <v>9.2913829295858967</v>
      </c>
      <c r="M13" s="103">
        <f>((J13-'CalibrationB. hydrogenotrophica'!$D$45)/('CalibrationB. hydrogenotrophica'!$D$44))+$B$24</f>
        <v>9.2865123606834672</v>
      </c>
      <c r="N13" s="104">
        <f t="shared" si="4"/>
        <v>9.2491426454643815</v>
      </c>
      <c r="O13" s="104">
        <f t="shared" si="5"/>
        <v>6.8987278585376427E-2</v>
      </c>
      <c r="P13" s="105">
        <f>(AVERAGE(POWER(10,K13),POWER(10,L13),POWER(10,M13)))*Calculation!$I13/Calculation!$K12</f>
        <v>1882542323.2961793</v>
      </c>
      <c r="Q13" s="105">
        <f>(STDEV(POWER(10,K13),POWER(10,L13),POWER(10,M13)))*Calculation!$I13/Calculation!$K12</f>
        <v>284296233.58013225</v>
      </c>
      <c r="R13" s="104">
        <f t="shared" si="6"/>
        <v>9.2747447487863468</v>
      </c>
      <c r="S13" s="104">
        <f>O13*Calculation!$I13/Calculation!$K12</f>
        <v>7.2583227297704028E-2</v>
      </c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>
      <c r="A14" s="40">
        <v>10</v>
      </c>
      <c r="B14" s="32">
        <v>80</v>
      </c>
      <c r="C14" s="32">
        <f t="shared" si="7"/>
        <v>840</v>
      </c>
      <c r="D14" s="13">
        <f t="shared" si="0"/>
        <v>14</v>
      </c>
      <c r="E14" s="98">
        <v>17.414272308349609</v>
      </c>
      <c r="F14" s="98">
        <v>17.264404296875</v>
      </c>
      <c r="G14" s="103">
        <v>17.155643463134766</v>
      </c>
      <c r="H14" s="109">
        <f t="shared" si="1"/>
        <v>17.541835755568286</v>
      </c>
      <c r="I14" s="109">
        <f t="shared" si="2"/>
        <v>17.391967744093677</v>
      </c>
      <c r="J14" s="109">
        <f t="shared" si="3"/>
        <v>17.283206910353442</v>
      </c>
      <c r="K14" s="103">
        <f>((H14-'CalibrationB. hydrogenotrophica'!$D$45)/('CalibrationB. hydrogenotrophica'!$D$44))+$B$24</f>
        <v>9.31665327893006</v>
      </c>
      <c r="L14" s="103">
        <f>((I14-'CalibrationB. hydrogenotrophica'!$D$45)/('CalibrationB. hydrogenotrophica'!$D$44))+$B$24</f>
        <v>9.3542207748502992</v>
      </c>
      <c r="M14" s="103">
        <f>((J14-'CalibrationB. hydrogenotrophica'!$D$45)/('CalibrationB. hydrogenotrophica'!$D$44))+$B$24</f>
        <v>9.3814839121777087</v>
      </c>
      <c r="N14" s="104">
        <f t="shared" si="4"/>
        <v>9.3507859886526887</v>
      </c>
      <c r="O14" s="104">
        <f t="shared" si="5"/>
        <v>3.2551514081379566E-2</v>
      </c>
      <c r="P14" s="105">
        <f>(AVERAGE(POWER(10,K14),POWER(10,L14),POWER(10,M14)))*Calculation!$I14/Calculation!$K13</f>
        <v>2366056061.1637793</v>
      </c>
      <c r="Q14" s="105">
        <f>(STDEV(POWER(10,K14),POWER(10,L14),POWER(10,M14)))*Calculation!$I14/Calculation!$K13</f>
        <v>176177094.31726912</v>
      </c>
      <c r="R14" s="104">
        <f t="shared" si="6"/>
        <v>9.3740250305563393</v>
      </c>
      <c r="S14" s="104">
        <f>O14*Calculation!$I14/Calculation!$K13</f>
        <v>3.4276819548347451E-2</v>
      </c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>
      <c r="A15" s="40">
        <v>11</v>
      </c>
      <c r="B15" s="32">
        <v>80</v>
      </c>
      <c r="C15" s="32">
        <f t="shared" si="7"/>
        <v>920</v>
      </c>
      <c r="D15" s="13">
        <f t="shared" si="0"/>
        <v>15.333333333333334</v>
      </c>
      <c r="E15" s="98">
        <v>17.337347030639648</v>
      </c>
      <c r="F15" s="98">
        <v>17.02287483215332</v>
      </c>
      <c r="G15" s="103">
        <v>16.977132797241211</v>
      </c>
      <c r="H15" s="109">
        <f t="shared" si="1"/>
        <v>17.464910477858325</v>
      </c>
      <c r="I15" s="109">
        <f t="shared" si="2"/>
        <v>17.150438279371997</v>
      </c>
      <c r="J15" s="109">
        <f t="shared" si="3"/>
        <v>17.104696244459888</v>
      </c>
      <c r="K15" s="103">
        <f>((H15-'CalibrationB. hydrogenotrophica'!$D$45)/('CalibrationB. hydrogenotrophica'!$D$44))+$B$24</f>
        <v>9.3359361801182281</v>
      </c>
      <c r="L15" s="103">
        <f>((I15-'CalibrationB. hydrogenotrophica'!$D$45)/('CalibrationB. hydrogenotrophica'!$D$44))+$B$24</f>
        <v>9.414765097092717</v>
      </c>
      <c r="M15" s="103">
        <f>((J15-'CalibrationB. hydrogenotrophica'!$D$45)/('CalibrationB. hydrogenotrophica'!$D$44))+$B$24</f>
        <v>9.4262312778542814</v>
      </c>
      <c r="N15" s="104">
        <f t="shared" si="4"/>
        <v>9.3923108516884088</v>
      </c>
      <c r="O15" s="104">
        <f t="shared" si="5"/>
        <v>4.9157359787711588E-2</v>
      </c>
      <c r="P15" s="105">
        <f>(AVERAGE(POWER(10,K15),POWER(10,L15),POWER(10,M15)))*Calculation!$I15/Calculation!$K14</f>
        <v>2611740022.3006964</v>
      </c>
      <c r="Q15" s="105">
        <f>(STDEV(POWER(10,K15),POWER(10,L15),POWER(10,M15)))*Calculation!$I15/Calculation!$K14</f>
        <v>285985939.06650692</v>
      </c>
      <c r="R15" s="104">
        <f t="shared" si="6"/>
        <v>9.4169299442341519</v>
      </c>
      <c r="S15" s="104">
        <f>O15*Calculation!$I15/Calculation!$K14</f>
        <v>5.1807513634544201E-2</v>
      </c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>
      <c r="A16" s="40">
        <v>12</v>
      </c>
      <c r="B16" s="32">
        <v>80</v>
      </c>
      <c r="C16" s="32">
        <f t="shared" si="7"/>
        <v>1000</v>
      </c>
      <c r="D16" s="13">
        <f t="shared" si="0"/>
        <v>16.666666666666668</v>
      </c>
      <c r="E16" s="98">
        <v>16.752431869506836</v>
      </c>
      <c r="F16" s="98">
        <v>16.40886116027832</v>
      </c>
      <c r="G16" s="103">
        <v>16.301609039306641</v>
      </c>
      <c r="H16" s="109">
        <f t="shared" si="1"/>
        <v>16.879995316725513</v>
      </c>
      <c r="I16" s="109">
        <f t="shared" si="2"/>
        <v>16.536424607496997</v>
      </c>
      <c r="J16" s="109">
        <f t="shared" si="3"/>
        <v>16.429172486525317</v>
      </c>
      <c r="K16" s="103">
        <f>((H16-'CalibrationB. hydrogenotrophica'!$D$45)/('CalibrationB. hydrogenotrophica'!$D$44))+$B$24</f>
        <v>9.4825571815803436</v>
      </c>
      <c r="L16" s="103">
        <f>((I16-'CalibrationB. hydrogenotrophica'!$D$45)/('CalibrationB. hydrogenotrophica'!$D$44))+$B$24</f>
        <v>9.568680238063564</v>
      </c>
      <c r="M16" s="103">
        <f>((J16-'CalibrationB. hydrogenotrophica'!$D$45)/('CalibrationB. hydrogenotrophica'!$D$44))+$B$24</f>
        <v>9.5955651855409858</v>
      </c>
      <c r="N16" s="104">
        <f t="shared" si="4"/>
        <v>9.548934201728299</v>
      </c>
      <c r="O16" s="104">
        <f t="shared" si="5"/>
        <v>5.9035004048508165E-2</v>
      </c>
      <c r="P16" s="105">
        <f>(AVERAGE(POWER(10,K16),POWER(10,L16),POWER(10,M16)))*Calculation!$I16/Calculation!$K15</f>
        <v>3756178292.109499</v>
      </c>
      <c r="Q16" s="105">
        <f>(STDEV(POWER(10,K16),POWER(10,L16),POWER(10,M16)))*Calculation!$I16/Calculation!$K15</f>
        <v>493839129.62605298</v>
      </c>
      <c r="R16" s="104">
        <f t="shared" si="6"/>
        <v>9.57474619846138</v>
      </c>
      <c r="S16" s="104">
        <f>O16*Calculation!$I16/Calculation!$K15</f>
        <v>6.2273679399514566E-2</v>
      </c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>
      <c r="A17" s="40">
        <v>13</v>
      </c>
      <c r="B17" s="32">
        <v>80</v>
      </c>
      <c r="C17" s="32">
        <f t="shared" si="7"/>
        <v>1080</v>
      </c>
      <c r="D17" s="13">
        <f t="shared" si="0"/>
        <v>18</v>
      </c>
      <c r="E17" s="98">
        <v>16.495372772216797</v>
      </c>
      <c r="F17" s="98">
        <v>16.006626129150391</v>
      </c>
      <c r="G17" s="103">
        <v>16.093959808349609</v>
      </c>
      <c r="H17" s="109">
        <f t="shared" si="1"/>
        <v>16.622936219435474</v>
      </c>
      <c r="I17" s="109">
        <f t="shared" si="2"/>
        <v>16.134189576369067</v>
      </c>
      <c r="J17" s="109">
        <f t="shared" si="3"/>
        <v>16.221523255568286</v>
      </c>
      <c r="K17" s="103">
        <f>((H17-'CalibrationB. hydrogenotrophica'!$D$45)/('CalibrationB. hydrogenotrophica'!$D$44))+$B$24</f>
        <v>9.5469943252622027</v>
      </c>
      <c r="L17" s="103">
        <f>((I17-'CalibrationB. hydrogenotrophica'!$D$45)/('CalibrationB. hydrogenotrophica'!$D$44))+$B$24</f>
        <v>9.6695087120133625</v>
      </c>
      <c r="M17" s="103">
        <f>((J17-'CalibrationB. hydrogenotrophica'!$D$45)/('CalibrationB. hydrogenotrophica'!$D$44))+$B$24</f>
        <v>9.6476167311647885</v>
      </c>
      <c r="N17" s="104">
        <f t="shared" si="4"/>
        <v>9.621373256146784</v>
      </c>
      <c r="O17" s="104">
        <f t="shared" si="5"/>
        <v>6.5337460357888372E-2</v>
      </c>
      <c r="P17" s="105">
        <f>(AVERAGE(POWER(10,K17),POWER(10,L17),POWER(10,M17)))*Calculation!$I17/Calculation!$K16</f>
        <v>4447976435.3365211</v>
      </c>
      <c r="Q17" s="105">
        <f>(STDEV(POWER(10,K17),POWER(10,L17),POWER(10,M17)))*Calculation!$I17/Calculation!$K16</f>
        <v>641615417.02864921</v>
      </c>
      <c r="R17" s="104">
        <f t="shared" si="6"/>
        <v>9.6481624777578077</v>
      </c>
      <c r="S17" s="104">
        <f>O17*Calculation!$I17/Calculation!$K16</f>
        <v>6.8986423671413721E-2</v>
      </c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spans="1:29">
      <c r="A18" s="40">
        <v>14</v>
      </c>
      <c r="B18" s="32">
        <v>360</v>
      </c>
      <c r="C18" s="32">
        <f t="shared" si="7"/>
        <v>1440</v>
      </c>
      <c r="D18" s="13">
        <f t="shared" si="0"/>
        <v>24</v>
      </c>
      <c r="E18" s="98">
        <v>15.567593574523926</v>
      </c>
      <c r="F18" s="98">
        <v>15.607172012329102</v>
      </c>
      <c r="G18" s="103">
        <v>15.700528144836426</v>
      </c>
      <c r="H18" s="109">
        <f t="shared" si="1"/>
        <v>15.695157021742601</v>
      </c>
      <c r="I18" s="109">
        <f t="shared" si="2"/>
        <v>15.734735459547776</v>
      </c>
      <c r="J18" s="109">
        <f t="shared" si="3"/>
        <v>15.828091592055101</v>
      </c>
      <c r="K18" s="103">
        <f>((H18-'CalibrationB. hydrogenotrophica'!$D$45)/('CalibrationB. hydrogenotrophica'!$D$44))+$B$24</f>
        <v>9.7795612411855153</v>
      </c>
      <c r="L18" s="103">
        <f>((I18-'CalibrationB. hydrogenotrophica'!$D$45)/('CalibrationB. hydrogenotrophica'!$D$44))+$B$24</f>
        <v>9.7696400926619198</v>
      </c>
      <c r="M18" s="103">
        <f>((J18-'CalibrationB. hydrogenotrophica'!$D$45)/('CalibrationB. hydrogenotrophica'!$D$44))+$B$24</f>
        <v>9.7462384601681684</v>
      </c>
      <c r="N18" s="104">
        <f t="shared" si="4"/>
        <v>9.7651465980052006</v>
      </c>
      <c r="O18" s="104">
        <f t="shared" si="5"/>
        <v>1.7109808717661993E-2</v>
      </c>
      <c r="P18" s="105">
        <f>(AVERAGE(POWER(10,K18),POWER(10,L18),POWER(10,M18)))*Calculation!$I18/Calculation!$K17</f>
        <v>6157396629.5000238</v>
      </c>
      <c r="Q18" s="105">
        <f>(STDEV(POWER(10,K18),POWER(10,L18),POWER(10,M18)))*Calculation!$I18/Calculation!$K17</f>
        <v>240776888.22874877</v>
      </c>
      <c r="R18" s="104">
        <f t="shared" si="6"/>
        <v>9.7893971296277371</v>
      </c>
      <c r="S18" s="104">
        <f>O18*Calculation!$I18/Calculation!$K17</f>
        <v>1.8083067617945824E-2</v>
      </c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spans="1:2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8">
        <v>15.885310173034668</v>
      </c>
      <c r="F19" s="98">
        <v>15.980592727661133</v>
      </c>
      <c r="G19" s="103">
        <v>16.242774963378906</v>
      </c>
      <c r="H19" s="109">
        <f t="shared" si="1"/>
        <v>16.012873620253345</v>
      </c>
      <c r="I19" s="109">
        <f t="shared" si="2"/>
        <v>16.108156174879809</v>
      </c>
      <c r="J19" s="109">
        <f t="shared" si="3"/>
        <v>16.370338410597583</v>
      </c>
      <c r="K19" s="103">
        <f>((H19-'CalibrationB. hydrogenotrophica'!$D$45)/('CalibrationB. hydrogenotrophica'!$D$44))+$B$24</f>
        <v>9.6999190486929106</v>
      </c>
      <c r="L19" s="103">
        <f>((I19-'CalibrationB. hydrogenotrophica'!$D$45)/('CalibrationB. hydrogenotrophica'!$D$44))+$B$24</f>
        <v>9.6760345189191508</v>
      </c>
      <c r="M19" s="103">
        <f>((J19-'CalibrationB. hydrogenotrophica'!$D$45)/('CalibrationB. hydrogenotrophica'!$D$44))+$B$24</f>
        <v>9.6103131553421388</v>
      </c>
      <c r="N19" s="104">
        <f t="shared" si="4"/>
        <v>9.6620889076514</v>
      </c>
      <c r="O19" s="104">
        <f t="shared" si="5"/>
        <v>4.6402199150696315E-2</v>
      </c>
      <c r="P19" s="105">
        <f>(AVERAGE(POWER(10,K19),POWER(10,L19),POWER(10,M19)))*Calculation!$I19/Calculation!$K18</f>
        <v>4872398891.5019684</v>
      </c>
      <c r="Q19" s="105">
        <f>(STDEV(POWER(10,K19),POWER(10,L19),POWER(10,M19)))*Calculation!$I19/Calculation!$K18</f>
        <v>508376806.09862453</v>
      </c>
      <c r="R19" s="104">
        <f t="shared" si="6"/>
        <v>9.6877428357181614</v>
      </c>
      <c r="S19" s="104">
        <f>O19*Calculation!$I19/Calculation!$K18</f>
        <v>4.9041699922527805E-2</v>
      </c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spans="1:2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8">
        <v>16.789539337158203</v>
      </c>
      <c r="F20" s="98">
        <v>16.972570419311523</v>
      </c>
      <c r="G20" s="103">
        <v>17.460123062133789</v>
      </c>
      <c r="H20" s="109">
        <f t="shared" si="1"/>
        <v>16.91710278437688</v>
      </c>
      <c r="I20" s="109">
        <f t="shared" si="2"/>
        <v>17.1001338665302</v>
      </c>
      <c r="J20" s="109">
        <f t="shared" si="3"/>
        <v>17.587686509352466</v>
      </c>
      <c r="K20" s="103">
        <f>((H20-'CalibrationB. hydrogenotrophica'!$D$45)/('CalibrationB. hydrogenotrophica'!$D$44))+$B$24</f>
        <v>9.4732554324886813</v>
      </c>
      <c r="L20" s="103">
        <f>((I20-'CalibrationB. hydrogenotrophica'!$D$45)/('CalibrationB. hydrogenotrophica'!$D$44))+$B$24</f>
        <v>9.4273749316105011</v>
      </c>
      <c r="M20" s="103">
        <f>((J20-'CalibrationB. hydrogenotrophica'!$D$45)/('CalibrationB. hydrogenotrophica'!$D$44))+$B$24</f>
        <v>9.3051598455497224</v>
      </c>
      <c r="N20" s="104">
        <f t="shared" si="4"/>
        <v>9.4019300698829671</v>
      </c>
      <c r="O20" s="104">
        <f t="shared" si="5"/>
        <v>8.6888505156540813E-2</v>
      </c>
      <c r="P20" s="105">
        <f>(AVERAGE(POWER(10,K20),POWER(10,L20),POWER(10,M20)))*Calculation!$I20/Calculation!$K19</f>
        <v>2701336392.7516165</v>
      </c>
      <c r="Q20" s="105">
        <f>(STDEV(POWER(10,K20),POWER(10,L20),POWER(10,M20)))*Calculation!$I20/Calculation!$K19</f>
        <v>515994069.78532505</v>
      </c>
      <c r="R20" s="104">
        <f t="shared" si="6"/>
        <v>9.4315786694962309</v>
      </c>
      <c r="S20" s="104">
        <f>O20*Calculation!$I20/Calculation!$K19</f>
        <v>9.1830992379595897E-2</v>
      </c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spans="1:29">
      <c r="A22" s="115"/>
      <c r="B22" s="116"/>
      <c r="C22" s="115"/>
      <c r="D22" s="116"/>
      <c r="E22" s="117"/>
      <c r="F22" s="117"/>
      <c r="G22" s="118"/>
      <c r="H22" s="111"/>
      <c r="I22" s="111"/>
      <c r="J22" s="111"/>
      <c r="K22" s="118"/>
      <c r="L22" s="118"/>
      <c r="M22" s="118"/>
      <c r="N22" s="119"/>
      <c r="O22" s="119"/>
      <c r="P22" s="120"/>
      <c r="Q22" s="120"/>
      <c r="R22" s="119"/>
      <c r="S22" s="119"/>
    </row>
    <row r="23" spans="1:29">
      <c r="A23" s="115"/>
      <c r="B23" s="116"/>
      <c r="C23" s="115"/>
      <c r="D23" s="116"/>
      <c r="E23" s="117"/>
      <c r="F23" s="117"/>
      <c r="G23" s="118"/>
      <c r="H23" s="111"/>
      <c r="I23" s="111"/>
      <c r="J23" s="111"/>
      <c r="K23" s="118"/>
      <c r="L23" s="118"/>
      <c r="M23" s="118"/>
      <c r="N23" s="119"/>
      <c r="O23" s="119"/>
      <c r="P23" s="120"/>
      <c r="Q23" s="120"/>
      <c r="R23" s="119"/>
      <c r="S23" s="119"/>
    </row>
    <row r="24" spans="1:29">
      <c r="A24" s="101" t="s">
        <v>237</v>
      </c>
      <c r="B24" s="108">
        <f>LOG(B25)</f>
        <v>3.6532125137753435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</row>
    <row r="25" spans="1:29">
      <c r="A25" s="97" t="s">
        <v>268</v>
      </c>
      <c r="B25" s="84">
        <f>20*1800/4/2</f>
        <v>4500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</row>
    <row r="26" spans="1:29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29">
      <c r="A27" s="61" t="s">
        <v>269</v>
      </c>
      <c r="B27" s="61"/>
      <c r="C27" s="61"/>
      <c r="D27" s="61"/>
      <c r="E27" s="110">
        <v>11.1</v>
      </c>
      <c r="F27" s="109">
        <v>11.4</v>
      </c>
      <c r="G27" s="109"/>
      <c r="H27" s="109">
        <f>AVERAGE(E27:G27)</f>
        <v>11.25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29">
      <c r="A28" s="61" t="s">
        <v>270</v>
      </c>
      <c r="B28" s="61"/>
      <c r="C28" s="61"/>
      <c r="D28" s="61"/>
      <c r="E28" s="122">
        <v>10.7</v>
      </c>
      <c r="F28" s="123">
        <v>10.8</v>
      </c>
      <c r="G28" s="123">
        <v>10.7</v>
      </c>
      <c r="H28" s="109">
        <f t="shared" ref="H28:H59" si="9">AVERAGE(E28:G28)</f>
        <v>10.733333333333334</v>
      </c>
    </row>
    <row r="29" spans="1:29">
      <c r="A29" s="61" t="s">
        <v>271</v>
      </c>
      <c r="B29" s="61"/>
      <c r="C29" s="61"/>
      <c r="D29" s="61"/>
      <c r="E29" s="122">
        <v>11.5</v>
      </c>
      <c r="F29" s="123">
        <v>11.5</v>
      </c>
      <c r="G29" s="123">
        <v>11.5</v>
      </c>
      <c r="H29" s="109">
        <f t="shared" si="9"/>
        <v>11.5</v>
      </c>
    </row>
    <row r="30" spans="1:29">
      <c r="A30" s="61" t="s">
        <v>272</v>
      </c>
      <c r="B30" s="61"/>
      <c r="C30" s="61"/>
      <c r="D30" s="61"/>
      <c r="E30" s="122">
        <v>11.3</v>
      </c>
      <c r="F30" s="123">
        <v>11.6</v>
      </c>
      <c r="G30" s="123">
        <v>11.7</v>
      </c>
      <c r="H30" s="109">
        <f t="shared" si="9"/>
        <v>11.533333333333331</v>
      </c>
    </row>
    <row r="31" spans="1:29">
      <c r="A31" s="61" t="s">
        <v>273</v>
      </c>
      <c r="B31" s="61"/>
      <c r="C31" s="61"/>
      <c r="D31" s="61"/>
      <c r="E31" s="122">
        <v>11.5</v>
      </c>
      <c r="F31" s="123">
        <v>11.5</v>
      </c>
      <c r="G31" s="123">
        <v>11.5</v>
      </c>
      <c r="H31" s="109">
        <f t="shared" si="9"/>
        <v>11.5</v>
      </c>
    </row>
    <row r="32" spans="1:29">
      <c r="A32" s="61" t="s">
        <v>274</v>
      </c>
      <c r="B32" s="61"/>
      <c r="C32" s="61"/>
      <c r="D32" s="61"/>
      <c r="E32" s="122">
        <v>11.5</v>
      </c>
      <c r="F32" s="123">
        <v>11.5</v>
      </c>
      <c r="G32" s="123">
        <v>11.5</v>
      </c>
      <c r="H32" s="109">
        <f t="shared" si="9"/>
        <v>11.5</v>
      </c>
    </row>
    <row r="33" spans="1:8">
      <c r="A33" s="61" t="s">
        <v>276</v>
      </c>
      <c r="B33" s="61"/>
      <c r="C33" s="61"/>
      <c r="D33" s="61"/>
      <c r="E33" s="122">
        <v>11.6</v>
      </c>
      <c r="F33" s="123">
        <v>11.6</v>
      </c>
      <c r="G33" s="123">
        <v>11.6</v>
      </c>
      <c r="H33" s="109">
        <f t="shared" si="9"/>
        <v>11.6</v>
      </c>
    </row>
    <row r="34" spans="1:8">
      <c r="A34" s="61" t="s">
        <v>277</v>
      </c>
      <c r="B34" s="61"/>
      <c r="C34" s="61"/>
      <c r="D34" s="61"/>
      <c r="E34" s="122">
        <v>11.2</v>
      </c>
      <c r="F34" s="123">
        <v>11.2</v>
      </c>
      <c r="G34" s="123">
        <v>11.2</v>
      </c>
      <c r="H34" s="109">
        <f t="shared" si="9"/>
        <v>11.199999999999998</v>
      </c>
    </row>
    <row r="35" spans="1:8">
      <c r="A35" s="61" t="s">
        <v>295</v>
      </c>
      <c r="B35" s="61"/>
      <c r="C35" s="61"/>
      <c r="D35" s="61"/>
      <c r="E35" s="122">
        <v>10.4</v>
      </c>
      <c r="F35" s="123">
        <v>11.2</v>
      </c>
      <c r="G35" s="123">
        <v>11.4</v>
      </c>
      <c r="H35" s="109">
        <f t="shared" si="9"/>
        <v>11</v>
      </c>
    </row>
    <row r="36" spans="1:8">
      <c r="A36" s="61" t="s">
        <v>295</v>
      </c>
      <c r="B36" s="61"/>
      <c r="C36" s="61"/>
      <c r="D36" s="61"/>
      <c r="E36" s="122">
        <v>11.3</v>
      </c>
      <c r="F36" s="123">
        <v>11.5</v>
      </c>
      <c r="G36" s="123">
        <v>11.6</v>
      </c>
      <c r="H36" s="109">
        <f t="shared" si="9"/>
        <v>11.466666666666667</v>
      </c>
    </row>
    <row r="37" spans="1:8">
      <c r="A37" s="61" t="s">
        <v>296</v>
      </c>
      <c r="B37" s="61"/>
      <c r="C37" s="61"/>
      <c r="D37" s="61"/>
      <c r="E37" s="122">
        <v>11.7</v>
      </c>
      <c r="F37" s="123">
        <v>11.7</v>
      </c>
      <c r="G37" s="123">
        <v>11.7</v>
      </c>
      <c r="H37" s="109">
        <f t="shared" si="9"/>
        <v>11.699999999999998</v>
      </c>
    </row>
    <row r="38" spans="1:8">
      <c r="A38" s="61" t="s">
        <v>296</v>
      </c>
      <c r="B38" s="61"/>
      <c r="C38" s="61"/>
      <c r="D38" s="61"/>
      <c r="E38" s="122">
        <v>11.3</v>
      </c>
      <c r="F38" s="123">
        <v>11.5</v>
      </c>
      <c r="G38" s="123">
        <v>11</v>
      </c>
      <c r="H38" s="109">
        <f t="shared" si="9"/>
        <v>11.266666666666666</v>
      </c>
    </row>
    <row r="39" spans="1:8">
      <c r="A39" s="61" t="s">
        <v>297</v>
      </c>
      <c r="B39" s="61"/>
      <c r="C39" s="61"/>
      <c r="D39" s="61"/>
      <c r="E39" s="122">
        <v>11.2</v>
      </c>
      <c r="F39" s="123">
        <v>11.3</v>
      </c>
      <c r="G39" s="123">
        <v>11.4</v>
      </c>
      <c r="H39" s="109">
        <f t="shared" si="9"/>
        <v>11.299999999999999</v>
      </c>
    </row>
    <row r="40" spans="1:8">
      <c r="A40" s="61" t="s">
        <v>298</v>
      </c>
      <c r="B40" s="61"/>
      <c r="C40" s="61"/>
      <c r="D40" s="61"/>
      <c r="E40" s="122">
        <v>11.5</v>
      </c>
      <c r="F40" s="123">
        <v>11.5</v>
      </c>
      <c r="G40" s="123">
        <v>11.5</v>
      </c>
      <c r="H40" s="109">
        <f t="shared" si="9"/>
        <v>11.5</v>
      </c>
    </row>
    <row r="41" spans="1:8">
      <c r="A41" s="61" t="s">
        <v>299</v>
      </c>
      <c r="B41" s="61"/>
      <c r="C41" s="61"/>
      <c r="D41" s="61"/>
      <c r="E41" s="122">
        <v>11.3</v>
      </c>
      <c r="F41" s="123">
        <v>11.3</v>
      </c>
      <c r="G41" s="123">
        <v>11.3</v>
      </c>
      <c r="H41" s="109">
        <f t="shared" si="9"/>
        <v>11.300000000000002</v>
      </c>
    </row>
    <row r="42" spans="1:8">
      <c r="A42" s="61" t="s">
        <v>300</v>
      </c>
      <c r="B42" s="61"/>
      <c r="C42" s="61"/>
      <c r="D42" s="61"/>
      <c r="E42" s="122">
        <v>11.3</v>
      </c>
      <c r="F42" s="123">
        <v>11.3</v>
      </c>
      <c r="G42" s="123">
        <v>11.4</v>
      </c>
      <c r="H42" s="109">
        <f t="shared" si="9"/>
        <v>11.333333333333334</v>
      </c>
    </row>
    <row r="43" spans="1:8">
      <c r="A43" s="61" t="s">
        <v>301</v>
      </c>
      <c r="B43" s="61"/>
      <c r="C43" s="61"/>
      <c r="D43" s="61"/>
      <c r="E43" s="122">
        <v>11.1</v>
      </c>
      <c r="F43" s="123">
        <v>11.2</v>
      </c>
      <c r="G43" s="123">
        <v>11.2</v>
      </c>
      <c r="H43" s="109">
        <f t="shared" si="9"/>
        <v>11.166666666666666</v>
      </c>
    </row>
    <row r="44" spans="1:8">
      <c r="A44" s="61" t="s">
        <v>301</v>
      </c>
      <c r="B44" s="61"/>
      <c r="C44" s="61"/>
      <c r="D44" s="61"/>
      <c r="E44" s="122">
        <v>11.3</v>
      </c>
      <c r="F44" s="123">
        <v>11.3</v>
      </c>
      <c r="G44" s="123">
        <v>11.4</v>
      </c>
      <c r="H44" s="109">
        <f t="shared" si="9"/>
        <v>11.333333333333334</v>
      </c>
    </row>
    <row r="45" spans="1:8">
      <c r="A45" s="61" t="s">
        <v>302</v>
      </c>
      <c r="B45" s="61"/>
      <c r="C45" s="61"/>
      <c r="D45" s="61"/>
      <c r="E45" s="122">
        <v>11.3</v>
      </c>
      <c r="F45" s="123">
        <v>11.4</v>
      </c>
      <c r="G45" s="123">
        <v>11.3</v>
      </c>
      <c r="H45" s="109">
        <f t="shared" si="9"/>
        <v>11.333333333333334</v>
      </c>
    </row>
    <row r="46" spans="1:8">
      <c r="A46" s="61" t="s">
        <v>303</v>
      </c>
      <c r="B46" s="61"/>
      <c r="C46" s="61"/>
      <c r="D46" s="61"/>
      <c r="E46" s="122">
        <v>11.1</v>
      </c>
      <c r="F46" s="123">
        <v>11.4</v>
      </c>
      <c r="G46" s="123">
        <v>11.2</v>
      </c>
      <c r="H46" s="109">
        <f t="shared" si="9"/>
        <v>11.233333333333334</v>
      </c>
    </row>
    <row r="47" spans="1:8">
      <c r="A47" s="61" t="s">
        <v>303</v>
      </c>
      <c r="B47" s="61"/>
      <c r="C47" s="61"/>
      <c r="D47" s="61"/>
      <c r="E47" s="122">
        <v>11.4</v>
      </c>
      <c r="F47" s="123">
        <v>11.4</v>
      </c>
      <c r="G47" s="123">
        <v>11.4</v>
      </c>
      <c r="H47" s="109">
        <f t="shared" si="9"/>
        <v>11.4</v>
      </c>
    </row>
    <row r="48" spans="1:8">
      <c r="A48" s="61" t="s">
        <v>304</v>
      </c>
      <c r="B48" s="61"/>
      <c r="C48" s="61"/>
      <c r="D48" s="61"/>
      <c r="E48" s="122">
        <v>11.4</v>
      </c>
      <c r="F48" s="123">
        <v>11.4</v>
      </c>
      <c r="G48" s="123">
        <v>11.3</v>
      </c>
      <c r="H48" s="109">
        <f t="shared" si="9"/>
        <v>11.366666666666667</v>
      </c>
    </row>
    <row r="49" spans="1:8">
      <c r="A49" s="61" t="s">
        <v>305</v>
      </c>
      <c r="B49" s="61"/>
      <c r="C49" s="61"/>
      <c r="D49" s="61"/>
      <c r="E49" s="122">
        <v>11.4</v>
      </c>
      <c r="F49" s="123">
        <v>11.3</v>
      </c>
      <c r="G49" s="123">
        <v>11.3</v>
      </c>
      <c r="H49" s="109">
        <f t="shared" si="9"/>
        <v>11.333333333333334</v>
      </c>
    </row>
    <row r="50" spans="1:8">
      <c r="A50" s="61" t="s">
        <v>306</v>
      </c>
      <c r="B50" s="61"/>
      <c r="C50" s="61"/>
      <c r="D50" s="61"/>
      <c r="E50" s="122">
        <v>11.4</v>
      </c>
      <c r="F50" s="123">
        <v>11.4</v>
      </c>
      <c r="G50" s="123">
        <v>11.3</v>
      </c>
      <c r="H50" s="109">
        <f t="shared" si="9"/>
        <v>11.366666666666667</v>
      </c>
    </row>
    <row r="51" spans="1:8">
      <c r="A51" s="61" t="s">
        <v>316</v>
      </c>
      <c r="E51" s="110">
        <v>10.961522102355957</v>
      </c>
      <c r="F51" s="109">
        <v>10.991280555725098</v>
      </c>
      <c r="G51" s="109">
        <v>10.988773345947266</v>
      </c>
      <c r="H51" s="109">
        <f t="shared" si="9"/>
        <v>10.980525334676107</v>
      </c>
    </row>
    <row r="52" spans="1:8">
      <c r="A52" s="61" t="s">
        <v>317</v>
      </c>
      <c r="E52" s="110">
        <v>11.455920219421387</v>
      </c>
      <c r="F52" s="109">
        <v>11.47702693939209</v>
      </c>
      <c r="G52" s="109">
        <v>11.41429615020752</v>
      </c>
      <c r="H52" s="109">
        <f t="shared" si="9"/>
        <v>11.449081103006998</v>
      </c>
    </row>
    <row r="53" spans="1:8">
      <c r="A53" s="61" t="s">
        <v>318</v>
      </c>
      <c r="E53" s="110">
        <v>11.481462478637695</v>
      </c>
      <c r="F53" s="109">
        <v>11.294193267822266</v>
      </c>
      <c r="G53" s="109">
        <v>11.30172061920166</v>
      </c>
      <c r="H53" s="109">
        <f t="shared" si="9"/>
        <v>11.359125455220541</v>
      </c>
    </row>
    <row r="54" spans="1:8">
      <c r="A54" s="61" t="s">
        <v>318</v>
      </c>
      <c r="E54" s="110">
        <v>11.333268165588301</v>
      </c>
      <c r="F54" s="109">
        <v>11.3499765396118</v>
      </c>
      <c r="G54" s="109">
        <v>11.688117980956999</v>
      </c>
      <c r="H54" s="109">
        <f t="shared" si="9"/>
        <v>11.4571208953857</v>
      </c>
    </row>
    <row r="55" spans="1:8">
      <c r="A55" s="61" t="s">
        <v>319</v>
      </c>
      <c r="E55" s="110">
        <v>11.225685119628906</v>
      </c>
      <c r="F55" s="109">
        <v>11.295048713684082</v>
      </c>
      <c r="G55" s="109">
        <v>11.326059341430664</v>
      </c>
      <c r="H55" s="109">
        <f t="shared" si="9"/>
        <v>11.282264391581217</v>
      </c>
    </row>
    <row r="56" spans="1:8">
      <c r="A56" s="61" t="s">
        <v>320</v>
      </c>
      <c r="E56" s="110">
        <v>11.361672401428223</v>
      </c>
      <c r="F56" s="109">
        <v>11.304685592651367</v>
      </c>
      <c r="G56" s="109">
        <v>11.405701637268066</v>
      </c>
      <c r="H56" s="109">
        <f t="shared" si="9"/>
        <v>11.357353210449219</v>
      </c>
    </row>
    <row r="57" spans="1:8">
      <c r="A57" s="61" t="s">
        <v>320</v>
      </c>
      <c r="E57" s="110">
        <v>10.911848068237305</v>
      </c>
      <c r="F57" s="109">
        <v>10.950149536132812</v>
      </c>
      <c r="G57" s="109">
        <v>10.982019424438477</v>
      </c>
      <c r="H57" s="109">
        <f t="shared" si="9"/>
        <v>10.948005676269531</v>
      </c>
    </row>
    <row r="58" spans="1:8">
      <c r="A58" s="97" t="s">
        <v>293</v>
      </c>
      <c r="B58" s="97" t="s">
        <v>314</v>
      </c>
      <c r="C58" s="84"/>
      <c r="D58" s="84"/>
      <c r="E58" s="110">
        <v>11.097690582275391</v>
      </c>
      <c r="F58" s="109">
        <v>11.199633598327637</v>
      </c>
      <c r="G58" s="109">
        <v>11.211821556091309</v>
      </c>
      <c r="H58" s="109">
        <f t="shared" si="9"/>
        <v>11.169715245564779</v>
      </c>
    </row>
    <row r="59" spans="1:8">
      <c r="A59" s="97" t="s">
        <v>310</v>
      </c>
      <c r="B59" s="97" t="s">
        <v>315</v>
      </c>
      <c r="C59" s="84"/>
      <c r="D59" s="84"/>
      <c r="E59" s="110">
        <v>11.383224487304688</v>
      </c>
      <c r="F59" s="109">
        <v>11.329494476318359</v>
      </c>
      <c r="G59" s="109">
        <v>11.243021011352539</v>
      </c>
      <c r="H59" s="109">
        <f t="shared" si="9"/>
        <v>11.318579991658529</v>
      </c>
    </row>
    <row r="60" spans="1:8">
      <c r="A60" s="97" t="s">
        <v>310</v>
      </c>
      <c r="B60" s="97" t="s">
        <v>315</v>
      </c>
      <c r="C60" s="84"/>
      <c r="D60" s="84"/>
      <c r="E60" s="110">
        <v>11.171065330505371</v>
      </c>
      <c r="F60" s="109">
        <v>11.234642028808594</v>
      </c>
      <c r="G60" s="109">
        <v>11.325413703918457</v>
      </c>
      <c r="H60" s="109">
        <f>AVERAGE(E60:G60)</f>
        <v>11.243707021077475</v>
      </c>
    </row>
    <row r="61" spans="1:8">
      <c r="A61" s="61" t="s">
        <v>322</v>
      </c>
      <c r="B61" s="125"/>
      <c r="C61" s="84"/>
      <c r="D61" s="84"/>
      <c r="E61" s="110">
        <v>11.431556701660156</v>
      </c>
      <c r="F61" s="109">
        <v>11.393752098083496</v>
      </c>
      <c r="G61" s="109">
        <v>11.470895767211914</v>
      </c>
      <c r="H61" s="109">
        <f t="shared" ref="H61:H63" si="10">AVERAGE(E61:G61)</f>
        <v>11.432068188985189</v>
      </c>
    </row>
    <row r="62" spans="1:8">
      <c r="A62" s="61" t="s">
        <v>322</v>
      </c>
      <c r="B62" s="125"/>
      <c r="C62" s="84"/>
      <c r="D62" s="84"/>
      <c r="E62" s="110">
        <v>11.38902759552002</v>
      </c>
      <c r="F62" s="109">
        <v>11.318164825439453</v>
      </c>
      <c r="G62" s="109">
        <v>11.357851982116699</v>
      </c>
      <c r="H62" s="109">
        <f t="shared" si="10"/>
        <v>11.355014801025391</v>
      </c>
    </row>
    <row r="63" spans="1:8">
      <c r="A63" s="61" t="s">
        <v>323</v>
      </c>
      <c r="B63" s="125"/>
      <c r="C63" s="84"/>
      <c r="D63" s="84"/>
      <c r="E63" s="110">
        <v>10.827228546142578</v>
      </c>
      <c r="F63" s="109">
        <v>10.980537414550781</v>
      </c>
      <c r="G63" s="109">
        <v>10.733705520629883</v>
      </c>
      <c r="H63" s="109">
        <f t="shared" si="10"/>
        <v>10.84715716044108</v>
      </c>
    </row>
    <row r="64" spans="1:8">
      <c r="A64" s="61" t="s">
        <v>324</v>
      </c>
      <c r="B64" s="125"/>
      <c r="C64" s="84"/>
      <c r="D64" s="84"/>
      <c r="E64" s="110">
        <v>11.185029029846191</v>
      </c>
      <c r="F64" s="109">
        <v>11.096076965332031</v>
      </c>
      <c r="G64" s="109">
        <v>11.32984447479248</v>
      </c>
      <c r="H64" s="109">
        <f>AVERAGE(E64:G64)</f>
        <v>11.2036501566569</v>
      </c>
    </row>
    <row r="65" spans="1:8">
      <c r="A65" s="61" t="s">
        <v>324</v>
      </c>
      <c r="B65" s="125"/>
      <c r="C65" s="84"/>
      <c r="D65" s="84"/>
      <c r="E65" s="110">
        <v>11.051477432250977</v>
      </c>
      <c r="F65" s="109">
        <v>10.973122596740723</v>
      </c>
      <c r="G65" s="109">
        <v>10.89690113067627</v>
      </c>
      <c r="H65" s="109">
        <f>AVERAGE(E65:G65)</f>
        <v>10.973833719889322</v>
      </c>
    </row>
    <row r="66" spans="1:8">
      <c r="A66" s="61"/>
      <c r="B66" s="61"/>
      <c r="C66" s="61"/>
      <c r="D66" s="61"/>
      <c r="E66" s="61"/>
      <c r="F66" s="61"/>
      <c r="G66" s="61"/>
      <c r="H66" s="61"/>
    </row>
    <row r="67" spans="1:8">
      <c r="A67" s="61"/>
      <c r="B67" s="61"/>
      <c r="C67" s="61"/>
      <c r="D67" s="61"/>
      <c r="E67" s="61"/>
      <c r="F67" s="61"/>
      <c r="G67" s="61" t="s">
        <v>307</v>
      </c>
      <c r="H67" s="124">
        <f>AVERAGE(H27:H65)</f>
        <v>11.297278692783454</v>
      </c>
    </row>
  </sheetData>
  <mergeCells count="19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opLeftCell="H2" workbookViewId="0">
      <selection activeCell="M5" sqref="M5:M21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  <col min="15" max="15" width="16.83203125" customWidth="1"/>
  </cols>
  <sheetData>
    <row r="2" spans="1:17">
      <c r="A2" s="102" t="s">
        <v>221</v>
      </c>
      <c r="B2" s="84"/>
      <c r="C2" s="84"/>
      <c r="D2" s="84"/>
      <c r="H2" s="102" t="s">
        <v>266</v>
      </c>
      <c r="I2" s="84"/>
      <c r="J2" s="84"/>
      <c r="K2" s="84"/>
      <c r="O2" s="102" t="s">
        <v>275</v>
      </c>
    </row>
    <row r="3" spans="1:17">
      <c r="A3" s="130" t="s">
        <v>4</v>
      </c>
      <c r="B3" s="130" t="s">
        <v>117</v>
      </c>
      <c r="C3" s="130" t="s">
        <v>117</v>
      </c>
      <c r="D3" s="130" t="s">
        <v>5</v>
      </c>
      <c r="E3" s="147" t="s">
        <v>235</v>
      </c>
      <c r="F3" s="144" t="s">
        <v>236</v>
      </c>
      <c r="H3" s="130" t="s">
        <v>4</v>
      </c>
      <c r="I3" s="130" t="s">
        <v>117</v>
      </c>
      <c r="J3" s="130" t="s">
        <v>117</v>
      </c>
      <c r="K3" s="130" t="s">
        <v>5</v>
      </c>
      <c r="L3" s="147" t="s">
        <v>235</v>
      </c>
      <c r="M3" s="144" t="s">
        <v>236</v>
      </c>
      <c r="O3" s="147" t="s">
        <v>235</v>
      </c>
      <c r="P3" s="147" t="s">
        <v>235</v>
      </c>
      <c r="Q3" s="144" t="s">
        <v>236</v>
      </c>
    </row>
    <row r="4" spans="1:17">
      <c r="A4" s="131"/>
      <c r="B4" s="131"/>
      <c r="C4" s="131"/>
      <c r="D4" s="131"/>
      <c r="E4" s="151"/>
      <c r="F4" s="152"/>
      <c r="H4" s="131"/>
      <c r="I4" s="131"/>
      <c r="J4" s="131"/>
      <c r="K4" s="131"/>
      <c r="L4" s="151"/>
      <c r="M4" s="152"/>
      <c r="O4" s="151"/>
      <c r="P4" s="151"/>
      <c r="Q4" s="152"/>
    </row>
    <row r="5" spans="1:17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04">
        <f>'Determination cell counts RI'!R4</f>
        <v>8.3081536007899981</v>
      </c>
      <c r="F5" s="104">
        <f>'Determination cell counts RI'!S4</f>
        <v>2.4364750634828184E-2</v>
      </c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04">
        <f>'Determination cell counts BH'!R4</f>
        <v>7.6164827983309538</v>
      </c>
      <c r="M5" s="104">
        <f>'Determination cell counts BH'!S4</f>
        <v>2.7431333820294466E-2</v>
      </c>
      <c r="O5" s="31">
        <f>POWER(10,E5)+POWER(10,L5)</f>
        <v>244658287.55477527</v>
      </c>
      <c r="P5" s="121">
        <f>LOG(O5)</f>
        <v>8.3885599316363066</v>
      </c>
      <c r="Q5" s="121">
        <f>F5+M5</f>
        <v>5.1796084455122654E-2</v>
      </c>
    </row>
    <row r="6" spans="1:17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04">
        <f>'Determination cell counts RI'!R5</f>
        <v>8.6531421192126885</v>
      </c>
      <c r="F6" s="104">
        <f>'Determination cell counts RI'!S5</f>
        <v>6.8775737482360905E-2</v>
      </c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04">
        <f>'Determination cell counts BH'!R5</f>
        <v>7.9667516029810148</v>
      </c>
      <c r="M6" s="104">
        <f>'Determination cell counts BH'!S5</f>
        <v>2.6005424688029848E-2</v>
      </c>
      <c r="O6" s="31">
        <f t="shared" ref="O6:O21" si="2">POWER(10,E6)+POWER(10,L6)</f>
        <v>542557052.62373388</v>
      </c>
      <c r="P6" s="121">
        <f t="shared" ref="P6:P21" si="3">LOG(O6)</f>
        <v>8.734445413187613</v>
      </c>
      <c r="Q6" s="121">
        <f t="shared" ref="Q6:Q21" si="4">F6+M6</f>
        <v>9.4781162170390759E-2</v>
      </c>
    </row>
    <row r="7" spans="1:17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04">
        <f>'Determination cell counts RI'!R6</f>
        <v>8.9385419821134402</v>
      </c>
      <c r="F7" s="104">
        <f>'Determination cell counts RI'!S6</f>
        <v>5.6211512157454749E-2</v>
      </c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04">
        <f>'Determination cell counts BH'!R6</f>
        <v>8.2179980106697137</v>
      </c>
      <c r="M7" s="104">
        <f>'Determination cell counts BH'!S6</f>
        <v>4.8413649430584939E-2</v>
      </c>
      <c r="O7" s="31">
        <f t="shared" si="2"/>
        <v>1033239907.9569135</v>
      </c>
      <c r="P7" s="121">
        <f t="shared" si="3"/>
        <v>9.0142011720567918</v>
      </c>
      <c r="Q7" s="121">
        <f t="shared" si="4"/>
        <v>0.10462516158803969</v>
      </c>
    </row>
    <row r="8" spans="1:17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04">
        <f>'Determination cell counts RI'!R7</f>
        <v>9.1168168125886382</v>
      </c>
      <c r="F8" s="104">
        <f>'Determination cell counts RI'!S7</f>
        <v>3.7959537264727901E-2</v>
      </c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04">
        <f>'Determination cell counts BH'!R7</f>
        <v>8.3844503493379587</v>
      </c>
      <c r="M8" s="104">
        <f>'Determination cell counts BH'!S7</f>
        <v>0.13354488407170198</v>
      </c>
      <c r="O8" s="31">
        <f t="shared" si="2"/>
        <v>1550983908.2574737</v>
      </c>
      <c r="P8" s="121">
        <f t="shared" si="3"/>
        <v>9.1906072919520732</v>
      </c>
      <c r="Q8" s="121">
        <f t="shared" si="4"/>
        <v>0.17150442133642987</v>
      </c>
    </row>
    <row r="9" spans="1:17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04">
        <f>'Determination cell counts RI'!R8</f>
        <v>9.5093717259371289</v>
      </c>
      <c r="F9" s="104">
        <f>'Determination cell counts RI'!S8</f>
        <v>2.781696970221622E-2</v>
      </c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04">
        <f>'Determination cell counts BH'!R8</f>
        <v>8.6113697742684998</v>
      </c>
      <c r="M9" s="104">
        <f>'Determination cell counts BH'!S8</f>
        <v>0.12636115578103044</v>
      </c>
      <c r="O9" s="31">
        <f t="shared" si="2"/>
        <v>3639925864.088376</v>
      </c>
      <c r="P9" s="121">
        <f t="shared" si="3"/>
        <v>9.5610925382794925</v>
      </c>
      <c r="Q9" s="121">
        <f t="shared" si="4"/>
        <v>0.15417812548324666</v>
      </c>
    </row>
    <row r="10" spans="1:17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04">
        <f>'Determination cell counts RI'!R9</f>
        <v>9.7771360292836356</v>
      </c>
      <c r="F10" s="104">
        <f>'Determination cell counts RI'!S9</f>
        <v>2.1992127684462275E-2</v>
      </c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04">
        <f>'Determination cell counts BH'!R9</f>
        <v>8.5173493441993546</v>
      </c>
      <c r="M10" s="104">
        <f>'Determination cell counts BH'!S9</f>
        <v>3.9394538338471292E-2</v>
      </c>
      <c r="O10" s="31">
        <f t="shared" si="2"/>
        <v>6315106846.8117123</v>
      </c>
      <c r="P10" s="121">
        <f t="shared" si="3"/>
        <v>9.8003807028863115</v>
      </c>
      <c r="Q10" s="121">
        <f t="shared" si="4"/>
        <v>6.1386666022933564E-2</v>
      </c>
    </row>
    <row r="11" spans="1:17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04">
        <f>'Determination cell counts RI'!R10</f>
        <v>9.924848098092248</v>
      </c>
      <c r="F11" s="104">
        <f>'Determination cell counts RI'!S10</f>
        <v>3.1815824210166321E-2</v>
      </c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04">
        <f>'Determination cell counts BH'!R10</f>
        <v>8.767760113390576</v>
      </c>
      <c r="M11" s="104">
        <f>'Determination cell counts BH'!S10</f>
        <v>2.9267112269216005E-2</v>
      </c>
      <c r="O11" s="31">
        <f t="shared" si="2"/>
        <v>8996823502.9691277</v>
      </c>
      <c r="P11" s="121">
        <f t="shared" si="3"/>
        <v>9.9540892007016595</v>
      </c>
      <c r="Q11" s="121">
        <f t="shared" si="4"/>
        <v>6.108293647938233E-2</v>
      </c>
    </row>
    <row r="12" spans="1:17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04">
        <f>'Determination cell counts RI'!R11</f>
        <v>9.9748668667658915</v>
      </c>
      <c r="F12" s="104">
        <f>'Determination cell counts RI'!S11</f>
        <v>5.7784232599177268E-2</v>
      </c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04">
        <f>'Determination cell counts BH'!R11</f>
        <v>8.9543642828155079</v>
      </c>
      <c r="M12" s="104">
        <f>'Determination cell counts BH'!S11</f>
        <v>6.5051257405505145E-2</v>
      </c>
      <c r="O12" s="31">
        <f t="shared" si="2"/>
        <v>10337967571.700686</v>
      </c>
      <c r="P12" s="121">
        <f t="shared" si="3"/>
        <v>10.014435165532046</v>
      </c>
      <c r="Q12" s="121">
        <f t="shared" si="4"/>
        <v>0.12283549000468241</v>
      </c>
    </row>
    <row r="13" spans="1:17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04">
        <f>'Determination cell counts RI'!R12</f>
        <v>10.068226588269535</v>
      </c>
      <c r="F13" s="104">
        <f>'Determination cell counts RI'!S12</f>
        <v>2.2734814644121373E-2</v>
      </c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04">
        <f>'Determination cell counts BH'!R12</f>
        <v>9.116150602952807</v>
      </c>
      <c r="M13" s="104">
        <f>'Determination cell counts BH'!S12</f>
        <v>3.8421537216129446E-2</v>
      </c>
      <c r="O13" s="31">
        <f t="shared" si="2"/>
        <v>13007721149.529911</v>
      </c>
      <c r="P13" s="121">
        <f t="shared" si="3"/>
        <v>10.114201218247034</v>
      </c>
      <c r="Q13" s="121">
        <f t="shared" si="4"/>
        <v>6.115635186025082E-2</v>
      </c>
    </row>
    <row r="14" spans="1:17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04">
        <f>'Determination cell counts RI'!R13</f>
        <v>10.059771536489006</v>
      </c>
      <c r="F14" s="104">
        <f>'Determination cell counts RI'!S13</f>
        <v>3.6898664675130199E-2</v>
      </c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04">
        <f>'Determination cell counts BH'!R13</f>
        <v>9.2747447487863468</v>
      </c>
      <c r="M14" s="104">
        <f>'Determination cell counts BH'!S13</f>
        <v>7.2583227297704028E-2</v>
      </c>
      <c r="O14" s="31">
        <f t="shared" si="2"/>
        <v>13358040187.899773</v>
      </c>
      <c r="P14" s="121">
        <f t="shared" si="3"/>
        <v>10.125742745713298</v>
      </c>
      <c r="Q14" s="121">
        <f t="shared" si="4"/>
        <v>0.10948189197283423</v>
      </c>
    </row>
    <row r="15" spans="1:17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04">
        <f>'Determination cell counts RI'!R14</f>
        <v>10.093562589881094</v>
      </c>
      <c r="F15" s="104">
        <f>'Determination cell counts RI'!S14</f>
        <v>3.4964048032720185E-2</v>
      </c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04">
        <f>'Determination cell counts BH'!R14</f>
        <v>9.3740250305563393</v>
      </c>
      <c r="M15" s="104">
        <f>'Determination cell counts BH'!S14</f>
        <v>3.4276819548347451E-2</v>
      </c>
      <c r="O15" s="31">
        <f t="shared" si="2"/>
        <v>14770079833.179279</v>
      </c>
      <c r="P15" s="121">
        <f t="shared" si="3"/>
        <v>10.169382842706366</v>
      </c>
      <c r="Q15" s="121">
        <f t="shared" si="4"/>
        <v>6.9240867581067636E-2</v>
      </c>
    </row>
    <row r="16" spans="1:17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04">
        <f>'Determination cell counts RI'!R15</f>
        <v>10.031428720297995</v>
      </c>
      <c r="F16" s="104">
        <f>'Determination cell counts RI'!S15</f>
        <v>0.14796547314250877</v>
      </c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04">
        <f>'Determination cell counts BH'!R15</f>
        <v>9.4169299442341519</v>
      </c>
      <c r="M16" s="104">
        <f>'Determination cell counts BH'!S15</f>
        <v>5.1807513634544201E-2</v>
      </c>
      <c r="O16" s="31">
        <f t="shared" si="2"/>
        <v>13362241427.650734</v>
      </c>
      <c r="P16" s="121">
        <f t="shared" si="3"/>
        <v>10.125879314278126</v>
      </c>
      <c r="Q16" s="121">
        <f t="shared" si="4"/>
        <v>0.19977298677705296</v>
      </c>
    </row>
    <row r="17" spans="1:17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04">
        <f>'Determination cell counts RI'!R16</f>
        <v>10.087602928517681</v>
      </c>
      <c r="F17" s="104">
        <f>'Determination cell counts RI'!S16</f>
        <v>1.4943791786258862E-2</v>
      </c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04">
        <f>'Determination cell counts BH'!R16</f>
        <v>9.57474619846138</v>
      </c>
      <c r="M17" s="104">
        <f>'Determination cell counts BH'!S16</f>
        <v>6.2273679399514566E-2</v>
      </c>
      <c r="O17" s="31">
        <f t="shared" si="2"/>
        <v>15991148847.477737</v>
      </c>
      <c r="P17" s="121">
        <f t="shared" si="3"/>
        <v>10.203879665759816</v>
      </c>
      <c r="Q17" s="121">
        <f t="shared" si="4"/>
        <v>7.7217471185773434E-2</v>
      </c>
    </row>
    <row r="18" spans="1:17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04">
        <f>'Determination cell counts RI'!R17</f>
        <v>10.065677947016987</v>
      </c>
      <c r="F18" s="104">
        <f>'Determination cell counts RI'!S17</f>
        <v>5.3396151830502919E-2</v>
      </c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04">
        <f>'Determination cell counts BH'!R17</f>
        <v>9.6481624777578077</v>
      </c>
      <c r="M18" s="104">
        <f>'Determination cell counts BH'!S17</f>
        <v>6.8986423671413721E-2</v>
      </c>
      <c r="O18" s="31">
        <f t="shared" si="2"/>
        <v>16080607301.664486</v>
      </c>
      <c r="P18" s="121">
        <f t="shared" si="3"/>
        <v>10.206302446326694</v>
      </c>
      <c r="Q18" s="121">
        <f t="shared" si="4"/>
        <v>0.12238257550191664</v>
      </c>
    </row>
    <row r="19" spans="1:17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04">
        <f>'Determination cell counts RI'!R18</f>
        <v>10.087409938668994</v>
      </c>
      <c r="F19" s="104">
        <f>'Determination cell counts RI'!S18</f>
        <v>2.2270471515018479E-2</v>
      </c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04">
        <f>'Determination cell counts BH'!R18</f>
        <v>9.7893971296277371</v>
      </c>
      <c r="M19" s="104">
        <f>'Determination cell counts BH'!S18</f>
        <v>1.8083067617945824E-2</v>
      </c>
      <c r="O19" s="31">
        <f t="shared" si="2"/>
        <v>18386931470.953213</v>
      </c>
      <c r="P19" s="121">
        <f t="shared" si="3"/>
        <v>10.264509257436741</v>
      </c>
      <c r="Q19" s="121">
        <f t="shared" si="4"/>
        <v>4.03535391329643E-2</v>
      </c>
    </row>
    <row r="20" spans="1:17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04">
        <f>'Determination cell counts RI'!R19</f>
        <v>9.9699204445990475</v>
      </c>
      <c r="F20" s="104">
        <f>'Determination cell counts RI'!S19</f>
        <v>1.0933819330607242E-2</v>
      </c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04">
        <f>'Determination cell counts BH'!R19</f>
        <v>9.6877428357181614</v>
      </c>
      <c r="M20" s="104">
        <f>'Determination cell counts BH'!S19</f>
        <v>4.9041699922527805E-2</v>
      </c>
      <c r="O20" s="31">
        <f t="shared" si="2"/>
        <v>14203232492.068707</v>
      </c>
      <c r="P20" s="121">
        <f t="shared" si="3"/>
        <v>10.152387196052471</v>
      </c>
      <c r="Q20" s="121">
        <f t="shared" si="4"/>
        <v>5.9975519253135046E-2</v>
      </c>
    </row>
    <row r="21" spans="1:17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04">
        <f>'Determination cell counts RI'!R20</f>
        <v>9.47383282890857</v>
      </c>
      <c r="F21" s="104">
        <f>'Determination cell counts RI'!S20</f>
        <v>3.7100548546937388E-2</v>
      </c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04">
        <f>'Determination cell counts BH'!R20</f>
        <v>9.4315786694962309</v>
      </c>
      <c r="M21" s="104">
        <f>'Determination cell counts BH'!S20</f>
        <v>9.1830992379595897E-2</v>
      </c>
      <c r="O21" s="31">
        <f t="shared" si="2"/>
        <v>5678706535.4009018</v>
      </c>
      <c r="P21" s="121">
        <f t="shared" si="3"/>
        <v>9.7542494257623193</v>
      </c>
      <c r="Q21" s="121">
        <f t="shared" si="4"/>
        <v>0.12893154092653328</v>
      </c>
    </row>
  </sheetData>
  <mergeCells count="15">
    <mergeCell ref="F3:F4"/>
    <mergeCell ref="A3:A4"/>
    <mergeCell ref="B3:B4"/>
    <mergeCell ref="C3:C4"/>
    <mergeCell ref="D3:D4"/>
    <mergeCell ref="E3:E4"/>
    <mergeCell ref="O3:O4"/>
    <mergeCell ref="P3:P4"/>
    <mergeCell ref="Q3:Q4"/>
    <mergeCell ref="H3:H4"/>
    <mergeCell ref="I3:I4"/>
    <mergeCell ref="J3:J4"/>
    <mergeCell ref="K3:K4"/>
    <mergeCell ref="L3:L4"/>
    <mergeCell ref="M3:M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2016-04-13T15:11:51Z</dcterms:modified>
</cp:coreProperties>
</file>