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36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B. hydrogenotrophica" sheetId="27" r:id="rId7"/>
    <sheet name="Determination cell counts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26" l="1"/>
  <c r="H67" i="28"/>
  <c r="I12" i="28"/>
  <c r="J12" i="28"/>
  <c r="H12" i="28"/>
  <c r="H65" i="28"/>
  <c r="H64" i="28"/>
  <c r="H63" i="28"/>
  <c r="H62" i="28"/>
  <c r="H61" i="28"/>
  <c r="I12" i="26"/>
  <c r="J12" i="26"/>
  <c r="H12" i="26"/>
  <c r="H70" i="26"/>
  <c r="H57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8" i="28"/>
  <c r="H59" i="28"/>
  <c r="H60" i="28"/>
  <c r="H5" i="28"/>
  <c r="B25" i="28"/>
  <c r="B24" i="28"/>
  <c r="K5" i="28"/>
  <c r="I5" i="28"/>
  <c r="L5" i="28"/>
  <c r="J5" i="28"/>
  <c r="M5" i="28"/>
  <c r="O5" i="28"/>
  <c r="S5" i="28"/>
  <c r="M6" i="29"/>
  <c r="H6" i="28"/>
  <c r="K6" i="28"/>
  <c r="I6" i="28"/>
  <c r="L6" i="28"/>
  <c r="J6" i="28"/>
  <c r="M6" i="28"/>
  <c r="O6" i="28"/>
  <c r="S6" i="28"/>
  <c r="M7" i="29"/>
  <c r="H7" i="28"/>
  <c r="K7" i="28"/>
  <c r="I7" i="28"/>
  <c r="L7" i="28"/>
  <c r="J7" i="28"/>
  <c r="M7" i="28"/>
  <c r="O7" i="28"/>
  <c r="S7" i="28"/>
  <c r="M8" i="29"/>
  <c r="H8" i="28"/>
  <c r="K8" i="28"/>
  <c r="I8" i="28"/>
  <c r="L8" i="28"/>
  <c r="J8" i="28"/>
  <c r="M8" i="28"/>
  <c r="O8" i="28"/>
  <c r="S8" i="28"/>
  <c r="M9" i="29"/>
  <c r="H9" i="28"/>
  <c r="K9" i="28"/>
  <c r="I9" i="28"/>
  <c r="L9" i="28"/>
  <c r="J9" i="28"/>
  <c r="M9" i="28"/>
  <c r="O9" i="28"/>
  <c r="S9" i="28"/>
  <c r="M10" i="29"/>
  <c r="H10" i="28"/>
  <c r="K10" i="28"/>
  <c r="I10" i="28"/>
  <c r="L10" i="28"/>
  <c r="J10" i="28"/>
  <c r="M10" i="28"/>
  <c r="O10" i="28"/>
  <c r="S10" i="28"/>
  <c r="M11" i="29"/>
  <c r="H11" i="28"/>
  <c r="K11" i="28"/>
  <c r="I11" i="28"/>
  <c r="L11" i="28"/>
  <c r="J11" i="28"/>
  <c r="M11" i="28"/>
  <c r="O11" i="28"/>
  <c r="S11" i="28"/>
  <c r="M12" i="29"/>
  <c r="K12" i="28"/>
  <c r="L12" i="28"/>
  <c r="M12" i="28"/>
  <c r="O12" i="28"/>
  <c r="S12" i="28"/>
  <c r="M13" i="29"/>
  <c r="H13" i="28"/>
  <c r="K13" i="28"/>
  <c r="I13" i="28"/>
  <c r="L13" i="28"/>
  <c r="J13" i="28"/>
  <c r="M13" i="28"/>
  <c r="O13" i="28"/>
  <c r="S13" i="28"/>
  <c r="M14" i="29"/>
  <c r="H14" i="28"/>
  <c r="K14" i="28"/>
  <c r="I14" i="28"/>
  <c r="L14" i="28"/>
  <c r="J14" i="28"/>
  <c r="M14" i="28"/>
  <c r="O14" i="28"/>
  <c r="S14" i="28"/>
  <c r="M15" i="29"/>
  <c r="H15" i="28"/>
  <c r="K15" i="28"/>
  <c r="I15" i="28"/>
  <c r="L15" i="28"/>
  <c r="J15" i="28"/>
  <c r="M15" i="28"/>
  <c r="O15" i="28"/>
  <c r="S15" i="28"/>
  <c r="M16" i="29"/>
  <c r="H16" i="28"/>
  <c r="K16" i="28"/>
  <c r="I16" i="28"/>
  <c r="L16" i="28"/>
  <c r="J16" i="28"/>
  <c r="M16" i="28"/>
  <c r="O16" i="28"/>
  <c r="S16" i="28"/>
  <c r="M17" i="29"/>
  <c r="H17" i="28"/>
  <c r="K17" i="28"/>
  <c r="I17" i="28"/>
  <c r="L17" i="28"/>
  <c r="J17" i="28"/>
  <c r="M17" i="28"/>
  <c r="O17" i="28"/>
  <c r="S17" i="28"/>
  <c r="M18" i="29"/>
  <c r="H18" i="28"/>
  <c r="K18" i="28"/>
  <c r="I18" i="28"/>
  <c r="L18" i="28"/>
  <c r="J18" i="28"/>
  <c r="M18" i="28"/>
  <c r="O18" i="28"/>
  <c r="S18" i="28"/>
  <c r="M19" i="29"/>
  <c r="H19" i="28"/>
  <c r="K19" i="28"/>
  <c r="I19" i="28"/>
  <c r="L19" i="28"/>
  <c r="J19" i="28"/>
  <c r="M19" i="28"/>
  <c r="O19" i="28"/>
  <c r="S19" i="28"/>
  <c r="M20" i="29"/>
  <c r="H20" i="28"/>
  <c r="K20" i="28"/>
  <c r="I20" i="28"/>
  <c r="L20" i="28"/>
  <c r="J20" i="28"/>
  <c r="M20" i="28"/>
  <c r="O20" i="28"/>
  <c r="S20" i="28"/>
  <c r="M21" i="29"/>
  <c r="H4" i="28"/>
  <c r="K4" i="28"/>
  <c r="I4" i="28"/>
  <c r="L4" i="28"/>
  <c r="J4" i="28"/>
  <c r="M4" i="28"/>
  <c r="O4" i="28"/>
  <c r="S4" i="28"/>
  <c r="M5" i="29"/>
  <c r="P5" i="28"/>
  <c r="R5" i="28"/>
  <c r="L6" i="29"/>
  <c r="P6" i="28"/>
  <c r="R6" i="28"/>
  <c r="L7" i="29"/>
  <c r="P7" i="28"/>
  <c r="R7" i="28"/>
  <c r="L8" i="29"/>
  <c r="P8" i="28"/>
  <c r="R8" i="28"/>
  <c r="L9" i="29"/>
  <c r="P9" i="28"/>
  <c r="R9" i="28"/>
  <c r="L10" i="29"/>
  <c r="P10" i="28"/>
  <c r="R10" i="28"/>
  <c r="L11" i="29"/>
  <c r="P11" i="28"/>
  <c r="R11" i="28"/>
  <c r="L12" i="29"/>
  <c r="P12" i="28"/>
  <c r="R12" i="28"/>
  <c r="L13" i="29"/>
  <c r="P13" i="28"/>
  <c r="R13" i="28"/>
  <c r="L14" i="29"/>
  <c r="P14" i="28"/>
  <c r="R14" i="28"/>
  <c r="L15" i="29"/>
  <c r="P15" i="28"/>
  <c r="R15" i="28"/>
  <c r="L16" i="29"/>
  <c r="P16" i="28"/>
  <c r="R16" i="28"/>
  <c r="L17" i="29"/>
  <c r="P17" i="28"/>
  <c r="R17" i="28"/>
  <c r="L18" i="29"/>
  <c r="P18" i="28"/>
  <c r="R18" i="28"/>
  <c r="L19" i="29"/>
  <c r="P19" i="28"/>
  <c r="R19" i="28"/>
  <c r="L20" i="29"/>
  <c r="P20" i="28"/>
  <c r="R20" i="28"/>
  <c r="L21" i="29"/>
  <c r="P4" i="28"/>
  <c r="R4" i="28"/>
  <c r="L5" i="29"/>
  <c r="H5" i="26"/>
  <c r="K5" i="26"/>
  <c r="I5" i="26"/>
  <c r="L5" i="26"/>
  <c r="J5" i="26"/>
  <c r="M5" i="26"/>
  <c r="O5" i="26"/>
  <c r="S5" i="26"/>
  <c r="F6" i="29"/>
  <c r="H6" i="26"/>
  <c r="K6" i="26"/>
  <c r="I6" i="26"/>
  <c r="L6" i="26"/>
  <c r="J6" i="26"/>
  <c r="M6" i="26"/>
  <c r="O6" i="26"/>
  <c r="S6" i="26"/>
  <c r="F7" i="29"/>
  <c r="H7" i="26"/>
  <c r="K7" i="26"/>
  <c r="I7" i="26"/>
  <c r="L7" i="26"/>
  <c r="J7" i="26"/>
  <c r="M7" i="26"/>
  <c r="O7" i="26"/>
  <c r="S7" i="26"/>
  <c r="F8" i="29"/>
  <c r="H8" i="26"/>
  <c r="K8" i="26"/>
  <c r="I8" i="26"/>
  <c r="L8" i="26"/>
  <c r="J8" i="26"/>
  <c r="M8" i="26"/>
  <c r="O8" i="26"/>
  <c r="S8" i="26"/>
  <c r="F9" i="29"/>
  <c r="H9" i="26"/>
  <c r="K9" i="26"/>
  <c r="I9" i="26"/>
  <c r="L9" i="26"/>
  <c r="J9" i="26"/>
  <c r="M9" i="26"/>
  <c r="O9" i="26"/>
  <c r="S9" i="26"/>
  <c r="F10" i="29"/>
  <c r="H10" i="26"/>
  <c r="K10" i="26"/>
  <c r="I10" i="26"/>
  <c r="L10" i="26"/>
  <c r="J10" i="26"/>
  <c r="M10" i="26"/>
  <c r="O10" i="26"/>
  <c r="S10" i="26"/>
  <c r="F11" i="29"/>
  <c r="H11" i="26"/>
  <c r="K11" i="26"/>
  <c r="I11" i="26"/>
  <c r="L11" i="26"/>
  <c r="J11" i="26"/>
  <c r="M11" i="26"/>
  <c r="O11" i="26"/>
  <c r="S11" i="26"/>
  <c r="F12" i="29"/>
  <c r="K12" i="26"/>
  <c r="L12" i="26"/>
  <c r="M12" i="26"/>
  <c r="O12" i="26"/>
  <c r="S12" i="26"/>
  <c r="F13" i="29"/>
  <c r="H13" i="26"/>
  <c r="K13" i="26"/>
  <c r="I13" i="26"/>
  <c r="L13" i="26"/>
  <c r="J13" i="26"/>
  <c r="M13" i="26"/>
  <c r="O13" i="26"/>
  <c r="S13" i="26"/>
  <c r="F14" i="29"/>
  <c r="H14" i="26"/>
  <c r="K14" i="26"/>
  <c r="I14" i="26"/>
  <c r="L14" i="26"/>
  <c r="J14" i="26"/>
  <c r="M14" i="26"/>
  <c r="O14" i="26"/>
  <c r="S14" i="26"/>
  <c r="F15" i="29"/>
  <c r="H15" i="26"/>
  <c r="K15" i="26"/>
  <c r="I15" i="26"/>
  <c r="L15" i="26"/>
  <c r="J15" i="26"/>
  <c r="M15" i="26"/>
  <c r="O15" i="26"/>
  <c r="S15" i="26"/>
  <c r="F16" i="29"/>
  <c r="H16" i="26"/>
  <c r="K16" i="26"/>
  <c r="I16" i="26"/>
  <c r="L16" i="26"/>
  <c r="J16" i="26"/>
  <c r="M16" i="26"/>
  <c r="O16" i="26"/>
  <c r="S16" i="26"/>
  <c r="F17" i="29"/>
  <c r="H17" i="26"/>
  <c r="K17" i="26"/>
  <c r="I17" i="26"/>
  <c r="L17" i="26"/>
  <c r="J17" i="26"/>
  <c r="M17" i="26"/>
  <c r="O17" i="26"/>
  <c r="S17" i="26"/>
  <c r="F18" i="29"/>
  <c r="H18" i="26"/>
  <c r="K18" i="26"/>
  <c r="I18" i="26"/>
  <c r="L18" i="26"/>
  <c r="J18" i="26"/>
  <c r="M18" i="26"/>
  <c r="O18" i="26"/>
  <c r="S18" i="26"/>
  <c r="F19" i="29"/>
  <c r="H19" i="26"/>
  <c r="K19" i="26"/>
  <c r="I19" i="26"/>
  <c r="L19" i="26"/>
  <c r="J19" i="26"/>
  <c r="M19" i="26"/>
  <c r="O19" i="26"/>
  <c r="S19" i="26"/>
  <c r="F20" i="29"/>
  <c r="H20" i="26"/>
  <c r="K20" i="26"/>
  <c r="I20" i="26"/>
  <c r="L20" i="26"/>
  <c r="J20" i="26"/>
  <c r="M20" i="26"/>
  <c r="O20" i="26"/>
  <c r="S20" i="26"/>
  <c r="F21" i="29"/>
  <c r="H4" i="26"/>
  <c r="K4" i="26"/>
  <c r="I4" i="26"/>
  <c r="L4" i="26"/>
  <c r="J4" i="26"/>
  <c r="M4" i="26"/>
  <c r="O4" i="26"/>
  <c r="S4" i="26"/>
  <c r="F5" i="29"/>
  <c r="P5" i="26"/>
  <c r="R5" i="26"/>
  <c r="E6" i="29"/>
  <c r="P6" i="26"/>
  <c r="R6" i="26"/>
  <c r="E7" i="29"/>
  <c r="P7" i="26"/>
  <c r="R7" i="26"/>
  <c r="E8" i="29"/>
  <c r="P8" i="26"/>
  <c r="R8" i="26"/>
  <c r="E9" i="29"/>
  <c r="P9" i="26"/>
  <c r="R9" i="26"/>
  <c r="E10" i="29"/>
  <c r="P10" i="26"/>
  <c r="R10" i="26"/>
  <c r="E11" i="29"/>
  <c r="P11" i="26"/>
  <c r="R11" i="26"/>
  <c r="E12" i="29"/>
  <c r="P12" i="26"/>
  <c r="R12" i="26"/>
  <c r="E13" i="29"/>
  <c r="P13" i="26"/>
  <c r="R13" i="26"/>
  <c r="E14" i="29"/>
  <c r="P14" i="26"/>
  <c r="R14" i="26"/>
  <c r="E15" i="29"/>
  <c r="P15" i="26"/>
  <c r="R15" i="26"/>
  <c r="E16" i="29"/>
  <c r="P16" i="26"/>
  <c r="R16" i="26"/>
  <c r="E17" i="29"/>
  <c r="P17" i="26"/>
  <c r="R17" i="26"/>
  <c r="E18" i="29"/>
  <c r="P18" i="26"/>
  <c r="R18" i="26"/>
  <c r="E19" i="29"/>
  <c r="P19" i="26"/>
  <c r="R19" i="26"/>
  <c r="E20" i="29"/>
  <c r="P20" i="26"/>
  <c r="R20" i="26"/>
  <c r="E21" i="29"/>
  <c r="P4" i="26"/>
  <c r="R4" i="26"/>
  <c r="E5" i="29"/>
  <c r="H67" i="26"/>
  <c r="H68" i="26"/>
  <c r="H69" i="26"/>
  <c r="H66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27" i="26"/>
  <c r="B25" i="26"/>
  <c r="B2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N4" i="28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O5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5" i="29"/>
  <c r="O6" i="29"/>
  <c r="P6" i="29"/>
  <c r="O7" i="29"/>
  <c r="P7" i="29"/>
  <c r="O8" i="29"/>
  <c r="P8" i="29"/>
  <c r="O9" i="29"/>
  <c r="P9" i="29"/>
  <c r="O10" i="29"/>
  <c r="P10" i="29"/>
  <c r="O11" i="29"/>
  <c r="P11" i="29"/>
  <c r="O12" i="29"/>
  <c r="P12" i="29"/>
  <c r="O13" i="29"/>
  <c r="P13" i="29"/>
  <c r="O14" i="29"/>
  <c r="P14" i="29"/>
  <c r="O15" i="29"/>
  <c r="P15" i="29"/>
  <c r="O16" i="29"/>
  <c r="P16" i="29"/>
  <c r="O17" i="29"/>
  <c r="P17" i="29"/>
  <c r="O18" i="29"/>
  <c r="P18" i="29"/>
  <c r="O19" i="29"/>
  <c r="P19" i="29"/>
  <c r="O20" i="29"/>
  <c r="P20" i="29"/>
  <c r="O21" i="29"/>
  <c r="P21" i="29"/>
  <c r="P5" i="29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4" i="26"/>
  <c r="D48" i="25"/>
  <c r="F40" i="25"/>
  <c r="G27" i="25"/>
  <c r="H27" i="25"/>
  <c r="G28" i="25"/>
  <c r="H28" i="25"/>
  <c r="G29" i="25"/>
  <c r="H29" i="25"/>
  <c r="G30" i="25"/>
  <c r="H30" i="25"/>
  <c r="G31" i="25"/>
  <c r="H31" i="25"/>
  <c r="G32" i="25"/>
  <c r="H32" i="25"/>
  <c r="G33" i="25"/>
  <c r="H33" i="25"/>
  <c r="G34" i="25"/>
  <c r="H34" i="25"/>
  <c r="G35" i="25"/>
  <c r="H35" i="25"/>
  <c r="G36" i="25"/>
  <c r="H36" i="25"/>
  <c r="H38" i="25"/>
  <c r="I38" i="25"/>
  <c r="J38" i="25"/>
  <c r="K38" i="25"/>
  <c r="L38" i="25"/>
  <c r="G38" i="25"/>
  <c r="F38" i="25"/>
  <c r="G37" i="25"/>
  <c r="H37" i="25"/>
  <c r="I37" i="25"/>
  <c r="J37" i="25"/>
  <c r="K37" i="25"/>
  <c r="L37" i="25"/>
  <c r="F37" i="25"/>
  <c r="I36" i="25"/>
  <c r="J36" i="25"/>
  <c r="L36" i="25"/>
  <c r="F36" i="25"/>
  <c r="I35" i="25"/>
  <c r="J35" i="25"/>
  <c r="K35" i="25"/>
  <c r="L35" i="25"/>
  <c r="F35" i="25"/>
  <c r="I34" i="25"/>
  <c r="J34" i="25"/>
  <c r="K34" i="25"/>
  <c r="L34" i="25"/>
  <c r="F34" i="25"/>
  <c r="I33" i="25"/>
  <c r="J33" i="25"/>
  <c r="K33" i="25"/>
  <c r="L33" i="25"/>
  <c r="F33" i="25"/>
  <c r="I32" i="25"/>
  <c r="J32" i="25"/>
  <c r="K32" i="25"/>
  <c r="L32" i="25"/>
  <c r="F32" i="25"/>
  <c r="I31" i="25"/>
  <c r="J31" i="25"/>
  <c r="K31" i="25"/>
  <c r="L31" i="25"/>
  <c r="F31" i="25"/>
  <c r="I30" i="25"/>
  <c r="J30" i="25"/>
  <c r="K30" i="25"/>
  <c r="L30" i="25"/>
  <c r="F30" i="25"/>
  <c r="I29" i="25"/>
  <c r="J29" i="25"/>
  <c r="K29" i="25"/>
  <c r="L29" i="25"/>
  <c r="F29" i="25"/>
  <c r="I28" i="25"/>
  <c r="J28" i="25"/>
  <c r="K28" i="25"/>
  <c r="L28" i="25"/>
  <c r="F28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B4" i="23"/>
  <c r="B3" i="23"/>
  <c r="G7" i="18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L8" i="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L41" i="8"/>
  <c r="L25" i="8"/>
  <c r="B6" i="23"/>
  <c r="L20" i="8"/>
  <c r="L4" i="8"/>
  <c r="B5" i="23"/>
  <c r="T20" i="8"/>
  <c r="T4" i="8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H4" i="8"/>
  <c r="H20" i="8"/>
  <c r="B2" i="23"/>
  <c r="P4" i="8"/>
  <c r="P20" i="8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H20" i="22"/>
  <c r="U20" i="22"/>
  <c r="L20" i="22"/>
  <c r="V20" i="22"/>
  <c r="P20" i="22"/>
  <c r="W20" i="22"/>
  <c r="X20" i="22"/>
  <c r="H4" i="22"/>
  <c r="U4" i="22"/>
  <c r="L4" i="22"/>
  <c r="V4" i="22"/>
  <c r="P4" i="22"/>
  <c r="W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<sst xmlns="http://schemas.openxmlformats.org/spreadsheetml/2006/main" count="766" uniqueCount="326">
  <si>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</si>
  <si>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</si>
  <si>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</si>
  <si>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</si>
  <si>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</si>
  <si>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</si>
  <si>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</si>
  <si>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</si>
  <si>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</si>
  <si>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</si>
  <si>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</si>
  <si>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</si>
  <si>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</si>
  <si>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</si>
  <si>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</si>
  <si>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</si>
  <si>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</si>
  <si>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</si>
  <si>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</si>
  <si>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</si>
  <si>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</si>
  <si>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</si>
  <si>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</si>
  <si>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</si>
  <si>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</si>
  <si>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</si>
  <si>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</si>
  <si>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</si>
  <si>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</si>
  <si>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</si>
  <si>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</si>
  <si>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</si>
  <si>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</si>
  <si>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</si>
  <si>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</si>
  <si>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</si>
  <si>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</si>
  <si>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</si>
  <si>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</si>
  <si>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</si>
  <si>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</si>
  <si>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</si>
  <si>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</si>
  <si>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</si>
  <si>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</si>
  <si>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</si>
  <si>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</si>
  <si>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</si>
  <si>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</si>
  <si>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</si>
  <si>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</si>
  <si>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</si>
  <si>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</si>
  <si>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</si>
  <si>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</si>
  <si>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</si>
  <si>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</si>
  <si>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</si>
  <si>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</si>
  <si>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</si>
  <si>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</si>
  <si>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</si>
  <si>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</si>
  <si>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</si>
  <si>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</si>
  <si>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</si>
  <si>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</si>
  <si>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</si>
  <si>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</si>
  <si>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</si>
  <si>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</si>
  <si>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</si>
  <si>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</si>
  <si>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</si>
  <si>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</si>
  <si>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</si>
  <si>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</si>
  <si>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</si>
  <si>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</si>
  <si>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</si>
  <si>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</si>
  <si>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</si>
  <si>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</si>
  <si>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</si>
  <si>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</si>
  <si>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</si>
  <si>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</si>
  <si>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</si>
  <si>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</si>
  <si>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</si>
  <si>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</si>
  <si>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</si>
  <si>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</si>
  <si>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</si>
  <si>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</si>
  <si>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</si>
  <si>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</si>
  <si>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</si>
  <si>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</si>
  <si>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</si>
  <si>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</si>
  <si>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</si>
  <si>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</si>
  <si>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</si>
  <si>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</si>
  <si>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</si>
  <si>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</si>
  <si>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</si>
  <si>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</si>
  <si>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</si>
  <si>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</si>
  <si>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</si>
  <si>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</si>
  <si>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</si>
  <si>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</si>
  <si>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</si>
  <si>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</si>
  <si>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</si>
  <si>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</si>
  <si>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</si>
  <si>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</si>
  <si>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</si>
  <si>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</si>
  <si>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</si>
  <si>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</si>
  <si>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</si>
  <si>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</si>
  <si>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</si>
  <si>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</si>
  <si>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</si>
  <si>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</si>
  <si>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</si>
  <si>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</si>
  <si>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</si>
  <si>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</si>
  <si>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</si>
  <si>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</si>
  <si>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</si>
  <si>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</si>
  <si>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</si>
  <si>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</si>
  <si>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</si>
  <si>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</si>
  <si>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</si>
  <si>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</si>
  <si>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</si>
  <si>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</si>
  <si>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</si>
  <si>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0.40</t>
  </si>
  <si>
    <t>0.20</t>
  </si>
  <si>
    <t xml:space="preserve">2x-z-y </t>
  </si>
  <si>
    <t>2x-z-y</t>
  </si>
  <si>
    <t>2x-z-y-f</t>
  </si>
  <si>
    <t>2x-z</t>
  </si>
  <si>
    <t>Na-acetate trihydrate (0 mM)</t>
  </si>
  <si>
    <t>0.00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</si>
  <si>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</si>
  <si>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</si>
  <si>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</si>
  <si>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</si>
  <si>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</si>
  <si>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</si>
  <si>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</si>
  <si>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</si>
  <si>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</si>
  <si>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</si>
  <si>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</si>
  <si>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</si>
  <si>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</si>
  <si>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</si>
  <si>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</si>
  <si>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</si>
  <si>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</si>
  <si>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</si>
  <si>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</si>
  <si>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</si>
  <si>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</si>
  <si>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</si>
  <si>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</si>
  <si>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</si>
  <si>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</si>
  <si>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</si>
  <si>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D-fructsoe consumed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</si>
  <si>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</si>
  <si>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</si>
  <si>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</si>
  <si>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</si>
  <si>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</si>
  <si>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</si>
  <si>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</si>
  <si>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</si>
  <si>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</si>
  <si>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</si>
  <si>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</si>
  <si>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</si>
  <si>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</si>
  <si>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</si>
  <si>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</si>
  <si>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</si>
  <si>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</si>
  <si>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</si>
  <si>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</si>
  <si>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</si>
  <si>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</si>
  <si>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</si>
  <si>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</si>
  <si>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</si>
  <si>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</si>
  <si>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</si>
  <si>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</si>
  <si>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</si>
  <si>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</si>
  <si>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</si>
  <si>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</si>
  <si>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</si>
  <si>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</si>
  <si>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</si>
  <si>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</si>
  <si>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</si>
  <si>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</si>
  <si>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</si>
  <si>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</si>
  <si>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</si>
  <si>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</si>
  <si>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</si>
  <si>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</si>
  <si>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</si>
  <si>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</si>
  <si>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</si>
  <si>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</si>
  <si>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</si>
  <si>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</si>
  <si>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</si>
  <si>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</si>
  <si>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</si>
  <si>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</si>
  <si>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</si>
  <si>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</si>
  <si>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</si>
  <si>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</si>
  <si>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</si>
  <si>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</si>
  <si>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</si>
  <si>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</si>
  <si>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</si>
  <si>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</si>
  <si>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</si>
  <si>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</si>
  <si>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</si>
  <si>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plate 20150807</t>
  </si>
  <si>
    <t>IPC value epp 7</t>
  </si>
  <si>
    <t>plate 20150831</t>
  </si>
  <si>
    <t>plate 20150902</t>
  </si>
  <si>
    <t>plate 20150903</t>
  </si>
  <si>
    <t>IPC value epp 6</t>
  </si>
  <si>
    <t>plate 20150908</t>
  </si>
  <si>
    <t>plate 20150910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</si>
  <si>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</si>
  <si>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</si>
  <si>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</si>
  <si>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</si>
  <si>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</si>
  <si>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</si>
  <si>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</si>
  <si>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</si>
  <si>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</si>
  <si>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</si>
  <si>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</si>
  <si>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</si>
  <si>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</si>
  <si>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</si>
  <si>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</si>
  <si>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</si>
  <si>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</si>
  <si>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</si>
  <si>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</si>
  <si>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</si>
  <si>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</si>
  <si>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</si>
  <si>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 xml:space="preserve">Total cell count </t>
  </si>
  <si>
    <t>IPC value  epp 7 plate  20150914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</si>
  <si>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</si>
  <si>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</si>
  <si>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</si>
  <si>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</si>
  <si>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</si>
  <si>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</si>
  <si>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</si>
  <si>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</si>
  <si>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</si>
  <si>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</si>
  <si>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</si>
  <si>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</si>
  <si>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</si>
  <si>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</si>
  <si>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</si>
  <si>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</si>
  <si>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</si>
  <si>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</si>
  <si>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</si>
  <si>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</si>
  <si>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</si>
  <si>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</si>
  <si>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</si>
  <si>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</si>
  <si>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</si>
  <si>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</si>
  <si>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</si>
  <si>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</si>
  <si>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</si>
  <si>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</si>
  <si>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</si>
  <si>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</si>
  <si>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</si>
  <si>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</si>
  <si>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</si>
  <si>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</si>
  <si>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</si>
  <si>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</si>
  <si>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</si>
  <si>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plate 20160405</t>
  </si>
  <si>
    <t>IPC value  epp 1 plate  20160325</t>
  </si>
  <si>
    <t>IPC value  epp 1 plate  20160405</t>
  </si>
  <si>
    <t>IPC value  epp 9 plate  20160411</t>
  </si>
  <si>
    <t>IPC value  epp 2 plate  20160311</t>
  </si>
  <si>
    <t>IPC value  epp 1 plate  20160318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</si>
</sst>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8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5" fontId="18" fillId="0" borderId="0" xfId="0" applyNumberFormat="1" applyFont="1"/>
    <xf numFmtId="165" fontId="27" fillId="0" borderId="0" xfId="0" applyNumberFormat="1" applyFon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8" fillId="2" borderId="4" xfId="347" applyFill="1" applyBorder="1" applyAlignment="1">
      <alignment horizontal="center" vertical="center"/>
    </xf>
    <xf numFmtId="0" fontId="28" fillId="0" borderId="0" xfId="347"/>
    <xf numFmtId="0" fontId="28" fillId="2" borderId="16" xfId="347" applyFill="1" applyBorder="1" applyAlignment="1">
      <alignment horizontal="center" vertical="center"/>
    </xf>
    <xf numFmtId="0" fontId="28" fillId="2" borderId="3" xfId="347" applyFill="1" applyBorder="1" applyAlignment="1">
      <alignment horizontal="center" vertical="center"/>
    </xf>
    <xf numFmtId="0" fontId="28" fillId="0" borderId="3" xfId="347" applyFill="1" applyBorder="1" applyAlignment="1">
      <alignment horizontal="center" vertical="center"/>
    </xf>
    <xf numFmtId="0" fontId="28" fillId="0" borderId="16" xfId="347" applyFill="1" applyBorder="1" applyAlignment="1">
      <alignment horizontal="center" vertical="center"/>
    </xf>
    <xf numFmtId="11" fontId="28" fillId="0" borderId="16" xfId="347" applyNumberFormat="1" applyFill="1" applyBorder="1" applyAlignment="1">
      <alignment horizontal="center" vertical="center"/>
    </xf>
    <xf numFmtId="0" fontId="0" fillId="0" borderId="16" xfId="347" applyFont="1" applyBorder="1" applyAlignment="1">
      <alignment horizontal="center" vertical="center"/>
    </xf>
    <xf numFmtId="0" fontId="28" fillId="0" borderId="16" xfId="347" applyBorder="1" applyAlignment="1">
      <alignment horizontal="center" vertical="center"/>
    </xf>
    <xf numFmtId="11" fontId="28" fillId="0" borderId="16" xfId="347" applyNumberFormat="1" applyBorder="1" applyAlignment="1">
      <alignment horizontal="center" vertical="center"/>
    </xf>
    <xf numFmtId="2" fontId="28" fillId="0" borderId="16" xfId="347" applyNumberFormat="1" applyBorder="1" applyAlignment="1">
      <alignment horizontal="center" vertical="center"/>
    </xf>
    <xf numFmtId="0" fontId="28" fillId="2" borderId="21" xfId="347" applyFill="1" applyBorder="1" applyAlignment="1">
      <alignment wrapText="1"/>
    </xf>
    <xf numFmtId="0" fontId="0" fillId="2" borderId="21" xfId="347" applyFont="1" applyFill="1" applyBorder="1" applyAlignment="1">
      <alignment wrapText="1"/>
    </xf>
    <xf numFmtId="0" fontId="0" fillId="2" borderId="21" xfId="347" applyFont="1" applyFill="1" applyBorder="1" applyAlignment="1">
      <alignment horizontal="center" vertical="center" wrapText="1"/>
    </xf>
    <xf numFmtId="0" fontId="0" fillId="0" borderId="0" xfId="347" applyFont="1"/>
    <xf numFmtId="165" fontId="28" fillId="0" borderId="16" xfId="347" applyNumberFormat="1" applyBorder="1" applyAlignment="1">
      <alignment horizontal="center" vertical="center"/>
    </xf>
    <xf numFmtId="0" fontId="28" fillId="0" borderId="16" xfId="347" applyBorder="1"/>
    <xf numFmtId="0" fontId="28" fillId="0" borderId="0" xfId="347" applyFont="1"/>
    <xf numFmtId="0" fontId="28" fillId="2" borderId="16" xfId="347" applyFill="1" applyBorder="1"/>
    <xf numFmtId="0" fontId="29" fillId="12" borderId="0" xfId="347" applyFont="1" applyFill="1"/>
    <xf numFmtId="165" fontId="28" fillId="0" borderId="16" xfId="347" applyNumberFormat="1" applyBorder="1"/>
    <xf numFmtId="2" fontId="28" fillId="0" borderId="16" xfId="347" applyNumberFormat="1" applyBorder="1"/>
    <xf numFmtId="1" fontId="28" fillId="0" borderId="16" xfId="347" applyNumberFormat="1" applyBorder="1"/>
    <xf numFmtId="165" fontId="0" fillId="0" borderId="16" xfId="347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47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47" applyNumberFormat="1"/>
    <xf numFmtId="1" fontId="28" fillId="0" borderId="0" xfId="347" applyNumberFormat="1"/>
    <xf numFmtId="0" fontId="30" fillId="2" borderId="0" xfId="347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8" fillId="0" borderId="0" xfId="347" applyNumberFormat="1" applyBorder="1" applyAlignment="1">
      <alignment horizontal="center" vertical="center"/>
    </xf>
    <xf numFmtId="165" fontId="28" fillId="0" borderId="0" xfId="347" applyNumberFormat="1" applyBorder="1"/>
    <xf numFmtId="2" fontId="28" fillId="0" borderId="0" xfId="347" applyNumberFormat="1" applyBorder="1"/>
    <xf numFmtId="1" fontId="28" fillId="0" borderId="0" xfId="347" applyNumberFormat="1" applyBorder="1"/>
    <xf numFmtId="1" fontId="0" fillId="0" borderId="0" xfId="0" applyNumberFormat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47" applyNumberFormat="1" applyFill="1" applyBorder="1" applyAlignment="1">
      <alignment horizontal="center" vertical="center"/>
    </xf>
    <xf numFmtId="0" fontId="28" fillId="0" borderId="5" xfId="347" applyNumberFormat="1" applyFill="1" applyBorder="1" applyAlignment="1">
      <alignment horizontal="center" vertical="center"/>
    </xf>
    <xf numFmtId="0" fontId="28" fillId="0" borderId="18" xfId="347" applyNumberFormat="1" applyFill="1" applyBorder="1" applyAlignment="1">
      <alignment horizontal="center" vertical="center"/>
    </xf>
    <xf numFmtId="0" fontId="28" fillId="2" borderId="4" xfId="347" applyFill="1" applyBorder="1" applyAlignment="1">
      <alignment horizontal="center" vertical="center"/>
    </xf>
    <xf numFmtId="0" fontId="28" fillId="2" borderId="3" xfId="347" applyFill="1" applyBorder="1" applyAlignment="1">
      <alignment horizontal="center" vertical="center"/>
    </xf>
    <xf numFmtId="0" fontId="0" fillId="2" borderId="4" xfId="347" applyFont="1" applyFill="1" applyBorder="1" applyAlignment="1">
      <alignment horizontal="center" vertical="center"/>
    </xf>
    <xf numFmtId="0" fontId="28" fillId="2" borderId="16" xfId="347" applyFill="1" applyBorder="1" applyAlignment="1">
      <alignment horizontal="center" vertical="center"/>
    </xf>
    <xf numFmtId="0" fontId="21" fillId="0" borderId="23" xfId="347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47" applyFont="1" applyBorder="1" applyAlignment="1">
      <alignment horizontal="center"/>
    </xf>
    <xf numFmtId="0" fontId="28" fillId="0" borderId="24" xfId="347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47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47" applyFont="1" applyFill="1"/>
  </cellXfs>
  <cellStyles count="38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Input" xfId="10"/>
    <cellStyle name="Linked Cell" xfId="11"/>
    <cellStyle name="Neutral" xfId="12"/>
    <cellStyle name="Normal" xfId="0" builtinId="0"/>
    <cellStyle name="Normal 2" xfId="34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CC7B37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15.5489577622244</c:v>
                </c:pt>
                <c:pt idx="13">
                  <c:v>17.33992220670276</c:v>
                </c:pt>
                <c:pt idx="14">
                  <c:v>18.9022783803091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18248"/>
        <c:axId val="-2106501832"/>
      </c:scatterChart>
      <c:valAx>
        <c:axId val="-2110818248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06501832"/>
        <c:crosses val="autoZero"/>
        <c:crossBetween val="midCat"/>
        <c:majorUnit val="2.0"/>
      </c:valAx>
      <c:valAx>
        <c:axId val="-210650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81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51096"/>
        <c:axId val="-2089209144"/>
      </c:scatterChart>
      <c:valAx>
        <c:axId val="-211155109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89209144"/>
        <c:crosses val="autoZero"/>
        <c:crossBetween val="midCat"/>
        <c:majorUnit val="2.0"/>
      </c:valAx>
      <c:valAx>
        <c:axId val="-208920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1155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0.025684701436327</c:v>
                  </c:pt>
                  <c:pt idx="1">
                    <c:v>0.0463630797696929</c:v>
                  </c:pt>
                  <c:pt idx="2">
                    <c:v>0.0680871342138194</c:v>
                  </c:pt>
                  <c:pt idx="3">
                    <c:v>0.0258039298525478</c:v>
                  </c:pt>
                  <c:pt idx="4">
                    <c:v>0.022548181821758</c:v>
                  </c:pt>
                  <c:pt idx="5">
                    <c:v>0.16381683345983</c:v>
                  </c:pt>
                  <c:pt idx="6">
                    <c:v>0.0136164864294131</c:v>
                  </c:pt>
                  <c:pt idx="7">
                    <c:v>0.247395643048686</c:v>
                  </c:pt>
                  <c:pt idx="8">
                    <c:v>0.0476465552384396</c:v>
                  </c:pt>
                  <c:pt idx="9">
                    <c:v>0.149004680711242</c:v>
                  </c:pt>
                  <c:pt idx="10">
                    <c:v>0.10758999760111</c:v>
                  </c:pt>
                  <c:pt idx="11">
                    <c:v>0.0551473391758591</c:v>
                  </c:pt>
                  <c:pt idx="12">
                    <c:v>0.0551473391758591</c:v>
                  </c:pt>
                  <c:pt idx="13">
                    <c:v>0.0137868347939648</c:v>
                  </c:pt>
                  <c:pt idx="14">
                    <c:v>0.216879618832251</c:v>
                  </c:pt>
                  <c:pt idx="15">
                    <c:v>0.0904908134954834</c:v>
                  </c:pt>
                  <c:pt idx="16">
                    <c:v>0.107779256207493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0.025684701436327</c:v>
                  </c:pt>
                  <c:pt idx="1">
                    <c:v>0.0463630797696929</c:v>
                  </c:pt>
                  <c:pt idx="2">
                    <c:v>0.0680871342138194</c:v>
                  </c:pt>
                  <c:pt idx="3">
                    <c:v>0.0258039298525478</c:v>
                  </c:pt>
                  <c:pt idx="4">
                    <c:v>0.022548181821758</c:v>
                  </c:pt>
                  <c:pt idx="5">
                    <c:v>0.16381683345983</c:v>
                  </c:pt>
                  <c:pt idx="6">
                    <c:v>0.0136164864294131</c:v>
                  </c:pt>
                  <c:pt idx="7">
                    <c:v>0.247395643048686</c:v>
                  </c:pt>
                  <c:pt idx="8">
                    <c:v>0.0476465552384396</c:v>
                  </c:pt>
                  <c:pt idx="9">
                    <c:v>0.149004680711242</c:v>
                  </c:pt>
                  <c:pt idx="10">
                    <c:v>0.10758999760111</c:v>
                  </c:pt>
                  <c:pt idx="11">
                    <c:v>0.0551473391758591</c:v>
                  </c:pt>
                  <c:pt idx="12">
                    <c:v>0.0551473391758591</c:v>
                  </c:pt>
                  <c:pt idx="13">
                    <c:v>0.0137868347939648</c:v>
                  </c:pt>
                  <c:pt idx="14">
                    <c:v>0.216879618832251</c:v>
                  </c:pt>
                  <c:pt idx="15">
                    <c:v>0.0904908134954834</c:v>
                  </c:pt>
                  <c:pt idx="16">
                    <c:v>0.107779256207493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0.593162771532741</c:v>
                </c:pt>
                <c:pt idx="1">
                  <c:v>0.638466955668546</c:v>
                </c:pt>
                <c:pt idx="2">
                  <c:v>0.653744554335599</c:v>
                </c:pt>
                <c:pt idx="3">
                  <c:v>0.856629586174823</c:v>
                </c:pt>
                <c:pt idx="4">
                  <c:v>1.66856545481009</c:v>
                </c:pt>
                <c:pt idx="5">
                  <c:v>4.002328850662631</c:v>
                </c:pt>
                <c:pt idx="6">
                  <c:v>7.248286501214302</c:v>
                </c:pt>
                <c:pt idx="7">
                  <c:v>7.355947967190729</c:v>
                </c:pt>
                <c:pt idx="8">
                  <c:v>7.21845311862359</c:v>
                </c:pt>
                <c:pt idx="9">
                  <c:v>7.89760850653114</c:v>
                </c:pt>
                <c:pt idx="10">
                  <c:v>7.627196936317587</c:v>
                </c:pt>
                <c:pt idx="11">
                  <c:v>7.346925655541686</c:v>
                </c:pt>
                <c:pt idx="12">
                  <c:v>7.338965822762118</c:v>
                </c:pt>
                <c:pt idx="13">
                  <c:v>7.514082143912623</c:v>
                </c:pt>
                <c:pt idx="14">
                  <c:v>7.377693756827944</c:v>
                </c:pt>
                <c:pt idx="15">
                  <c:v>7.298021038071703</c:v>
                </c:pt>
                <c:pt idx="16">
                  <c:v>7.65654827247479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0.0333672579889692</c:v>
                  </c:pt>
                  <c:pt idx="1">
                    <c:v>0.0883945754326638</c:v>
                  </c:pt>
                  <c:pt idx="2">
                    <c:v>0.117409237407793</c:v>
                  </c:pt>
                  <c:pt idx="3">
                    <c:v>0.0580620649737927</c:v>
                  </c:pt>
                  <c:pt idx="4">
                    <c:v>0.273397350987709</c:v>
                  </c:pt>
                  <c:pt idx="5">
                    <c:v>0.955098277070991</c:v>
                  </c:pt>
                  <c:pt idx="6">
                    <c:v>0.0353786332085546</c:v>
                  </c:pt>
                  <c:pt idx="7">
                    <c:v>1.207309589267547</c:v>
                  </c:pt>
                  <c:pt idx="8">
                    <c:v>0.185694379769367</c:v>
                  </c:pt>
                  <c:pt idx="9">
                    <c:v>0.894077711138631</c:v>
                  </c:pt>
                  <c:pt idx="10">
                    <c:v>0.730303808177309</c:v>
                  </c:pt>
                  <c:pt idx="11">
                    <c:v>0.203688169093575</c:v>
                  </c:pt>
                  <c:pt idx="12">
                    <c:v>0.415176210288242</c:v>
                  </c:pt>
                  <c:pt idx="13">
                    <c:v>0.0745678486431513</c:v>
                  </c:pt>
                  <c:pt idx="14">
                    <c:v>1.140796096300663</c:v>
                  </c:pt>
                  <c:pt idx="15">
                    <c:v>0.374334199771231</c:v>
                  </c:pt>
                  <c:pt idx="16">
                    <c:v>0.724525499199879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0.0333672579889692</c:v>
                  </c:pt>
                  <c:pt idx="1">
                    <c:v>0.0883945754326638</c:v>
                  </c:pt>
                  <c:pt idx="2">
                    <c:v>0.117409237407793</c:v>
                  </c:pt>
                  <c:pt idx="3">
                    <c:v>0.0580620649737927</c:v>
                  </c:pt>
                  <c:pt idx="4">
                    <c:v>0.273397350987709</c:v>
                  </c:pt>
                  <c:pt idx="5">
                    <c:v>0.955098277070991</c:v>
                  </c:pt>
                  <c:pt idx="6">
                    <c:v>0.0353786332085546</c:v>
                  </c:pt>
                  <c:pt idx="7">
                    <c:v>1.207309589267547</c:v>
                  </c:pt>
                  <c:pt idx="8">
                    <c:v>0.185694379769367</c:v>
                  </c:pt>
                  <c:pt idx="9">
                    <c:v>0.894077711138631</c:v>
                  </c:pt>
                  <c:pt idx="10">
                    <c:v>0.730303808177309</c:v>
                  </c:pt>
                  <c:pt idx="11">
                    <c:v>0.203688169093575</c:v>
                  </c:pt>
                  <c:pt idx="12">
                    <c:v>0.415176210288242</c:v>
                  </c:pt>
                  <c:pt idx="13">
                    <c:v>0.0745678486431513</c:v>
                  </c:pt>
                  <c:pt idx="14">
                    <c:v>1.140796096300663</c:v>
                  </c:pt>
                  <c:pt idx="15">
                    <c:v>0.374334199771231</c:v>
                  </c:pt>
                  <c:pt idx="16">
                    <c:v>0.724525499199879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1.868566447382274</c:v>
                </c:pt>
                <c:pt idx="1">
                  <c:v>2.205060601938555</c:v>
                </c:pt>
                <c:pt idx="2">
                  <c:v>2.930869802919319</c:v>
                </c:pt>
                <c:pt idx="3">
                  <c:v>5.028322326348713</c:v>
                </c:pt>
                <c:pt idx="4">
                  <c:v>10.64333259099493</c:v>
                </c:pt>
                <c:pt idx="5">
                  <c:v>30.35396141546008</c:v>
                </c:pt>
                <c:pt idx="6">
                  <c:v>46.8766890013348</c:v>
                </c:pt>
                <c:pt idx="7">
                  <c:v>47.6020530849477</c:v>
                </c:pt>
                <c:pt idx="8">
                  <c:v>46.7796021640727</c:v>
                </c:pt>
                <c:pt idx="9">
                  <c:v>51.00324846778557</c:v>
                </c:pt>
                <c:pt idx="10">
                  <c:v>49.13014671119087</c:v>
                </c:pt>
                <c:pt idx="11">
                  <c:v>47.33179291606827</c:v>
                </c:pt>
                <c:pt idx="12">
                  <c:v>47.4153757996234</c:v>
                </c:pt>
                <c:pt idx="13">
                  <c:v>48.01239639644565</c:v>
                </c:pt>
                <c:pt idx="14">
                  <c:v>47.59115651814945</c:v>
                </c:pt>
                <c:pt idx="15">
                  <c:v>47.04138424295235</c:v>
                </c:pt>
                <c:pt idx="16">
                  <c:v>50.57904931813372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0.0251322822657433</c:v>
                  </c:pt>
                  <c:pt idx="1">
                    <c:v>0.0251644824992677</c:v>
                  </c:pt>
                  <c:pt idx="2">
                    <c:v>0.0436148184888443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0.0251322822657433</c:v>
                  </c:pt>
                  <c:pt idx="1">
                    <c:v>0.0251644824992677</c:v>
                  </c:pt>
                  <c:pt idx="2">
                    <c:v>0.0436148184888443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1.01570909520336</c:v>
                </c:pt>
                <c:pt idx="1">
                  <c:v>0.842665803208249</c:v>
                </c:pt>
                <c:pt idx="2">
                  <c:v>0.523377821866131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0.0870411812247022</c:v>
                </c:pt>
                <c:pt idx="2">
                  <c:v>0.278253268500276</c:v>
                </c:pt>
                <c:pt idx="3">
                  <c:v>0.50442350792132</c:v>
                </c:pt>
                <c:pt idx="4">
                  <c:v>0.753475449894856</c:v>
                </c:pt>
                <c:pt idx="5">
                  <c:v>1.02475964118384</c:v>
                </c:pt>
                <c:pt idx="6">
                  <c:v>1.324320920742698</c:v>
                </c:pt>
                <c:pt idx="7">
                  <c:v>1.653556688629647</c:v>
                </c:pt>
                <c:pt idx="8">
                  <c:v>2.02953060572884</c:v>
                </c:pt>
                <c:pt idx="9">
                  <c:v>2.48484064977369</c:v>
                </c:pt>
                <c:pt idx="10">
                  <c:v>3.089009429444641</c:v>
                </c:pt>
                <c:pt idx="11">
                  <c:v>3.920910125751748</c:v>
                </c:pt>
                <c:pt idx="12">
                  <c:v>5.060234288211474</c:v>
                </c:pt>
                <c:pt idx="13">
                  <c:v>6.549650571142923</c:v>
                </c:pt>
                <c:pt idx="14">
                  <c:v>8.442412850141135</c:v>
                </c:pt>
                <c:pt idx="15">
                  <c:v>10.81610356874476</c:v>
                </c:pt>
                <c:pt idx="16">
                  <c:v>13.6437483442395</c:v>
                </c:pt>
                <c:pt idx="17">
                  <c:v>16.74258524112805</c:v>
                </c:pt>
                <c:pt idx="18">
                  <c:v>19.70240830122642</c:v>
                </c:pt>
                <c:pt idx="19">
                  <c:v>22.28369740486205</c:v>
                </c:pt>
                <c:pt idx="20">
                  <c:v>24.47139519455138</c:v>
                </c:pt>
                <c:pt idx="21">
                  <c:v>26.418310689673</c:v>
                </c:pt>
                <c:pt idx="22">
                  <c:v>28.23281053710422</c:v>
                </c:pt>
                <c:pt idx="23">
                  <c:v>29.85502138185166</c:v>
                </c:pt>
                <c:pt idx="24">
                  <c:v>31.30045073713881</c:v>
                </c:pt>
                <c:pt idx="25">
                  <c:v>32.54408391829791</c:v>
                </c:pt>
                <c:pt idx="26">
                  <c:v>33.62651833630664</c:v>
                </c:pt>
                <c:pt idx="27">
                  <c:v>34.57832842547072</c:v>
                </c:pt>
                <c:pt idx="28">
                  <c:v>35.40466485098997</c:v>
                </c:pt>
                <c:pt idx="29">
                  <c:v>36.1206047598882</c:v>
                </c:pt>
                <c:pt idx="30">
                  <c:v>36.72955671197622</c:v>
                </c:pt>
                <c:pt idx="31">
                  <c:v>37.25903195465202</c:v>
                </c:pt>
                <c:pt idx="32">
                  <c:v>37.72007141504495</c:v>
                </c:pt>
                <c:pt idx="33">
                  <c:v>38.11254366301051</c:v>
                </c:pt>
                <c:pt idx="34">
                  <c:v>38.45154956773819</c:v>
                </c:pt>
                <c:pt idx="35">
                  <c:v>38.74554133782078</c:v>
                </c:pt>
                <c:pt idx="36">
                  <c:v>39.00178884665154</c:v>
                </c:pt>
                <c:pt idx="37">
                  <c:v>39.22692546310785</c:v>
                </c:pt>
                <c:pt idx="38">
                  <c:v>39.42110788277422</c:v>
                </c:pt>
                <c:pt idx="39">
                  <c:v>39.5885172711867</c:v>
                </c:pt>
                <c:pt idx="40">
                  <c:v>39.73513045049105</c:v>
                </c:pt>
                <c:pt idx="41">
                  <c:v>39.86631778164195</c:v>
                </c:pt>
                <c:pt idx="42">
                  <c:v>39.98603217678502</c:v>
                </c:pt>
                <c:pt idx="43">
                  <c:v>40.09627381895673</c:v>
                </c:pt>
                <c:pt idx="44">
                  <c:v>40.19870407015254</c:v>
                </c:pt>
                <c:pt idx="45">
                  <c:v>40.29402335033965</c:v>
                </c:pt>
                <c:pt idx="46">
                  <c:v>40.38256288793074</c:v>
                </c:pt>
                <c:pt idx="47">
                  <c:v>40.46652739238905</c:v>
                </c:pt>
                <c:pt idx="48">
                  <c:v>40.54966747436073</c:v>
                </c:pt>
                <c:pt idx="49">
                  <c:v>40.63262704075382</c:v>
                </c:pt>
                <c:pt idx="50">
                  <c:v>40.71309287762814</c:v>
                </c:pt>
                <c:pt idx="51">
                  <c:v>40.7902696874615</c:v>
                </c:pt>
                <c:pt idx="52">
                  <c:v>40.86231026320294</c:v>
                </c:pt>
                <c:pt idx="53">
                  <c:v>40.92958754097871</c:v>
                </c:pt>
                <c:pt idx="54">
                  <c:v>40.99529918596753</c:v>
                </c:pt>
                <c:pt idx="55">
                  <c:v>41.0603478333986</c:v>
                </c:pt>
                <c:pt idx="56">
                  <c:v>41.12431112187596</c:v>
                </c:pt>
                <c:pt idx="57">
                  <c:v>41.1870317891777</c:v>
                </c:pt>
                <c:pt idx="58">
                  <c:v>41.24894917103486</c:v>
                </c:pt>
                <c:pt idx="59">
                  <c:v>41.31058497862804</c:v>
                </c:pt>
                <c:pt idx="60">
                  <c:v>41.3742521628894</c:v>
                </c:pt>
                <c:pt idx="61">
                  <c:v>41.44053759141654</c:v>
                </c:pt>
                <c:pt idx="62">
                  <c:v>41.50854826290818</c:v>
                </c:pt>
                <c:pt idx="63">
                  <c:v>41.57823140150123</c:v>
                </c:pt>
                <c:pt idx="64">
                  <c:v>41.64860643165943</c:v>
                </c:pt>
                <c:pt idx="65">
                  <c:v>41.71934930958338</c:v>
                </c:pt>
                <c:pt idx="66">
                  <c:v>41.79009218750732</c:v>
                </c:pt>
                <c:pt idx="67">
                  <c:v>41.86274449615797</c:v>
                </c:pt>
                <c:pt idx="68">
                  <c:v>41.93950435023312</c:v>
                </c:pt>
                <c:pt idx="69">
                  <c:v>42.02129954940594</c:v>
                </c:pt>
                <c:pt idx="70">
                  <c:v>42.11219330737594</c:v>
                </c:pt>
                <c:pt idx="71">
                  <c:v>42.21558386196766</c:v>
                </c:pt>
                <c:pt idx="72">
                  <c:v>42.33803072520487</c:v>
                </c:pt>
                <c:pt idx="73">
                  <c:v>42.48409689821059</c:v>
                </c:pt>
                <c:pt idx="74">
                  <c:v>42.63843041016977</c:v>
                </c:pt>
                <c:pt idx="75">
                  <c:v>42.78835027669852</c:v>
                </c:pt>
                <c:pt idx="76">
                  <c:v>42.9351700890292</c:v>
                </c:pt>
                <c:pt idx="77">
                  <c:v>43.08100879806498</c:v>
                </c:pt>
                <c:pt idx="78">
                  <c:v>43.22889679386466</c:v>
                </c:pt>
                <c:pt idx="79">
                  <c:v>43.3729838720044</c:v>
                </c:pt>
                <c:pt idx="80">
                  <c:v>43.50413611385875</c:v>
                </c:pt>
                <c:pt idx="81">
                  <c:v>43.61955112109751</c:v>
                </c:pt>
                <c:pt idx="82">
                  <c:v>43.72147081238482</c:v>
                </c:pt>
                <c:pt idx="83">
                  <c:v>43.81236509811346</c:v>
                </c:pt>
                <c:pt idx="84">
                  <c:v>43.89411649331991</c:v>
                </c:pt>
                <c:pt idx="85">
                  <c:v>43.97032431186711</c:v>
                </c:pt>
                <c:pt idx="86">
                  <c:v>44.04245097292135</c:v>
                </c:pt>
                <c:pt idx="87">
                  <c:v>44.11068066424483</c:v>
                </c:pt>
                <c:pt idx="88">
                  <c:v>44.1769222888056</c:v>
                </c:pt>
                <c:pt idx="89">
                  <c:v>44.24302352957056</c:v>
                </c:pt>
                <c:pt idx="90">
                  <c:v>44.30666435959812</c:v>
                </c:pt>
                <c:pt idx="91">
                  <c:v>44.36680245559223</c:v>
                </c:pt>
                <c:pt idx="92">
                  <c:v>44.4229554461642</c:v>
                </c:pt>
                <c:pt idx="93">
                  <c:v>44.47458079544147</c:v>
                </c:pt>
                <c:pt idx="94">
                  <c:v>44.52420066192121</c:v>
                </c:pt>
                <c:pt idx="95">
                  <c:v>44.57407438030242</c:v>
                </c:pt>
                <c:pt idx="96">
                  <c:v>44.6257256801262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0.0651678124397639</c:v>
                  </c:pt>
                  <c:pt idx="1">
                    <c:v>1.087367625412939</c:v>
                  </c:pt>
                  <c:pt idx="2">
                    <c:v>2.292079251453768</c:v>
                  </c:pt>
                  <c:pt idx="3">
                    <c:v>0.47854812359111</c:v>
                  </c:pt>
                  <c:pt idx="4">
                    <c:v>0.104754041448673</c:v>
                  </c:pt>
                  <c:pt idx="5">
                    <c:v>0.548406147660115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0.0651678124397639</c:v>
                  </c:pt>
                  <c:pt idx="1">
                    <c:v>1.087367625412939</c:v>
                  </c:pt>
                  <c:pt idx="2">
                    <c:v>2.292079251453768</c:v>
                  </c:pt>
                  <c:pt idx="3">
                    <c:v>0.47854812359111</c:v>
                  </c:pt>
                  <c:pt idx="4">
                    <c:v>0.104754041448673</c:v>
                  </c:pt>
                  <c:pt idx="5">
                    <c:v>0.548406147660115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47.89789380126886</c:v>
                </c:pt>
                <c:pt idx="1">
                  <c:v>47.265114805393</c:v>
                </c:pt>
                <c:pt idx="2">
                  <c:v>45.69154410728522</c:v>
                </c:pt>
                <c:pt idx="3">
                  <c:v>45.1108589032585</c:v>
                </c:pt>
                <c:pt idx="4">
                  <c:v>38.06884697573471</c:v>
                </c:pt>
                <c:pt idx="5">
                  <c:v>16.6173615165012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0.0347373530334342</c:v>
                  </c:pt>
                  <c:pt idx="1">
                    <c:v>0.249779837241908</c:v>
                  </c:pt>
                  <c:pt idx="2">
                    <c:v>0.297371720656857</c:v>
                  </c:pt>
                  <c:pt idx="3">
                    <c:v>0.0527617296814777</c:v>
                  </c:pt>
                  <c:pt idx="4">
                    <c:v>0.0133092651448773</c:v>
                  </c:pt>
                  <c:pt idx="5">
                    <c:v>0.50977917102206</c:v>
                  </c:pt>
                  <c:pt idx="6">
                    <c:v>0.0974465064457007</c:v>
                  </c:pt>
                  <c:pt idx="7">
                    <c:v>0.746318592672384</c:v>
                  </c:pt>
                  <c:pt idx="8">
                    <c:v>0.112495214367398</c:v>
                  </c:pt>
                  <c:pt idx="9">
                    <c:v>0.504062885791519</c:v>
                  </c:pt>
                  <c:pt idx="10">
                    <c:v>0.331186573750505</c:v>
                  </c:pt>
                  <c:pt idx="11">
                    <c:v>0.122067030436419</c:v>
                  </c:pt>
                  <c:pt idx="12">
                    <c:v>0.173203323596072</c:v>
                  </c:pt>
                  <c:pt idx="13">
                    <c:v>0.0857370644878047</c:v>
                  </c:pt>
                  <c:pt idx="14">
                    <c:v>0.650817545653661</c:v>
                  </c:pt>
                  <c:pt idx="15">
                    <c:v>0.342107112965172</c:v>
                  </c:pt>
                  <c:pt idx="16">
                    <c:v>0.454758907745567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0.0347373530334342</c:v>
                  </c:pt>
                  <c:pt idx="1">
                    <c:v>0.249779837241908</c:v>
                  </c:pt>
                  <c:pt idx="2">
                    <c:v>0.297371720656857</c:v>
                  </c:pt>
                  <c:pt idx="3">
                    <c:v>0.0527617296814777</c:v>
                  </c:pt>
                  <c:pt idx="4">
                    <c:v>0.0133092651448773</c:v>
                  </c:pt>
                  <c:pt idx="5">
                    <c:v>0.50977917102206</c:v>
                  </c:pt>
                  <c:pt idx="6">
                    <c:v>0.0974465064457007</c:v>
                  </c:pt>
                  <c:pt idx="7">
                    <c:v>0.746318592672384</c:v>
                  </c:pt>
                  <c:pt idx="8">
                    <c:v>0.112495214367398</c:v>
                  </c:pt>
                  <c:pt idx="9">
                    <c:v>0.504062885791519</c:v>
                  </c:pt>
                  <c:pt idx="10">
                    <c:v>0.331186573750505</c:v>
                  </c:pt>
                  <c:pt idx="11">
                    <c:v>0.122067030436419</c:v>
                  </c:pt>
                  <c:pt idx="12">
                    <c:v>0.173203323596072</c:v>
                  </c:pt>
                  <c:pt idx="13">
                    <c:v>0.0857370644878047</c:v>
                  </c:pt>
                  <c:pt idx="14">
                    <c:v>0.650817545653661</c:v>
                  </c:pt>
                  <c:pt idx="15">
                    <c:v>0.342107112965172</c:v>
                  </c:pt>
                  <c:pt idx="16">
                    <c:v>0.454758907745567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2.016362963096135</c:v>
                </c:pt>
                <c:pt idx="1">
                  <c:v>2.648918380955002</c:v>
                </c:pt>
                <c:pt idx="2">
                  <c:v>3.045600681389335</c:v>
                </c:pt>
                <c:pt idx="3">
                  <c:v>4.218986838579833</c:v>
                </c:pt>
                <c:pt idx="4">
                  <c:v>7.614950843783992</c:v>
                </c:pt>
                <c:pt idx="5">
                  <c:v>15.99742124289597</c:v>
                </c:pt>
                <c:pt idx="6">
                  <c:v>23.08298886326513</c:v>
                </c:pt>
                <c:pt idx="7">
                  <c:v>23.76191633262702</c:v>
                </c:pt>
                <c:pt idx="8">
                  <c:v>23.83633522320521</c:v>
                </c:pt>
                <c:pt idx="9">
                  <c:v>26.02766470311941</c:v>
                </c:pt>
                <c:pt idx="10">
                  <c:v>25.45848740564414</c:v>
                </c:pt>
                <c:pt idx="11">
                  <c:v>24.60871333598212</c:v>
                </c:pt>
                <c:pt idx="12">
                  <c:v>24.59243773192393</c:v>
                </c:pt>
                <c:pt idx="13">
                  <c:v>25.34925332062973</c:v>
                </c:pt>
                <c:pt idx="14">
                  <c:v>25.73948754690343</c:v>
                </c:pt>
                <c:pt idx="15">
                  <c:v>26.24450280889963</c:v>
                </c:pt>
                <c:pt idx="16">
                  <c:v>27.84914807685531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0.15907571150414</c:v>
                </c:pt>
                <c:pt idx="2">
                  <c:v>0.649711207433956</c:v>
                </c:pt>
                <c:pt idx="3">
                  <c:v>1.374744119192438</c:v>
                </c:pt>
                <c:pt idx="4">
                  <c:v>2.113823058748616</c:v>
                </c:pt>
                <c:pt idx="5">
                  <c:v>2.808920455416811</c:v>
                </c:pt>
                <c:pt idx="6">
                  <c:v>3.51839956834374</c:v>
                </c:pt>
                <c:pt idx="7">
                  <c:v>4.2831139530032</c:v>
                </c:pt>
                <c:pt idx="8">
                  <c:v>5.215184347177582</c:v>
                </c:pt>
                <c:pt idx="9">
                  <c:v>6.458426218715472</c:v>
                </c:pt>
                <c:pt idx="10">
                  <c:v>8.26324966846116</c:v>
                </c:pt>
                <c:pt idx="11">
                  <c:v>10.81501796411585</c:v>
                </c:pt>
                <c:pt idx="12">
                  <c:v>14.11314754379296</c:v>
                </c:pt>
                <c:pt idx="13">
                  <c:v>17.828613912289</c:v>
                </c:pt>
                <c:pt idx="14">
                  <c:v>21.78318826409843</c:v>
                </c:pt>
                <c:pt idx="15">
                  <c:v>25.68886041739362</c:v>
                </c:pt>
                <c:pt idx="16">
                  <c:v>29.25014295713434</c:v>
                </c:pt>
                <c:pt idx="17">
                  <c:v>31.54116774553738</c:v>
                </c:pt>
                <c:pt idx="18">
                  <c:v>32.21595679935734</c:v>
                </c:pt>
                <c:pt idx="19">
                  <c:v>32.35679254244691</c:v>
                </c:pt>
                <c:pt idx="20">
                  <c:v>32.38385925013339</c:v>
                </c:pt>
                <c:pt idx="21">
                  <c:v>32.3960328392077</c:v>
                </c:pt>
                <c:pt idx="22">
                  <c:v>32.41694011949873</c:v>
                </c:pt>
                <c:pt idx="23">
                  <c:v>32.43376013531172</c:v>
                </c:pt>
                <c:pt idx="24">
                  <c:v>32.45001636910947</c:v>
                </c:pt>
                <c:pt idx="25">
                  <c:v>32.46546397044759</c:v>
                </c:pt>
                <c:pt idx="26">
                  <c:v>32.48346428888995</c:v>
                </c:pt>
                <c:pt idx="27">
                  <c:v>32.50346449140807</c:v>
                </c:pt>
                <c:pt idx="28">
                  <c:v>32.52233345150447</c:v>
                </c:pt>
                <c:pt idx="29">
                  <c:v>32.5401375440324</c:v>
                </c:pt>
                <c:pt idx="30">
                  <c:v>32.55797172586536</c:v>
                </c:pt>
                <c:pt idx="31">
                  <c:v>32.5784531950071</c:v>
                </c:pt>
                <c:pt idx="32">
                  <c:v>32.59880002396277</c:v>
                </c:pt>
                <c:pt idx="33">
                  <c:v>32.61821052634431</c:v>
                </c:pt>
                <c:pt idx="34">
                  <c:v>32.64106610399951</c:v>
                </c:pt>
                <c:pt idx="35">
                  <c:v>32.66751624820548</c:v>
                </c:pt>
                <c:pt idx="36">
                  <c:v>32.69481890094237</c:v>
                </c:pt>
                <c:pt idx="37">
                  <c:v>32.72374918773217</c:v>
                </c:pt>
                <c:pt idx="38">
                  <c:v>32.75482344295823</c:v>
                </c:pt>
                <c:pt idx="39">
                  <c:v>32.78593186501195</c:v>
                </c:pt>
                <c:pt idx="40">
                  <c:v>32.81578133437392</c:v>
                </c:pt>
                <c:pt idx="41">
                  <c:v>32.84838740237382</c:v>
                </c:pt>
                <c:pt idx="42">
                  <c:v>32.88317160563764</c:v>
                </c:pt>
                <c:pt idx="43">
                  <c:v>32.91502885066446</c:v>
                </c:pt>
                <c:pt idx="44">
                  <c:v>32.94569500211557</c:v>
                </c:pt>
                <c:pt idx="45">
                  <c:v>32.97625912762295</c:v>
                </c:pt>
                <c:pt idx="46">
                  <c:v>33.00699313819013</c:v>
                </c:pt>
                <c:pt idx="47">
                  <c:v>33.03919062787581</c:v>
                </c:pt>
                <c:pt idx="48">
                  <c:v>33.07292850001119</c:v>
                </c:pt>
                <c:pt idx="49">
                  <c:v>33.10741136244587</c:v>
                </c:pt>
                <c:pt idx="50">
                  <c:v>33.14225218365231</c:v>
                </c:pt>
                <c:pt idx="51">
                  <c:v>33.17959921550624</c:v>
                </c:pt>
                <c:pt idx="52">
                  <c:v>33.21547796737725</c:v>
                </c:pt>
                <c:pt idx="53">
                  <c:v>33.24902923836408</c:v>
                </c:pt>
                <c:pt idx="54">
                  <c:v>33.28304630507483</c:v>
                </c:pt>
                <c:pt idx="55">
                  <c:v>33.31595354981958</c:v>
                </c:pt>
                <c:pt idx="56">
                  <c:v>33.34807298571935</c:v>
                </c:pt>
                <c:pt idx="57">
                  <c:v>33.38280646921878</c:v>
                </c:pt>
                <c:pt idx="58">
                  <c:v>33.41818447820544</c:v>
                </c:pt>
                <c:pt idx="59">
                  <c:v>33.45109172295018</c:v>
                </c:pt>
                <c:pt idx="60">
                  <c:v>33.48865545882278</c:v>
                </c:pt>
                <c:pt idx="61">
                  <c:v>33.5299525716928</c:v>
                </c:pt>
                <c:pt idx="62">
                  <c:v>33.57003847850484</c:v>
                </c:pt>
                <c:pt idx="63">
                  <c:v>33.60929158219729</c:v>
                </c:pt>
                <c:pt idx="64">
                  <c:v>33.64971789332628</c:v>
                </c:pt>
                <c:pt idx="65">
                  <c:v>33.6924536762242</c:v>
                </c:pt>
                <c:pt idx="66">
                  <c:v>33.73958041093144</c:v>
                </c:pt>
                <c:pt idx="67">
                  <c:v>33.78704754995563</c:v>
                </c:pt>
                <c:pt idx="68">
                  <c:v>33.83167587530406</c:v>
                </c:pt>
                <c:pt idx="69">
                  <c:v>33.88217129335251</c:v>
                </c:pt>
                <c:pt idx="70">
                  <c:v>33.94799704411211</c:v>
                </c:pt>
                <c:pt idx="71">
                  <c:v>34.04486186323242</c:v>
                </c:pt>
                <c:pt idx="72">
                  <c:v>34.19725586222294</c:v>
                </c:pt>
                <c:pt idx="73">
                  <c:v>34.3749353049798</c:v>
                </c:pt>
                <c:pt idx="74">
                  <c:v>34.49606329939834</c:v>
                </c:pt>
                <c:pt idx="75">
                  <c:v>34.55791449990843</c:v>
                </c:pt>
                <c:pt idx="76">
                  <c:v>34.60303469630089</c:v>
                </c:pt>
                <c:pt idx="77">
                  <c:v>34.64255273482605</c:v>
                </c:pt>
                <c:pt idx="78">
                  <c:v>34.67961036261384</c:v>
                </c:pt>
                <c:pt idx="79">
                  <c:v>34.7141315824214</c:v>
                </c:pt>
                <c:pt idx="80">
                  <c:v>34.748312397912</c:v>
                </c:pt>
                <c:pt idx="81">
                  <c:v>34.78529455621557</c:v>
                </c:pt>
                <c:pt idx="82">
                  <c:v>34.82186031295933</c:v>
                </c:pt>
                <c:pt idx="83">
                  <c:v>34.85274791459295</c:v>
                </c:pt>
                <c:pt idx="84">
                  <c:v>34.88480872366313</c:v>
                </c:pt>
                <c:pt idx="85">
                  <c:v>34.92039021056021</c:v>
                </c:pt>
                <c:pt idx="86">
                  <c:v>34.95642609763853</c:v>
                </c:pt>
                <c:pt idx="87">
                  <c:v>34.99624706961784</c:v>
                </c:pt>
                <c:pt idx="88">
                  <c:v>35.03992912374103</c:v>
                </c:pt>
                <c:pt idx="89">
                  <c:v>35.08486038254361</c:v>
                </c:pt>
                <c:pt idx="90">
                  <c:v>35.1283909699397</c:v>
                </c:pt>
                <c:pt idx="91">
                  <c:v>35.16915821314428</c:v>
                </c:pt>
                <c:pt idx="92">
                  <c:v>35.20651877438622</c:v>
                </c:pt>
                <c:pt idx="93">
                  <c:v>35.24289506578148</c:v>
                </c:pt>
                <c:pt idx="94">
                  <c:v>35.28139083583854</c:v>
                </c:pt>
                <c:pt idx="95">
                  <c:v>35.32007607124411</c:v>
                </c:pt>
                <c:pt idx="96">
                  <c:v>35.35449635996526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83080"/>
        <c:axId val="-20789777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9939.0</c:v>
                </c:pt>
                <c:pt idx="1">
                  <c:v>10834.0</c:v>
                </c:pt>
                <c:pt idx="2">
                  <c:v>20273.0</c:v>
                </c:pt>
                <c:pt idx="3">
                  <c:v>4047.0</c:v>
                </c:pt>
                <c:pt idx="4">
                  <c:v>12554.0</c:v>
                </c:pt>
                <c:pt idx="5">
                  <c:v>33367.0</c:v>
                </c:pt>
                <c:pt idx="6">
                  <c:v>4771.0</c:v>
                </c:pt>
                <c:pt idx="7">
                  <c:v>4922.0</c:v>
                </c:pt>
                <c:pt idx="8">
                  <c:v>5291.0</c:v>
                </c:pt>
                <c:pt idx="9">
                  <c:v>5201.0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0.0318959630451916</c:v>
                  </c:pt>
                  <c:pt idx="1">
                    <c:v>0.0288659654865134</c:v>
                  </c:pt>
                  <c:pt idx="2">
                    <c:v>0.0242234696811544</c:v>
                  </c:pt>
                  <c:pt idx="3">
                    <c:v>0.0191928481211385</c:v>
                  </c:pt>
                  <c:pt idx="4">
                    <c:v>0.0203552092225248</c:v>
                  </c:pt>
                  <c:pt idx="5">
                    <c:v>0.0182755500579083</c:v>
                  </c:pt>
                  <c:pt idx="6">
                    <c:v>0.0240328645953873</c:v>
                  </c:pt>
                  <c:pt idx="7">
                    <c:v>0.0270337796101379</c:v>
                  </c:pt>
                  <c:pt idx="8">
                    <c:v>0.0203311776424469</c:v>
                  </c:pt>
                  <c:pt idx="9">
                    <c:v>0.0416130609464157</c:v>
                  </c:pt>
                  <c:pt idx="10">
                    <c:v>0.0304542391231761</c:v>
                  </c:pt>
                  <c:pt idx="11">
                    <c:v>0.0292499425872229</c:v>
                  </c:pt>
                  <c:pt idx="12">
                    <c:v>0.0262073582227212</c:v>
                  </c:pt>
                  <c:pt idx="13">
                    <c:v>0.0387640835504005</c:v>
                  </c:pt>
                  <c:pt idx="14">
                    <c:v>0.0316712878840861</c:v>
                  </c:pt>
                  <c:pt idx="15">
                    <c:v>0.0629485782523056</c:v>
                  </c:pt>
                  <c:pt idx="16">
                    <c:v>0.00247235370051656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0.0318959630451916</c:v>
                  </c:pt>
                  <c:pt idx="1">
                    <c:v>0.0288659654865134</c:v>
                  </c:pt>
                  <c:pt idx="2">
                    <c:v>0.0242234696811544</c:v>
                  </c:pt>
                  <c:pt idx="3">
                    <c:v>0.0191928481211385</c:v>
                  </c:pt>
                  <c:pt idx="4">
                    <c:v>0.0203552092225248</c:v>
                  </c:pt>
                  <c:pt idx="5">
                    <c:v>0.0182755500579083</c:v>
                  </c:pt>
                  <c:pt idx="6">
                    <c:v>0.0240328645953873</c:v>
                  </c:pt>
                  <c:pt idx="7">
                    <c:v>0.0270337796101379</c:v>
                  </c:pt>
                  <c:pt idx="8">
                    <c:v>0.0203311776424469</c:v>
                  </c:pt>
                  <c:pt idx="9">
                    <c:v>0.0416130609464157</c:v>
                  </c:pt>
                  <c:pt idx="10">
                    <c:v>0.0304542391231761</c:v>
                  </c:pt>
                  <c:pt idx="11">
                    <c:v>0.0292499425872229</c:v>
                  </c:pt>
                  <c:pt idx="12">
                    <c:v>0.0262073582227212</c:v>
                  </c:pt>
                  <c:pt idx="13">
                    <c:v>0.0387640835504005</c:v>
                  </c:pt>
                  <c:pt idx="14">
                    <c:v>0.0316712878840861</c:v>
                  </c:pt>
                  <c:pt idx="15">
                    <c:v>0.0629485782523056</c:v>
                  </c:pt>
                  <c:pt idx="16">
                    <c:v>0.00247235370051656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8.133472984967836</c:v>
                </c:pt>
                <c:pt idx="1">
                  <c:v>8.179690181871569</c:v>
                </c:pt>
                <c:pt idx="2">
                  <c:v>8.444912954729918</c:v>
                </c:pt>
                <c:pt idx="3">
                  <c:v>8.76229060768589</c:v>
                </c:pt>
                <c:pt idx="4">
                  <c:v>9.287660113449405</c:v>
                </c:pt>
                <c:pt idx="5">
                  <c:v>9.716234514621028</c:v>
                </c:pt>
                <c:pt idx="6">
                  <c:v>9.89473415784811</c:v>
                </c:pt>
                <c:pt idx="7">
                  <c:v>9.91161755021774</c:v>
                </c:pt>
                <c:pt idx="8">
                  <c:v>9.898223931562148</c:v>
                </c:pt>
                <c:pt idx="9">
                  <c:v>9.882386250847884</c:v>
                </c:pt>
                <c:pt idx="10">
                  <c:v>9.909488961175558</c:v>
                </c:pt>
                <c:pt idx="11">
                  <c:v>9.906820488253899</c:v>
                </c:pt>
                <c:pt idx="12">
                  <c:v>9.854027057148556</c:v>
                </c:pt>
                <c:pt idx="13">
                  <c:v>10.08586334711445</c:v>
                </c:pt>
                <c:pt idx="14">
                  <c:v>10.08140126652176</c:v>
                </c:pt>
                <c:pt idx="15">
                  <c:v>9.701991337603981</c:v>
                </c:pt>
                <c:pt idx="16">
                  <c:v>10.0407741863373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spPr>
            <a:ln>
              <a:solidFill>
                <a:srgbClr val="CC7B37"/>
              </a:solidFill>
            </a:ln>
          </c:spPr>
          <c:marker>
            <c:symbol val="circle"/>
            <c:size val="8"/>
            <c:spPr>
              <a:solidFill>
                <a:srgbClr val="CC7B37"/>
              </a:solidFill>
              <a:ln>
                <a:solidFill>
                  <a:srgbClr val="CC7B3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0.049904329017041</c:v>
                  </c:pt>
                  <c:pt idx="1">
                    <c:v>0.0286749399627301</c:v>
                  </c:pt>
                  <c:pt idx="2">
                    <c:v>0.0661245955647967</c:v>
                  </c:pt>
                  <c:pt idx="3">
                    <c:v>0.0803088914837903</c:v>
                  </c:pt>
                  <c:pt idx="4">
                    <c:v>0.0930827837603173</c:v>
                  </c:pt>
                  <c:pt idx="5">
                    <c:v>0.0377523035181228</c:v>
                  </c:pt>
                  <c:pt idx="6">
                    <c:v>0.0546739289222783</c:v>
                  </c:pt>
                  <c:pt idx="7">
                    <c:v>0.0428566913209149</c:v>
                  </c:pt>
                  <c:pt idx="8">
                    <c:v>0.0357682998439936</c:v>
                  </c:pt>
                  <c:pt idx="9">
                    <c:v>0.0253489308622125</c:v>
                  </c:pt>
                  <c:pt idx="10">
                    <c:v>0.0578867120779542</c:v>
                  </c:pt>
                  <c:pt idx="11">
                    <c:v>0.0284658433987858</c:v>
                  </c:pt>
                  <c:pt idx="12">
                    <c:v>0.0803042361301791</c:v>
                  </c:pt>
                  <c:pt idx="13">
                    <c:v>0.0387013921583591</c:v>
                  </c:pt>
                  <c:pt idx="14">
                    <c:v>0.0498062441417152</c:v>
                  </c:pt>
                  <c:pt idx="15">
                    <c:v>0.0372750690619616</c:v>
                  </c:pt>
                  <c:pt idx="16">
                    <c:v>0.135300734381296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0.049904329017041</c:v>
                  </c:pt>
                  <c:pt idx="1">
                    <c:v>0.0286749399627301</c:v>
                  </c:pt>
                  <c:pt idx="2">
                    <c:v>0.0661245955647967</c:v>
                  </c:pt>
                  <c:pt idx="3">
                    <c:v>0.0803088914837903</c:v>
                  </c:pt>
                  <c:pt idx="4">
                    <c:v>0.0930827837603173</c:v>
                  </c:pt>
                  <c:pt idx="5">
                    <c:v>0.0377523035181228</c:v>
                  </c:pt>
                  <c:pt idx="6">
                    <c:v>0.0546739289222783</c:v>
                  </c:pt>
                  <c:pt idx="7">
                    <c:v>0.0428566913209149</c:v>
                  </c:pt>
                  <c:pt idx="8">
                    <c:v>0.0357682998439936</c:v>
                  </c:pt>
                  <c:pt idx="9">
                    <c:v>0.0253489308622125</c:v>
                  </c:pt>
                  <c:pt idx="10">
                    <c:v>0.0578867120779542</c:v>
                  </c:pt>
                  <c:pt idx="11">
                    <c:v>0.0284658433987858</c:v>
                  </c:pt>
                  <c:pt idx="12">
                    <c:v>0.0803042361301791</c:v>
                  </c:pt>
                  <c:pt idx="13">
                    <c:v>0.0387013921583591</c:v>
                  </c:pt>
                  <c:pt idx="14">
                    <c:v>0.0498062441417152</c:v>
                  </c:pt>
                  <c:pt idx="15">
                    <c:v>0.0372750690619616</c:v>
                  </c:pt>
                  <c:pt idx="16">
                    <c:v>0.135300734381296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8.253089840465833</c:v>
                </c:pt>
                <c:pt idx="1">
                  <c:v>8.358011183344974</c:v>
                </c:pt>
                <c:pt idx="2">
                  <c:v>8.473342294284806</c:v>
                </c:pt>
                <c:pt idx="3">
                  <c:v>8.583340832874002</c:v>
                </c:pt>
                <c:pt idx="4">
                  <c:v>9.143521852972182</c:v>
                </c:pt>
                <c:pt idx="5">
                  <c:v>9.578211497199085</c:v>
                </c:pt>
                <c:pt idx="6">
                  <c:v>9.667049420263478</c:v>
                </c:pt>
                <c:pt idx="7">
                  <c:v>9.57883621827078</c:v>
                </c:pt>
                <c:pt idx="8">
                  <c:v>9.682136509837956</c:v>
                </c:pt>
                <c:pt idx="9">
                  <c:v>9.546427523297081</c:v>
                </c:pt>
                <c:pt idx="10">
                  <c:v>9.52522368741794</c:v>
                </c:pt>
                <c:pt idx="11">
                  <c:v>9.554533643787582</c:v>
                </c:pt>
                <c:pt idx="12">
                  <c:v>9.677576023299223</c:v>
                </c:pt>
                <c:pt idx="13">
                  <c:v>9.67863011646326</c:v>
                </c:pt>
                <c:pt idx="14">
                  <c:v>9.486273609774489</c:v>
                </c:pt>
                <c:pt idx="15">
                  <c:v>9.17776360172167</c:v>
                </c:pt>
                <c:pt idx="16">
                  <c:v>8.818969038619588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0.0666734753403586</c:v>
                  </c:pt>
                  <c:pt idx="1">
                    <c:v>0.076208776633854</c:v>
                  </c:pt>
                  <c:pt idx="2">
                    <c:v>0.0612285604725125</c:v>
                  </c:pt>
                  <c:pt idx="3">
                    <c:v>0.0923076480771475</c:v>
                  </c:pt>
                  <c:pt idx="4">
                    <c:v>0.391345171616272</c:v>
                  </c:pt>
                  <c:pt idx="5">
                    <c:v>0.0377976018865341</c:v>
                  </c:pt>
                  <c:pt idx="6">
                    <c:v>0.0303117857801923</c:v>
                  </c:pt>
                  <c:pt idx="7">
                    <c:v>0.0115268029749775</c:v>
                  </c:pt>
                  <c:pt idx="8">
                    <c:v>0.0142454717423657</c:v>
                  </c:pt>
                  <c:pt idx="9">
                    <c:v>0.0167092445198422</c:v>
                  </c:pt>
                  <c:pt idx="10">
                    <c:v>0.0255527537502778</c:v>
                  </c:pt>
                  <c:pt idx="11">
                    <c:v>0.0226523305614299</c:v>
                  </c:pt>
                  <c:pt idx="12">
                    <c:v>0.0516142946875408</c:v>
                  </c:pt>
                  <c:pt idx="13">
                    <c:v>0.0282414303062987</c:v>
                  </c:pt>
                  <c:pt idx="14">
                    <c:v>0.050875083831961</c:v>
                  </c:pt>
                  <c:pt idx="15">
                    <c:v>0.0330565395442961</c:v>
                  </c:pt>
                  <c:pt idx="16">
                    <c:v>0.0893832560172021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0.0666734753403586</c:v>
                  </c:pt>
                  <c:pt idx="1">
                    <c:v>0.076208776633854</c:v>
                  </c:pt>
                  <c:pt idx="2">
                    <c:v>0.0612285604725125</c:v>
                  </c:pt>
                  <c:pt idx="3">
                    <c:v>0.0923076480771475</c:v>
                  </c:pt>
                  <c:pt idx="4">
                    <c:v>0.391345171616272</c:v>
                  </c:pt>
                  <c:pt idx="5">
                    <c:v>0.0377976018865341</c:v>
                  </c:pt>
                  <c:pt idx="6">
                    <c:v>0.0303117857801923</c:v>
                  </c:pt>
                  <c:pt idx="7">
                    <c:v>0.0115268029749775</c:v>
                  </c:pt>
                  <c:pt idx="8">
                    <c:v>0.0142454717423657</c:v>
                  </c:pt>
                  <c:pt idx="9">
                    <c:v>0.0167092445198422</c:v>
                  </c:pt>
                  <c:pt idx="10">
                    <c:v>0.0255527537502778</c:v>
                  </c:pt>
                  <c:pt idx="11">
                    <c:v>0.0226523305614299</c:v>
                  </c:pt>
                  <c:pt idx="12">
                    <c:v>0.0516142946875408</c:v>
                  </c:pt>
                  <c:pt idx="13">
                    <c:v>0.0282414303062987</c:v>
                  </c:pt>
                  <c:pt idx="14">
                    <c:v>0.050875083831961</c:v>
                  </c:pt>
                  <c:pt idx="15">
                    <c:v>0.0330565395442961</c:v>
                  </c:pt>
                  <c:pt idx="16">
                    <c:v>0.0893832560172021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7.62461939071414</c:v>
                </c:pt>
                <c:pt idx="1">
                  <c:v>8.060294612041372</c:v>
                </c:pt>
                <c:pt idx="2">
                  <c:v>8.556193108033158</c:v>
                </c:pt>
                <c:pt idx="3">
                  <c:v>8.731457917898421</c:v>
                </c:pt>
                <c:pt idx="4">
                  <c:v>9.464390582045487</c:v>
                </c:pt>
                <c:pt idx="5">
                  <c:v>9.515135838055005</c:v>
                </c:pt>
                <c:pt idx="6">
                  <c:v>9.677006938779934</c:v>
                </c:pt>
                <c:pt idx="7">
                  <c:v>9.67076864351905</c:v>
                </c:pt>
                <c:pt idx="8">
                  <c:v>9.85054359014469</c:v>
                </c:pt>
                <c:pt idx="9">
                  <c:v>9.840920628373707</c:v>
                </c:pt>
                <c:pt idx="10">
                  <c:v>9.91133773821901</c:v>
                </c:pt>
                <c:pt idx="11">
                  <c:v>9.883048535563515</c:v>
                </c:pt>
                <c:pt idx="12">
                  <c:v>9.936296165879365</c:v>
                </c:pt>
                <c:pt idx="13">
                  <c:v>9.973331317727508</c:v>
                </c:pt>
                <c:pt idx="14">
                  <c:v>10.02143240893285</c:v>
                </c:pt>
                <c:pt idx="15">
                  <c:v>9.869512129013047</c:v>
                </c:pt>
                <c:pt idx="16">
                  <c:v>9.701238331389153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8.34484468743899</c:v>
                </c:pt>
                <c:pt idx="1">
                  <c:v>8.535209728405934</c:v>
                </c:pt>
                <c:pt idx="2">
                  <c:v>8.81777040021076</c:v>
                </c:pt>
                <c:pt idx="3">
                  <c:v>8.964713460176858</c:v>
                </c:pt>
                <c:pt idx="4">
                  <c:v>9.633969106551316</c:v>
                </c:pt>
                <c:pt idx="5">
                  <c:v>9.848847773762005</c:v>
                </c:pt>
                <c:pt idx="6">
                  <c:v>9.97308671285062</c:v>
                </c:pt>
                <c:pt idx="7">
                  <c:v>9.928260455977233</c:v>
                </c:pt>
                <c:pt idx="8">
                  <c:v>10.07548234549696</c:v>
                </c:pt>
                <c:pt idx="9">
                  <c:v>10.01920180157535</c:v>
                </c:pt>
                <c:pt idx="10">
                  <c:v>10.06087760596536</c:v>
                </c:pt>
                <c:pt idx="11">
                  <c:v>10.05017005114152</c:v>
                </c:pt>
                <c:pt idx="12">
                  <c:v>10.1269535324869</c:v>
                </c:pt>
                <c:pt idx="13">
                  <c:v>10.15154243888266</c:v>
                </c:pt>
                <c:pt idx="14">
                  <c:v>10.1325725652731</c:v>
                </c:pt>
                <c:pt idx="15">
                  <c:v>9.9499053242457</c:v>
                </c:pt>
                <c:pt idx="16">
                  <c:v>9.754754173333806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66072"/>
        <c:axId val="-2078972024"/>
      </c:scatterChart>
      <c:valAx>
        <c:axId val="-20789830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8977768"/>
        <c:crosses val="autoZero"/>
        <c:crossBetween val="midCat"/>
        <c:majorUnit val="6.0"/>
      </c:valAx>
      <c:valAx>
        <c:axId val="-20789777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8983080"/>
        <c:crosses val="autoZero"/>
        <c:crossBetween val="midCat"/>
      </c:valAx>
      <c:valAx>
        <c:axId val="-2078972024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8966072"/>
        <c:crosses val="max"/>
        <c:crossBetween val="midCat"/>
        <c:majorUnit val="1.0"/>
        <c:minorUnit val="0.2"/>
      </c:valAx>
      <c:valAx>
        <c:axId val="-207896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89720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0.025684701436327</c:v>
                  </c:pt>
                  <c:pt idx="1">
                    <c:v>0.0463630797696929</c:v>
                  </c:pt>
                  <c:pt idx="2">
                    <c:v>0.0680871342138194</c:v>
                  </c:pt>
                  <c:pt idx="3">
                    <c:v>0.0258039298525478</c:v>
                  </c:pt>
                  <c:pt idx="4">
                    <c:v>0.022548181821758</c:v>
                  </c:pt>
                  <c:pt idx="5">
                    <c:v>0.16381683345983</c:v>
                  </c:pt>
                  <c:pt idx="6">
                    <c:v>0.0136164864294131</c:v>
                  </c:pt>
                  <c:pt idx="7">
                    <c:v>0.247395643048686</c:v>
                  </c:pt>
                  <c:pt idx="8">
                    <c:v>0.0476465552384396</c:v>
                  </c:pt>
                  <c:pt idx="9">
                    <c:v>0.149004680711242</c:v>
                  </c:pt>
                  <c:pt idx="10">
                    <c:v>0.10758999760111</c:v>
                  </c:pt>
                  <c:pt idx="11">
                    <c:v>0.0551473391758591</c:v>
                  </c:pt>
                  <c:pt idx="12">
                    <c:v>0.0551473391758591</c:v>
                  </c:pt>
                  <c:pt idx="13">
                    <c:v>0.0137868347939648</c:v>
                  </c:pt>
                  <c:pt idx="14">
                    <c:v>0.216879618832251</c:v>
                  </c:pt>
                  <c:pt idx="15">
                    <c:v>0.0904908134954834</c:v>
                  </c:pt>
                  <c:pt idx="16">
                    <c:v>0.107779256207493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0.025684701436327</c:v>
                  </c:pt>
                  <c:pt idx="1">
                    <c:v>0.0463630797696929</c:v>
                  </c:pt>
                  <c:pt idx="2">
                    <c:v>0.0680871342138194</c:v>
                  </c:pt>
                  <c:pt idx="3">
                    <c:v>0.0258039298525478</c:v>
                  </c:pt>
                  <c:pt idx="4">
                    <c:v>0.022548181821758</c:v>
                  </c:pt>
                  <c:pt idx="5">
                    <c:v>0.16381683345983</c:v>
                  </c:pt>
                  <c:pt idx="6">
                    <c:v>0.0136164864294131</c:v>
                  </c:pt>
                  <c:pt idx="7">
                    <c:v>0.247395643048686</c:v>
                  </c:pt>
                  <c:pt idx="8">
                    <c:v>0.0476465552384396</c:v>
                  </c:pt>
                  <c:pt idx="9">
                    <c:v>0.149004680711242</c:v>
                  </c:pt>
                  <c:pt idx="10">
                    <c:v>0.10758999760111</c:v>
                  </c:pt>
                  <c:pt idx="11">
                    <c:v>0.0551473391758591</c:v>
                  </c:pt>
                  <c:pt idx="12">
                    <c:v>0.0551473391758591</c:v>
                  </c:pt>
                  <c:pt idx="13">
                    <c:v>0.0137868347939648</c:v>
                  </c:pt>
                  <c:pt idx="14">
                    <c:v>0.216879618832251</c:v>
                  </c:pt>
                  <c:pt idx="15">
                    <c:v>0.0904908134954834</c:v>
                  </c:pt>
                  <c:pt idx="16">
                    <c:v>0.107779256207493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0.593162771532741</c:v>
                </c:pt>
                <c:pt idx="1">
                  <c:v>0.638466955668546</c:v>
                </c:pt>
                <c:pt idx="2">
                  <c:v>0.653744554335599</c:v>
                </c:pt>
                <c:pt idx="3">
                  <c:v>0.856629586174823</c:v>
                </c:pt>
                <c:pt idx="4">
                  <c:v>1.66856545481009</c:v>
                </c:pt>
                <c:pt idx="5">
                  <c:v>4.002328850662631</c:v>
                </c:pt>
                <c:pt idx="6">
                  <c:v>7.248286501214302</c:v>
                </c:pt>
                <c:pt idx="7">
                  <c:v>7.355947967190729</c:v>
                </c:pt>
                <c:pt idx="8">
                  <c:v>7.21845311862359</c:v>
                </c:pt>
                <c:pt idx="9">
                  <c:v>7.89760850653114</c:v>
                </c:pt>
                <c:pt idx="10">
                  <c:v>7.627196936317587</c:v>
                </c:pt>
                <c:pt idx="11">
                  <c:v>7.346925655541686</c:v>
                </c:pt>
                <c:pt idx="12">
                  <c:v>7.338965822762118</c:v>
                </c:pt>
                <c:pt idx="13">
                  <c:v>7.514082143912623</c:v>
                </c:pt>
                <c:pt idx="14">
                  <c:v>7.377693756827944</c:v>
                </c:pt>
                <c:pt idx="15">
                  <c:v>7.298021038071703</c:v>
                </c:pt>
                <c:pt idx="16">
                  <c:v>7.65654827247479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0.0333672579889692</c:v>
                  </c:pt>
                  <c:pt idx="1">
                    <c:v>0.0883945754326638</c:v>
                  </c:pt>
                  <c:pt idx="2">
                    <c:v>0.117409237407793</c:v>
                  </c:pt>
                  <c:pt idx="3">
                    <c:v>0.0580620649737927</c:v>
                  </c:pt>
                  <c:pt idx="4">
                    <c:v>0.273397350987709</c:v>
                  </c:pt>
                  <c:pt idx="5">
                    <c:v>0.955098277070991</c:v>
                  </c:pt>
                  <c:pt idx="6">
                    <c:v>0.0353786332085546</c:v>
                  </c:pt>
                  <c:pt idx="7">
                    <c:v>1.207309589267547</c:v>
                  </c:pt>
                  <c:pt idx="8">
                    <c:v>0.185694379769367</c:v>
                  </c:pt>
                  <c:pt idx="9">
                    <c:v>0.894077711138631</c:v>
                  </c:pt>
                  <c:pt idx="10">
                    <c:v>0.730303808177309</c:v>
                  </c:pt>
                  <c:pt idx="11">
                    <c:v>0.203688169093575</c:v>
                  </c:pt>
                  <c:pt idx="12">
                    <c:v>0.415176210288242</c:v>
                  </c:pt>
                  <c:pt idx="13">
                    <c:v>0.0745678486431513</c:v>
                  </c:pt>
                  <c:pt idx="14">
                    <c:v>1.140796096300663</c:v>
                  </c:pt>
                  <c:pt idx="15">
                    <c:v>0.374334199771231</c:v>
                  </c:pt>
                  <c:pt idx="16">
                    <c:v>0.724525499199879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0.0333672579889692</c:v>
                  </c:pt>
                  <c:pt idx="1">
                    <c:v>0.0883945754326638</c:v>
                  </c:pt>
                  <c:pt idx="2">
                    <c:v>0.117409237407793</c:v>
                  </c:pt>
                  <c:pt idx="3">
                    <c:v>0.0580620649737927</c:v>
                  </c:pt>
                  <c:pt idx="4">
                    <c:v>0.273397350987709</c:v>
                  </c:pt>
                  <c:pt idx="5">
                    <c:v>0.955098277070991</c:v>
                  </c:pt>
                  <c:pt idx="6">
                    <c:v>0.0353786332085546</c:v>
                  </c:pt>
                  <c:pt idx="7">
                    <c:v>1.207309589267547</c:v>
                  </c:pt>
                  <c:pt idx="8">
                    <c:v>0.185694379769367</c:v>
                  </c:pt>
                  <c:pt idx="9">
                    <c:v>0.894077711138631</c:v>
                  </c:pt>
                  <c:pt idx="10">
                    <c:v>0.730303808177309</c:v>
                  </c:pt>
                  <c:pt idx="11">
                    <c:v>0.203688169093575</c:v>
                  </c:pt>
                  <c:pt idx="12">
                    <c:v>0.415176210288242</c:v>
                  </c:pt>
                  <c:pt idx="13">
                    <c:v>0.0745678486431513</c:v>
                  </c:pt>
                  <c:pt idx="14">
                    <c:v>1.140796096300663</c:v>
                  </c:pt>
                  <c:pt idx="15">
                    <c:v>0.374334199771231</c:v>
                  </c:pt>
                  <c:pt idx="16">
                    <c:v>0.724525499199879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1.868566447382274</c:v>
                </c:pt>
                <c:pt idx="1">
                  <c:v>2.205060601938555</c:v>
                </c:pt>
                <c:pt idx="2">
                  <c:v>2.930869802919319</c:v>
                </c:pt>
                <c:pt idx="3">
                  <c:v>5.028322326348713</c:v>
                </c:pt>
                <c:pt idx="4">
                  <c:v>10.64333259099493</c:v>
                </c:pt>
                <c:pt idx="5">
                  <c:v>30.35396141546008</c:v>
                </c:pt>
                <c:pt idx="6">
                  <c:v>46.8766890013348</c:v>
                </c:pt>
                <c:pt idx="7">
                  <c:v>47.6020530849477</c:v>
                </c:pt>
                <c:pt idx="8">
                  <c:v>46.7796021640727</c:v>
                </c:pt>
                <c:pt idx="9">
                  <c:v>51.00324846778557</c:v>
                </c:pt>
                <c:pt idx="10">
                  <c:v>49.13014671119087</c:v>
                </c:pt>
                <c:pt idx="11">
                  <c:v>47.33179291606827</c:v>
                </c:pt>
                <c:pt idx="12">
                  <c:v>47.4153757996234</c:v>
                </c:pt>
                <c:pt idx="13">
                  <c:v>48.01239639644565</c:v>
                </c:pt>
                <c:pt idx="14">
                  <c:v>47.59115651814945</c:v>
                </c:pt>
                <c:pt idx="15">
                  <c:v>47.04138424295235</c:v>
                </c:pt>
                <c:pt idx="16">
                  <c:v>50.57904931813372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0.0251322822657433</c:v>
                  </c:pt>
                  <c:pt idx="1">
                    <c:v>0.0251644824992677</c:v>
                  </c:pt>
                  <c:pt idx="2">
                    <c:v>0.0436148184888443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0.0251322822657433</c:v>
                  </c:pt>
                  <c:pt idx="1">
                    <c:v>0.0251644824992677</c:v>
                  </c:pt>
                  <c:pt idx="2">
                    <c:v>0.0436148184888443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1.01570909520336</c:v>
                </c:pt>
                <c:pt idx="1">
                  <c:v>0.842665803208249</c:v>
                </c:pt>
                <c:pt idx="2">
                  <c:v>0.523377821866131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0.0870411812247022</c:v>
                </c:pt>
                <c:pt idx="2">
                  <c:v>0.278253268500276</c:v>
                </c:pt>
                <c:pt idx="3">
                  <c:v>0.50442350792132</c:v>
                </c:pt>
                <c:pt idx="4">
                  <c:v>0.753475449894856</c:v>
                </c:pt>
                <c:pt idx="5">
                  <c:v>1.02475964118384</c:v>
                </c:pt>
                <c:pt idx="6">
                  <c:v>1.324320920742698</c:v>
                </c:pt>
                <c:pt idx="7">
                  <c:v>1.653556688629647</c:v>
                </c:pt>
                <c:pt idx="8">
                  <c:v>2.02953060572884</c:v>
                </c:pt>
                <c:pt idx="9">
                  <c:v>2.48484064977369</c:v>
                </c:pt>
                <c:pt idx="10">
                  <c:v>3.089009429444641</c:v>
                </c:pt>
                <c:pt idx="11">
                  <c:v>3.920910125751748</c:v>
                </c:pt>
                <c:pt idx="12">
                  <c:v>5.060234288211474</c:v>
                </c:pt>
                <c:pt idx="13">
                  <c:v>6.549650571142923</c:v>
                </c:pt>
                <c:pt idx="14">
                  <c:v>8.442412850141135</c:v>
                </c:pt>
                <c:pt idx="15">
                  <c:v>10.81610356874476</c:v>
                </c:pt>
                <c:pt idx="16">
                  <c:v>13.6437483442395</c:v>
                </c:pt>
                <c:pt idx="17">
                  <c:v>16.74258524112805</c:v>
                </c:pt>
                <c:pt idx="18">
                  <c:v>19.70240830122642</c:v>
                </c:pt>
                <c:pt idx="19">
                  <c:v>22.28369740486205</c:v>
                </c:pt>
                <c:pt idx="20">
                  <c:v>24.47139519455138</c:v>
                </c:pt>
                <c:pt idx="21">
                  <c:v>26.418310689673</c:v>
                </c:pt>
                <c:pt idx="22">
                  <c:v>28.23281053710422</c:v>
                </c:pt>
                <c:pt idx="23">
                  <c:v>29.85502138185166</c:v>
                </c:pt>
                <c:pt idx="24">
                  <c:v>31.30045073713881</c:v>
                </c:pt>
                <c:pt idx="25">
                  <c:v>32.54408391829791</c:v>
                </c:pt>
                <c:pt idx="26">
                  <c:v>33.62651833630664</c:v>
                </c:pt>
                <c:pt idx="27">
                  <c:v>34.57832842547072</c:v>
                </c:pt>
                <c:pt idx="28">
                  <c:v>35.40466485098997</c:v>
                </c:pt>
                <c:pt idx="29">
                  <c:v>36.1206047598882</c:v>
                </c:pt>
                <c:pt idx="30">
                  <c:v>36.72955671197622</c:v>
                </c:pt>
                <c:pt idx="31">
                  <c:v>37.25903195465202</c:v>
                </c:pt>
                <c:pt idx="32">
                  <c:v>37.72007141504495</c:v>
                </c:pt>
                <c:pt idx="33">
                  <c:v>38.11254366301051</c:v>
                </c:pt>
                <c:pt idx="34">
                  <c:v>38.45154956773819</c:v>
                </c:pt>
                <c:pt idx="35">
                  <c:v>38.74554133782078</c:v>
                </c:pt>
                <c:pt idx="36">
                  <c:v>39.00178884665154</c:v>
                </c:pt>
                <c:pt idx="37">
                  <c:v>39.22692546310785</c:v>
                </c:pt>
                <c:pt idx="38">
                  <c:v>39.42110788277422</c:v>
                </c:pt>
                <c:pt idx="39">
                  <c:v>39.5885172711867</c:v>
                </c:pt>
                <c:pt idx="40">
                  <c:v>39.73513045049105</c:v>
                </c:pt>
                <c:pt idx="41">
                  <c:v>39.86631778164195</c:v>
                </c:pt>
                <c:pt idx="42">
                  <c:v>39.98603217678502</c:v>
                </c:pt>
                <c:pt idx="43">
                  <c:v>40.09627381895673</c:v>
                </c:pt>
                <c:pt idx="44">
                  <c:v>40.19870407015254</c:v>
                </c:pt>
                <c:pt idx="45">
                  <c:v>40.29402335033965</c:v>
                </c:pt>
                <c:pt idx="46">
                  <c:v>40.38256288793074</c:v>
                </c:pt>
                <c:pt idx="47">
                  <c:v>40.46652739238905</c:v>
                </c:pt>
                <c:pt idx="48">
                  <c:v>40.54966747436073</c:v>
                </c:pt>
                <c:pt idx="49">
                  <c:v>40.63262704075382</c:v>
                </c:pt>
                <c:pt idx="50">
                  <c:v>40.71309287762814</c:v>
                </c:pt>
                <c:pt idx="51">
                  <c:v>40.7902696874615</c:v>
                </c:pt>
                <c:pt idx="52">
                  <c:v>40.86231026320294</c:v>
                </c:pt>
                <c:pt idx="53">
                  <c:v>40.92958754097871</c:v>
                </c:pt>
                <c:pt idx="54">
                  <c:v>40.99529918596753</c:v>
                </c:pt>
                <c:pt idx="55">
                  <c:v>41.0603478333986</c:v>
                </c:pt>
                <c:pt idx="56">
                  <c:v>41.12431112187596</c:v>
                </c:pt>
                <c:pt idx="57">
                  <c:v>41.1870317891777</c:v>
                </c:pt>
                <c:pt idx="58">
                  <c:v>41.24894917103486</c:v>
                </c:pt>
                <c:pt idx="59">
                  <c:v>41.31058497862804</c:v>
                </c:pt>
                <c:pt idx="60">
                  <c:v>41.3742521628894</c:v>
                </c:pt>
                <c:pt idx="61">
                  <c:v>41.44053759141654</c:v>
                </c:pt>
                <c:pt idx="62">
                  <c:v>41.50854826290818</c:v>
                </c:pt>
                <c:pt idx="63">
                  <c:v>41.57823140150123</c:v>
                </c:pt>
                <c:pt idx="64">
                  <c:v>41.64860643165943</c:v>
                </c:pt>
                <c:pt idx="65">
                  <c:v>41.71934930958338</c:v>
                </c:pt>
                <c:pt idx="66">
                  <c:v>41.79009218750732</c:v>
                </c:pt>
                <c:pt idx="67">
                  <c:v>41.86274449615797</c:v>
                </c:pt>
                <c:pt idx="68">
                  <c:v>41.93950435023312</c:v>
                </c:pt>
                <c:pt idx="69">
                  <c:v>42.02129954940594</c:v>
                </c:pt>
                <c:pt idx="70">
                  <c:v>42.11219330737594</c:v>
                </c:pt>
                <c:pt idx="71">
                  <c:v>42.21558386196766</c:v>
                </c:pt>
                <c:pt idx="72">
                  <c:v>42.33803072520487</c:v>
                </c:pt>
                <c:pt idx="73">
                  <c:v>42.48409689821059</c:v>
                </c:pt>
                <c:pt idx="74">
                  <c:v>42.63843041016977</c:v>
                </c:pt>
                <c:pt idx="75">
                  <c:v>42.78835027669852</c:v>
                </c:pt>
                <c:pt idx="76">
                  <c:v>42.9351700890292</c:v>
                </c:pt>
                <c:pt idx="77">
                  <c:v>43.08100879806498</c:v>
                </c:pt>
                <c:pt idx="78">
                  <c:v>43.22889679386466</c:v>
                </c:pt>
                <c:pt idx="79">
                  <c:v>43.3729838720044</c:v>
                </c:pt>
                <c:pt idx="80">
                  <c:v>43.50413611385875</c:v>
                </c:pt>
                <c:pt idx="81">
                  <c:v>43.61955112109751</c:v>
                </c:pt>
                <c:pt idx="82">
                  <c:v>43.72147081238482</c:v>
                </c:pt>
                <c:pt idx="83">
                  <c:v>43.81236509811346</c:v>
                </c:pt>
                <c:pt idx="84">
                  <c:v>43.89411649331991</c:v>
                </c:pt>
                <c:pt idx="85">
                  <c:v>43.97032431186711</c:v>
                </c:pt>
                <c:pt idx="86">
                  <c:v>44.04245097292135</c:v>
                </c:pt>
                <c:pt idx="87">
                  <c:v>44.11068066424483</c:v>
                </c:pt>
                <c:pt idx="88">
                  <c:v>44.1769222888056</c:v>
                </c:pt>
                <c:pt idx="89">
                  <c:v>44.24302352957056</c:v>
                </c:pt>
                <c:pt idx="90">
                  <c:v>44.30666435959812</c:v>
                </c:pt>
                <c:pt idx="91">
                  <c:v>44.36680245559223</c:v>
                </c:pt>
                <c:pt idx="92">
                  <c:v>44.4229554461642</c:v>
                </c:pt>
                <c:pt idx="93">
                  <c:v>44.47458079544147</c:v>
                </c:pt>
                <c:pt idx="94">
                  <c:v>44.52420066192121</c:v>
                </c:pt>
                <c:pt idx="95">
                  <c:v>44.57407438030242</c:v>
                </c:pt>
                <c:pt idx="96">
                  <c:v>44.6257256801262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0.0651678124397639</c:v>
                  </c:pt>
                  <c:pt idx="1">
                    <c:v>1.087367625412939</c:v>
                  </c:pt>
                  <c:pt idx="2">
                    <c:v>2.292079251453768</c:v>
                  </c:pt>
                  <c:pt idx="3">
                    <c:v>0.47854812359111</c:v>
                  </c:pt>
                  <c:pt idx="4">
                    <c:v>0.104754041448673</c:v>
                  </c:pt>
                  <c:pt idx="5">
                    <c:v>0.548406147660115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0.0651678124397639</c:v>
                  </c:pt>
                  <c:pt idx="1">
                    <c:v>1.087367625412939</c:v>
                  </c:pt>
                  <c:pt idx="2">
                    <c:v>2.292079251453768</c:v>
                  </c:pt>
                  <c:pt idx="3">
                    <c:v>0.47854812359111</c:v>
                  </c:pt>
                  <c:pt idx="4">
                    <c:v>0.104754041448673</c:v>
                  </c:pt>
                  <c:pt idx="5">
                    <c:v>0.548406147660115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47.89789380126886</c:v>
                </c:pt>
                <c:pt idx="1">
                  <c:v>47.265114805393</c:v>
                </c:pt>
                <c:pt idx="2">
                  <c:v>45.69154410728522</c:v>
                </c:pt>
                <c:pt idx="3">
                  <c:v>45.1108589032585</c:v>
                </c:pt>
                <c:pt idx="4">
                  <c:v>38.06884697573471</c:v>
                </c:pt>
                <c:pt idx="5">
                  <c:v>16.6173615165012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0.0347373530334342</c:v>
                  </c:pt>
                  <c:pt idx="1">
                    <c:v>0.249779837241908</c:v>
                  </c:pt>
                  <c:pt idx="2">
                    <c:v>0.297371720656857</c:v>
                  </c:pt>
                  <c:pt idx="3">
                    <c:v>0.0527617296814777</c:v>
                  </c:pt>
                  <c:pt idx="4">
                    <c:v>0.0133092651448773</c:v>
                  </c:pt>
                  <c:pt idx="5">
                    <c:v>0.50977917102206</c:v>
                  </c:pt>
                  <c:pt idx="6">
                    <c:v>0.0974465064457007</c:v>
                  </c:pt>
                  <c:pt idx="7">
                    <c:v>0.746318592672384</c:v>
                  </c:pt>
                  <c:pt idx="8">
                    <c:v>0.112495214367398</c:v>
                  </c:pt>
                  <c:pt idx="9">
                    <c:v>0.504062885791519</c:v>
                  </c:pt>
                  <c:pt idx="10">
                    <c:v>0.331186573750505</c:v>
                  </c:pt>
                  <c:pt idx="11">
                    <c:v>0.122067030436419</c:v>
                  </c:pt>
                  <c:pt idx="12">
                    <c:v>0.173203323596072</c:v>
                  </c:pt>
                  <c:pt idx="13">
                    <c:v>0.0857370644878047</c:v>
                  </c:pt>
                  <c:pt idx="14">
                    <c:v>0.650817545653661</c:v>
                  </c:pt>
                  <c:pt idx="15">
                    <c:v>0.342107112965172</c:v>
                  </c:pt>
                  <c:pt idx="16">
                    <c:v>0.454758907745567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0.0347373530334342</c:v>
                  </c:pt>
                  <c:pt idx="1">
                    <c:v>0.249779837241908</c:v>
                  </c:pt>
                  <c:pt idx="2">
                    <c:v>0.297371720656857</c:v>
                  </c:pt>
                  <c:pt idx="3">
                    <c:v>0.0527617296814777</c:v>
                  </c:pt>
                  <c:pt idx="4">
                    <c:v>0.0133092651448773</c:v>
                  </c:pt>
                  <c:pt idx="5">
                    <c:v>0.50977917102206</c:v>
                  </c:pt>
                  <c:pt idx="6">
                    <c:v>0.0974465064457007</c:v>
                  </c:pt>
                  <c:pt idx="7">
                    <c:v>0.746318592672384</c:v>
                  </c:pt>
                  <c:pt idx="8">
                    <c:v>0.112495214367398</c:v>
                  </c:pt>
                  <c:pt idx="9">
                    <c:v>0.504062885791519</c:v>
                  </c:pt>
                  <c:pt idx="10">
                    <c:v>0.331186573750505</c:v>
                  </c:pt>
                  <c:pt idx="11">
                    <c:v>0.122067030436419</c:v>
                  </c:pt>
                  <c:pt idx="12">
                    <c:v>0.173203323596072</c:v>
                  </c:pt>
                  <c:pt idx="13">
                    <c:v>0.0857370644878047</c:v>
                  </c:pt>
                  <c:pt idx="14">
                    <c:v>0.650817545653661</c:v>
                  </c:pt>
                  <c:pt idx="15">
                    <c:v>0.342107112965172</c:v>
                  </c:pt>
                  <c:pt idx="16">
                    <c:v>0.454758907745567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2.016362963096135</c:v>
                </c:pt>
                <c:pt idx="1">
                  <c:v>2.648918380955002</c:v>
                </c:pt>
                <c:pt idx="2">
                  <c:v>3.045600681389335</c:v>
                </c:pt>
                <c:pt idx="3">
                  <c:v>4.218986838579833</c:v>
                </c:pt>
                <c:pt idx="4">
                  <c:v>7.614950843783992</c:v>
                </c:pt>
                <c:pt idx="5">
                  <c:v>15.99742124289597</c:v>
                </c:pt>
                <c:pt idx="6">
                  <c:v>23.08298886326513</c:v>
                </c:pt>
                <c:pt idx="7">
                  <c:v>23.76191633262702</c:v>
                </c:pt>
                <c:pt idx="8">
                  <c:v>23.83633522320521</c:v>
                </c:pt>
                <c:pt idx="9">
                  <c:v>26.02766470311941</c:v>
                </c:pt>
                <c:pt idx="10">
                  <c:v>25.45848740564414</c:v>
                </c:pt>
                <c:pt idx="11">
                  <c:v>24.60871333598212</c:v>
                </c:pt>
                <c:pt idx="12">
                  <c:v>24.59243773192393</c:v>
                </c:pt>
                <c:pt idx="13">
                  <c:v>25.34925332062973</c:v>
                </c:pt>
                <c:pt idx="14">
                  <c:v>25.73948754690343</c:v>
                </c:pt>
                <c:pt idx="15">
                  <c:v>26.24450280889963</c:v>
                </c:pt>
                <c:pt idx="16">
                  <c:v>27.84914807685531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0.15907571150414</c:v>
                </c:pt>
                <c:pt idx="2">
                  <c:v>0.649711207433956</c:v>
                </c:pt>
                <c:pt idx="3">
                  <c:v>1.374744119192438</c:v>
                </c:pt>
                <c:pt idx="4">
                  <c:v>2.113823058748616</c:v>
                </c:pt>
                <c:pt idx="5">
                  <c:v>2.808920455416811</c:v>
                </c:pt>
                <c:pt idx="6">
                  <c:v>3.51839956834374</c:v>
                </c:pt>
                <c:pt idx="7">
                  <c:v>4.2831139530032</c:v>
                </c:pt>
                <c:pt idx="8">
                  <c:v>5.215184347177582</c:v>
                </c:pt>
                <c:pt idx="9">
                  <c:v>6.458426218715472</c:v>
                </c:pt>
                <c:pt idx="10">
                  <c:v>8.26324966846116</c:v>
                </c:pt>
                <c:pt idx="11">
                  <c:v>10.81501796411585</c:v>
                </c:pt>
                <c:pt idx="12">
                  <c:v>14.11314754379296</c:v>
                </c:pt>
                <c:pt idx="13">
                  <c:v>17.828613912289</c:v>
                </c:pt>
                <c:pt idx="14">
                  <c:v>21.78318826409843</c:v>
                </c:pt>
                <c:pt idx="15">
                  <c:v>25.68886041739362</c:v>
                </c:pt>
                <c:pt idx="16">
                  <c:v>29.25014295713434</c:v>
                </c:pt>
                <c:pt idx="17">
                  <c:v>31.54116774553738</c:v>
                </c:pt>
                <c:pt idx="18">
                  <c:v>32.21595679935734</c:v>
                </c:pt>
                <c:pt idx="19">
                  <c:v>32.35679254244691</c:v>
                </c:pt>
                <c:pt idx="20">
                  <c:v>32.38385925013339</c:v>
                </c:pt>
                <c:pt idx="21">
                  <c:v>32.3960328392077</c:v>
                </c:pt>
                <c:pt idx="22">
                  <c:v>32.41694011949873</c:v>
                </c:pt>
                <c:pt idx="23">
                  <c:v>32.43376013531172</c:v>
                </c:pt>
                <c:pt idx="24">
                  <c:v>32.45001636910947</c:v>
                </c:pt>
                <c:pt idx="25">
                  <c:v>32.46546397044759</c:v>
                </c:pt>
                <c:pt idx="26">
                  <c:v>32.48346428888995</c:v>
                </c:pt>
                <c:pt idx="27">
                  <c:v>32.50346449140807</c:v>
                </c:pt>
                <c:pt idx="28">
                  <c:v>32.52233345150447</c:v>
                </c:pt>
                <c:pt idx="29">
                  <c:v>32.5401375440324</c:v>
                </c:pt>
                <c:pt idx="30">
                  <c:v>32.55797172586536</c:v>
                </c:pt>
                <c:pt idx="31">
                  <c:v>32.5784531950071</c:v>
                </c:pt>
                <c:pt idx="32">
                  <c:v>32.59880002396277</c:v>
                </c:pt>
                <c:pt idx="33">
                  <c:v>32.61821052634431</c:v>
                </c:pt>
                <c:pt idx="34">
                  <c:v>32.64106610399951</c:v>
                </c:pt>
                <c:pt idx="35">
                  <c:v>32.66751624820548</c:v>
                </c:pt>
                <c:pt idx="36">
                  <c:v>32.69481890094237</c:v>
                </c:pt>
                <c:pt idx="37">
                  <c:v>32.72374918773217</c:v>
                </c:pt>
                <c:pt idx="38">
                  <c:v>32.75482344295823</c:v>
                </c:pt>
                <c:pt idx="39">
                  <c:v>32.78593186501195</c:v>
                </c:pt>
                <c:pt idx="40">
                  <c:v>32.81578133437392</c:v>
                </c:pt>
                <c:pt idx="41">
                  <c:v>32.84838740237382</c:v>
                </c:pt>
                <c:pt idx="42">
                  <c:v>32.88317160563764</c:v>
                </c:pt>
                <c:pt idx="43">
                  <c:v>32.91502885066446</c:v>
                </c:pt>
                <c:pt idx="44">
                  <c:v>32.94569500211557</c:v>
                </c:pt>
                <c:pt idx="45">
                  <c:v>32.97625912762295</c:v>
                </c:pt>
                <c:pt idx="46">
                  <c:v>33.00699313819013</c:v>
                </c:pt>
                <c:pt idx="47">
                  <c:v>33.03919062787581</c:v>
                </c:pt>
                <c:pt idx="48">
                  <c:v>33.07292850001119</c:v>
                </c:pt>
                <c:pt idx="49">
                  <c:v>33.10741136244587</c:v>
                </c:pt>
                <c:pt idx="50">
                  <c:v>33.14225218365231</c:v>
                </c:pt>
                <c:pt idx="51">
                  <c:v>33.17959921550624</c:v>
                </c:pt>
                <c:pt idx="52">
                  <c:v>33.21547796737725</c:v>
                </c:pt>
                <c:pt idx="53">
                  <c:v>33.24902923836408</c:v>
                </c:pt>
                <c:pt idx="54">
                  <c:v>33.28304630507483</c:v>
                </c:pt>
                <c:pt idx="55">
                  <c:v>33.31595354981958</c:v>
                </c:pt>
                <c:pt idx="56">
                  <c:v>33.34807298571935</c:v>
                </c:pt>
                <c:pt idx="57">
                  <c:v>33.38280646921878</c:v>
                </c:pt>
                <c:pt idx="58">
                  <c:v>33.41818447820544</c:v>
                </c:pt>
                <c:pt idx="59">
                  <c:v>33.45109172295018</c:v>
                </c:pt>
                <c:pt idx="60">
                  <c:v>33.48865545882278</c:v>
                </c:pt>
                <c:pt idx="61">
                  <c:v>33.5299525716928</c:v>
                </c:pt>
                <c:pt idx="62">
                  <c:v>33.57003847850484</c:v>
                </c:pt>
                <c:pt idx="63">
                  <c:v>33.60929158219729</c:v>
                </c:pt>
                <c:pt idx="64">
                  <c:v>33.64971789332628</c:v>
                </c:pt>
                <c:pt idx="65">
                  <c:v>33.6924536762242</c:v>
                </c:pt>
                <c:pt idx="66">
                  <c:v>33.73958041093144</c:v>
                </c:pt>
                <c:pt idx="67">
                  <c:v>33.78704754995563</c:v>
                </c:pt>
                <c:pt idx="68">
                  <c:v>33.83167587530406</c:v>
                </c:pt>
                <c:pt idx="69">
                  <c:v>33.88217129335251</c:v>
                </c:pt>
                <c:pt idx="70">
                  <c:v>33.94799704411211</c:v>
                </c:pt>
                <c:pt idx="71">
                  <c:v>34.04486186323242</c:v>
                </c:pt>
                <c:pt idx="72">
                  <c:v>34.19725586222294</c:v>
                </c:pt>
                <c:pt idx="73">
                  <c:v>34.3749353049798</c:v>
                </c:pt>
                <c:pt idx="74">
                  <c:v>34.49606329939834</c:v>
                </c:pt>
                <c:pt idx="75">
                  <c:v>34.55791449990843</c:v>
                </c:pt>
                <c:pt idx="76">
                  <c:v>34.60303469630089</c:v>
                </c:pt>
                <c:pt idx="77">
                  <c:v>34.64255273482605</c:v>
                </c:pt>
                <c:pt idx="78">
                  <c:v>34.67961036261384</c:v>
                </c:pt>
                <c:pt idx="79">
                  <c:v>34.7141315824214</c:v>
                </c:pt>
                <c:pt idx="80">
                  <c:v>34.748312397912</c:v>
                </c:pt>
                <c:pt idx="81">
                  <c:v>34.78529455621557</c:v>
                </c:pt>
                <c:pt idx="82">
                  <c:v>34.82186031295933</c:v>
                </c:pt>
                <c:pt idx="83">
                  <c:v>34.85274791459295</c:v>
                </c:pt>
                <c:pt idx="84">
                  <c:v>34.88480872366313</c:v>
                </c:pt>
                <c:pt idx="85">
                  <c:v>34.92039021056021</c:v>
                </c:pt>
                <c:pt idx="86">
                  <c:v>34.95642609763853</c:v>
                </c:pt>
                <c:pt idx="87">
                  <c:v>34.99624706961784</c:v>
                </c:pt>
                <c:pt idx="88">
                  <c:v>35.03992912374103</c:v>
                </c:pt>
                <c:pt idx="89">
                  <c:v>35.08486038254361</c:v>
                </c:pt>
                <c:pt idx="90">
                  <c:v>35.1283909699397</c:v>
                </c:pt>
                <c:pt idx="91">
                  <c:v>35.16915821314428</c:v>
                </c:pt>
                <c:pt idx="92">
                  <c:v>35.20651877438622</c:v>
                </c:pt>
                <c:pt idx="93">
                  <c:v>35.24289506578148</c:v>
                </c:pt>
                <c:pt idx="94">
                  <c:v>35.28139083583854</c:v>
                </c:pt>
                <c:pt idx="95">
                  <c:v>35.32007607124411</c:v>
                </c:pt>
                <c:pt idx="96">
                  <c:v>35.35449635996526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52696"/>
        <c:axId val="-209666629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9939.0</c:v>
                </c:pt>
                <c:pt idx="1">
                  <c:v>10834.0</c:v>
                </c:pt>
                <c:pt idx="2">
                  <c:v>20273.0</c:v>
                </c:pt>
                <c:pt idx="3">
                  <c:v>4047.0</c:v>
                </c:pt>
                <c:pt idx="4">
                  <c:v>12554.0</c:v>
                </c:pt>
                <c:pt idx="5">
                  <c:v>33367.0</c:v>
                </c:pt>
                <c:pt idx="6">
                  <c:v>4771.0</c:v>
                </c:pt>
                <c:pt idx="7">
                  <c:v>4922.0</c:v>
                </c:pt>
                <c:pt idx="8">
                  <c:v>5291.0</c:v>
                </c:pt>
                <c:pt idx="9">
                  <c:v>5201.0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0.00924164575891835</c:v>
                  </c:pt>
                  <c:pt idx="4">
                    <c:v>0.0402833999351261</c:v>
                  </c:pt>
                  <c:pt idx="5">
                    <c:v>0.032014</c:v>
                  </c:pt>
                  <c:pt idx="6">
                    <c:v>0.176319363500817</c:v>
                  </c:pt>
                  <c:pt idx="7">
                    <c:v>0.0666424553069088</c:v>
                  </c:pt>
                  <c:pt idx="8">
                    <c:v>0.580975456064483</c:v>
                  </c:pt>
                  <c:pt idx="9">
                    <c:v>0.157921311954192</c:v>
                  </c:pt>
                  <c:pt idx="10">
                    <c:v>0.16007</c:v>
                  </c:pt>
                  <c:pt idx="11">
                    <c:v>0.209929836917004</c:v>
                  </c:pt>
                  <c:pt idx="12">
                    <c:v>0.192971228739762</c:v>
                  </c:pt>
                  <c:pt idx="13">
                    <c:v>0.133284910613818</c:v>
                  </c:pt>
                  <c:pt idx="14">
                    <c:v>0.133284910613818</c:v>
                  </c:pt>
                  <c:pt idx="15">
                    <c:v>0.133284910613817</c:v>
                  </c:pt>
                  <c:pt idx="16">
                    <c:v>0.16634962366053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0.00924164575891835</c:v>
                  </c:pt>
                  <c:pt idx="4">
                    <c:v>0.0402833999351261</c:v>
                  </c:pt>
                  <c:pt idx="5">
                    <c:v>0.032014</c:v>
                  </c:pt>
                  <c:pt idx="6">
                    <c:v>0.176319363500817</c:v>
                  </c:pt>
                  <c:pt idx="7">
                    <c:v>0.0666424553069088</c:v>
                  </c:pt>
                  <c:pt idx="8">
                    <c:v>0.580975456064483</c:v>
                  </c:pt>
                  <c:pt idx="9">
                    <c:v>0.157921311954192</c:v>
                  </c:pt>
                  <c:pt idx="10">
                    <c:v>0.16007</c:v>
                  </c:pt>
                  <c:pt idx="11">
                    <c:v>0.209929836917004</c:v>
                  </c:pt>
                  <c:pt idx="12">
                    <c:v>0.192971228739762</c:v>
                  </c:pt>
                  <c:pt idx="13">
                    <c:v>0.133284910613818</c:v>
                  </c:pt>
                  <c:pt idx="14">
                    <c:v>0.133284910613818</c:v>
                  </c:pt>
                  <c:pt idx="15">
                    <c:v>0.133284910613817</c:v>
                  </c:pt>
                  <c:pt idx="16">
                    <c:v>0.16634962366053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0.292333</c:v>
                </c:pt>
                <c:pt idx="1">
                  <c:v>0.4139862</c:v>
                </c:pt>
                <c:pt idx="2">
                  <c:v>0.527615666666667</c:v>
                </c:pt>
                <c:pt idx="3">
                  <c:v>1.183902666666667</c:v>
                </c:pt>
                <c:pt idx="4">
                  <c:v>3.136756666666667</c:v>
                </c:pt>
                <c:pt idx="5">
                  <c:v>4.091841</c:v>
                </c:pt>
                <c:pt idx="6">
                  <c:v>10.40331933333333</c:v>
                </c:pt>
                <c:pt idx="7">
                  <c:v>9.474913333333333</c:v>
                </c:pt>
                <c:pt idx="8">
                  <c:v>9.602969333333332</c:v>
                </c:pt>
                <c:pt idx="9">
                  <c:v>8.226367333333336</c:v>
                </c:pt>
                <c:pt idx="10">
                  <c:v>8.055626</c:v>
                </c:pt>
                <c:pt idx="11">
                  <c:v>7.575416000000001</c:v>
                </c:pt>
                <c:pt idx="12">
                  <c:v>6.753723333333334</c:v>
                </c:pt>
                <c:pt idx="13">
                  <c:v>6.060086666666668</c:v>
                </c:pt>
                <c:pt idx="14">
                  <c:v>4.064547333333333</c:v>
                </c:pt>
                <c:pt idx="15">
                  <c:v>3.104127333333333</c:v>
                </c:pt>
                <c:pt idx="16">
                  <c:v>2.901372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58008"/>
        <c:axId val="-2092615800"/>
      </c:scatterChart>
      <c:valAx>
        <c:axId val="-209625269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6666296"/>
        <c:crosses val="autoZero"/>
        <c:crossBetween val="midCat"/>
        <c:majorUnit val="6.0"/>
      </c:valAx>
      <c:valAx>
        <c:axId val="-209666629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6252696"/>
        <c:crosses val="autoZero"/>
        <c:crossBetween val="midCat"/>
      </c:valAx>
      <c:valAx>
        <c:axId val="-2092615800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6258008"/>
        <c:crosses val="max"/>
        <c:crossBetween val="midCat"/>
        <c:majorUnit val="1.0"/>
        <c:minorUnit val="0.2"/>
      </c:valAx>
      <c:valAx>
        <c:axId val="-209625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26158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4" t="s">
        <v>0</v>
      </c>
      <c r="B1" s="125"/>
      <c r="C1" s="33">
        <v>42053</v>
      </c>
    </row>
    <row r="2" spans="1:3" ht="16">
      <c r="A2" s="124" t="s">
        <v>1</v>
      </c>
      <c r="B2" s="126"/>
      <c r="C2" s="31" t="s">
        <v>147</v>
      </c>
    </row>
    <row r="3" spans="1:3">
      <c r="A3" s="11"/>
      <c r="B3" s="11"/>
      <c r="C3" s="10"/>
    </row>
    <row r="4" spans="1:3">
      <c r="A4" s="127" t="s">
        <v>49</v>
      </c>
      <c r="B4" s="127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1" t="s">
        <v>85</v>
      </c>
      <c r="B7" s="36" t="s">
        <v>86</v>
      </c>
      <c r="C7" s="36" t="s">
        <v>101</v>
      </c>
    </row>
    <row r="8" spans="1:3">
      <c r="A8" s="31" t="s">
        <v>87</v>
      </c>
      <c r="B8" s="36" t="s">
        <v>88</v>
      </c>
      <c r="C8" s="36" t="s">
        <v>101</v>
      </c>
    </row>
    <row r="9" spans="1:3">
      <c r="A9" s="31" t="s">
        <v>89</v>
      </c>
      <c r="B9" s="36" t="s">
        <v>90</v>
      </c>
      <c r="C9" s="36" t="s">
        <v>101</v>
      </c>
    </row>
    <row r="10" spans="1:3">
      <c r="A10" s="31" t="s">
        <v>91</v>
      </c>
      <c r="B10" s="36" t="s">
        <v>92</v>
      </c>
      <c r="C10" s="36" t="s">
        <v>101</v>
      </c>
    </row>
    <row r="11" spans="1:3">
      <c r="A11" s="29" t="s">
        <v>154</v>
      </c>
      <c r="B11" s="29" t="s">
        <v>155</v>
      </c>
      <c r="C11" s="29" t="s">
        <v>101</v>
      </c>
    </row>
    <row r="12" spans="1:3">
      <c r="A12" s="31" t="s">
        <v>73</v>
      </c>
      <c r="B12" s="36" t="s">
        <v>93</v>
      </c>
      <c r="C12" s="36" t="s">
        <v>101</v>
      </c>
    </row>
    <row r="13" spans="1:3" ht="16">
      <c r="A13" s="68" t="s">
        <v>77</v>
      </c>
      <c r="B13" s="36" t="s">
        <v>94</v>
      </c>
      <c r="C13" s="36" t="s">
        <v>101</v>
      </c>
    </row>
    <row r="14" spans="1:3" ht="16">
      <c r="A14" s="68" t="s">
        <v>76</v>
      </c>
      <c r="B14" s="36" t="s">
        <v>94</v>
      </c>
      <c r="C14" s="36" t="s">
        <v>101</v>
      </c>
    </row>
    <row r="15" spans="1:3" ht="16">
      <c r="A15" s="31" t="s">
        <v>109</v>
      </c>
      <c r="B15" s="36" t="s">
        <v>95</v>
      </c>
      <c r="C15" s="36" t="s">
        <v>101</v>
      </c>
    </row>
    <row r="16" spans="1:3" ht="16">
      <c r="A16" s="31" t="s">
        <v>108</v>
      </c>
      <c r="B16" s="36" t="s">
        <v>94</v>
      </c>
      <c r="C16" s="36" t="s">
        <v>101</v>
      </c>
    </row>
    <row r="17" spans="1:3" ht="16">
      <c r="A17" s="31" t="s">
        <v>110</v>
      </c>
      <c r="B17" s="36" t="s">
        <v>94</v>
      </c>
      <c r="C17" s="36" t="s">
        <v>101</v>
      </c>
    </row>
    <row r="18" spans="1:3" ht="16">
      <c r="A18" s="31" t="s">
        <v>111</v>
      </c>
      <c r="B18" s="36" t="s">
        <v>148</v>
      </c>
      <c r="C18" s="36" t="s">
        <v>101</v>
      </c>
    </row>
    <row r="19" spans="1:3" ht="16">
      <c r="A19" s="31" t="s">
        <v>75</v>
      </c>
      <c r="B19" s="36" t="s">
        <v>149</v>
      </c>
      <c r="C19" s="36" t="s">
        <v>101</v>
      </c>
    </row>
    <row r="20" spans="1:3" ht="16">
      <c r="A20" s="31" t="s">
        <v>112</v>
      </c>
      <c r="B20" s="36" t="s">
        <v>96</v>
      </c>
      <c r="C20" s="36" t="s">
        <v>101</v>
      </c>
    </row>
    <row r="21" spans="1:3" ht="16">
      <c r="A21" s="31" t="s">
        <v>113</v>
      </c>
      <c r="B21" s="36" t="s">
        <v>97</v>
      </c>
      <c r="C21" s="36" t="s">
        <v>101</v>
      </c>
    </row>
    <row r="22" spans="1:3" ht="16">
      <c r="A22" s="31" t="s">
        <v>114</v>
      </c>
      <c r="B22" s="36" t="s">
        <v>98</v>
      </c>
      <c r="C22" s="36" t="s">
        <v>101</v>
      </c>
    </row>
    <row r="23" spans="1:3" ht="16">
      <c r="A23" s="31" t="s">
        <v>115</v>
      </c>
      <c r="B23" s="36" t="s">
        <v>98</v>
      </c>
      <c r="C23" s="36" t="s">
        <v>101</v>
      </c>
    </row>
    <row r="24" spans="1:3">
      <c r="A24" s="31" t="s">
        <v>99</v>
      </c>
      <c r="B24" s="36" t="s">
        <v>98</v>
      </c>
      <c r="C24" s="36" t="s">
        <v>101</v>
      </c>
    </row>
    <row r="25" spans="1:3">
      <c r="A25" s="31" t="s">
        <v>100</v>
      </c>
      <c r="B25" s="36" t="s">
        <v>98</v>
      </c>
      <c r="C25" s="36" t="s">
        <v>101</v>
      </c>
    </row>
    <row r="26" spans="1:3">
      <c r="A26" s="31" t="s">
        <v>74</v>
      </c>
      <c r="B26" s="36" t="s">
        <v>102</v>
      </c>
      <c r="C26" s="36" t="s">
        <v>103</v>
      </c>
    </row>
    <row r="27" spans="1:3">
      <c r="A27" s="31" t="s">
        <v>104</v>
      </c>
      <c r="B27" s="36" t="s">
        <v>101</v>
      </c>
      <c r="C27" s="36" t="s">
        <v>106</v>
      </c>
    </row>
    <row r="28" spans="1:3">
      <c r="A28" s="31" t="s">
        <v>105</v>
      </c>
      <c r="B28" s="36" t="s">
        <v>101</v>
      </c>
      <c r="C28" s="36" t="s">
        <v>106</v>
      </c>
    </row>
    <row r="29" spans="1:3" ht="16">
      <c r="A29" s="29" t="s">
        <v>142</v>
      </c>
      <c r="B29" s="29" t="s">
        <v>143</v>
      </c>
      <c r="C29" s="29" t="s">
        <v>144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40" sqref="H4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8" t="s">
        <v>4</v>
      </c>
      <c r="B1" s="128" t="s">
        <v>117</v>
      </c>
      <c r="C1" s="128" t="s">
        <v>117</v>
      </c>
      <c r="D1" s="128" t="s">
        <v>5</v>
      </c>
      <c r="E1" s="128" t="s">
        <v>19</v>
      </c>
      <c r="F1" s="128" t="s">
        <v>24</v>
      </c>
      <c r="G1" s="127" t="s">
        <v>25</v>
      </c>
      <c r="H1" s="124" t="s">
        <v>26</v>
      </c>
      <c r="I1" s="4" t="s">
        <v>27</v>
      </c>
      <c r="J1" s="52" t="s">
        <v>27</v>
      </c>
    </row>
    <row r="2" spans="1:10">
      <c r="A2" s="129"/>
      <c r="B2" s="129"/>
      <c r="C2" s="129"/>
      <c r="D2" s="129"/>
      <c r="E2" s="129"/>
      <c r="F2" s="129"/>
      <c r="G2" s="127"/>
      <c r="H2" s="124"/>
      <c r="I2" s="5" t="s">
        <v>28</v>
      </c>
      <c r="J2" s="53" t="s">
        <v>23</v>
      </c>
    </row>
    <row r="3" spans="1:10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39">
        <v>1</v>
      </c>
      <c r="F3" s="49">
        <v>0.09</v>
      </c>
      <c r="G3" s="49">
        <v>0.09</v>
      </c>
      <c r="H3" s="49">
        <v>0.09</v>
      </c>
      <c r="I3" s="50">
        <f>E3*(AVERAGE(F3:H3)*1.6007-0.0118)</f>
        <v>0.13226300000000002</v>
      </c>
      <c r="J3" s="50">
        <f>E3*(STDEV(F3:H3)*1.6007)</f>
        <v>2.7206696834821082E-17</v>
      </c>
    </row>
    <row r="4" spans="1:10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9">
        <v>1</v>
      </c>
      <c r="F4" s="49">
        <v>0.19</v>
      </c>
      <c r="G4" s="49">
        <v>0.19</v>
      </c>
      <c r="H4" s="49">
        <v>0.19</v>
      </c>
      <c r="I4" s="50">
        <f>E4*(AVERAGE(F4:H4)*1.6007-0.0118)</f>
        <v>0.29233300000000007</v>
      </c>
      <c r="J4" s="50">
        <f t="shared" ref="J4:J9" si="1">E4*(STDEV(F4:H4)*1.6007)</f>
        <v>5.4413393669642165E-17</v>
      </c>
    </row>
    <row r="5" spans="1:10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39">
        <v>1</v>
      </c>
      <c r="F5" s="49">
        <v>0.26600000000000001</v>
      </c>
      <c r="G5" s="49">
        <v>0.26600000000000001</v>
      </c>
      <c r="H5" s="49">
        <v>0.26600000000000001</v>
      </c>
      <c r="I5" s="50">
        <f t="shared" ref="I5:I9" si="2">E5*(AVERAGE(F5:H5)*1.6007-0.0118)</f>
        <v>0.41398620000000003</v>
      </c>
      <c r="J5" s="50">
        <f t="shared" si="1"/>
        <v>0</v>
      </c>
    </row>
    <row r="6" spans="1:10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39">
        <v>10</v>
      </c>
      <c r="F6" s="49">
        <v>0.04</v>
      </c>
      <c r="G6" s="49">
        <v>0.04</v>
      </c>
      <c r="H6" s="49">
        <v>4.1000000000000002E-2</v>
      </c>
      <c r="I6" s="50">
        <f t="shared" si="2"/>
        <v>0.5276156666666667</v>
      </c>
      <c r="J6" s="50">
        <f t="shared" si="1"/>
        <v>9.241645758918348E-3</v>
      </c>
    </row>
    <row r="7" spans="1:10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39">
        <v>10</v>
      </c>
      <c r="F7" s="49">
        <v>8.2000000000000003E-2</v>
      </c>
      <c r="G7" s="49">
        <v>8.1000000000000003E-2</v>
      </c>
      <c r="H7" s="49">
        <v>8.1000000000000003E-2</v>
      </c>
      <c r="I7" s="50">
        <f t="shared" si="2"/>
        <v>1.1839026666666665</v>
      </c>
      <c r="J7" s="50">
        <f t="shared" si="1"/>
        <v>9.241645758918348E-3</v>
      </c>
    </row>
    <row r="8" spans="1:10">
      <c r="A8" s="63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39">
        <v>10</v>
      </c>
      <c r="F8" s="49">
        <v>0.20599999999999999</v>
      </c>
      <c r="G8" s="49">
        <v>0.20300000000000001</v>
      </c>
      <c r="H8" s="49">
        <v>0.20100000000000001</v>
      </c>
      <c r="I8" s="50">
        <f t="shared" si="2"/>
        <v>3.1367566666666673</v>
      </c>
      <c r="J8" s="50">
        <f t="shared" si="1"/>
        <v>4.0283399935126106E-2</v>
      </c>
    </row>
    <row r="9" spans="1:10">
      <c r="A9" s="63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39">
        <v>10</v>
      </c>
      <c r="F9" s="49">
        <v>0.26300000000000001</v>
      </c>
      <c r="G9" s="49">
        <v>0.26500000000000001</v>
      </c>
      <c r="H9" s="49">
        <v>0.26100000000000001</v>
      </c>
      <c r="I9" s="50">
        <f t="shared" si="2"/>
        <v>4.0918410000000005</v>
      </c>
      <c r="J9" s="50">
        <f t="shared" si="1"/>
        <v>3.2014000000000029E-2</v>
      </c>
    </row>
    <row r="10" spans="1:10">
      <c r="A10" s="63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39">
        <v>20</v>
      </c>
      <c r="F10" s="49">
        <v>0.33500000000000002</v>
      </c>
      <c r="G10" s="49">
        <v>0.33600000000000002</v>
      </c>
      <c r="H10" s="49">
        <v>0.32600000000000001</v>
      </c>
      <c r="I10" s="50">
        <f t="shared" ref="I10:I20" si="4">E10*(AVERAGE(F10:H10)*1.6007-0.0118)</f>
        <v>10.403319333333334</v>
      </c>
      <c r="J10" s="50">
        <f t="shared" ref="J10:J20" si="5">E10*(STDEV(F10:H10)*1.6007)</f>
        <v>0.17631936350081742</v>
      </c>
    </row>
    <row r="11" spans="1:10">
      <c r="A11" s="63">
        <v>7</v>
      </c>
      <c r="B11" s="31">
        <v>80</v>
      </c>
      <c r="C11" s="31">
        <f t="shared" si="3"/>
        <v>600</v>
      </c>
      <c r="D11" s="13">
        <f t="shared" si="0"/>
        <v>10</v>
      </c>
      <c r="E11" s="39">
        <v>20</v>
      </c>
      <c r="F11" s="49">
        <v>0.30099999999999999</v>
      </c>
      <c r="G11" s="49">
        <v>0.30499999999999999</v>
      </c>
      <c r="H11" s="49">
        <v>0.30399999999999999</v>
      </c>
      <c r="I11" s="50">
        <f t="shared" si="4"/>
        <v>9.4749133333333333</v>
      </c>
      <c r="J11" s="50">
        <f t="shared" si="5"/>
        <v>6.6642455306908835E-2</v>
      </c>
    </row>
    <row r="12" spans="1:10">
      <c r="A12" s="63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39">
        <v>20</v>
      </c>
      <c r="F12" s="49">
        <v>0.28799999999999998</v>
      </c>
      <c r="G12" s="49">
        <v>0.31</v>
      </c>
      <c r="H12" s="49">
        <v>0.32400000000000001</v>
      </c>
      <c r="I12" s="50">
        <f t="shared" si="4"/>
        <v>9.6029693333333324</v>
      </c>
      <c r="J12" s="50">
        <f t="shared" si="5"/>
        <v>0.58097545606448286</v>
      </c>
    </row>
    <row r="13" spans="1:10">
      <c r="A13" s="63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39">
        <v>20</v>
      </c>
      <c r="F13" s="49">
        <v>0.26100000000000001</v>
      </c>
      <c r="G13" s="49">
        <v>0.27</v>
      </c>
      <c r="H13" s="49">
        <v>0.26200000000000001</v>
      </c>
      <c r="I13" s="50">
        <f t="shared" si="4"/>
        <v>8.2263673333333358</v>
      </c>
      <c r="J13" s="50">
        <f t="shared" si="5"/>
        <v>0.15792131195419248</v>
      </c>
    </row>
    <row r="14" spans="1:10">
      <c r="A14" s="63">
        <v>10</v>
      </c>
      <c r="B14" s="31">
        <v>80</v>
      </c>
      <c r="C14" s="31">
        <f t="shared" si="3"/>
        <v>840</v>
      </c>
      <c r="D14" s="13">
        <f t="shared" si="0"/>
        <v>14</v>
      </c>
      <c r="E14" s="39">
        <v>20</v>
      </c>
      <c r="F14" s="49">
        <v>0.254</v>
      </c>
      <c r="G14" s="49">
        <v>0.25900000000000001</v>
      </c>
      <c r="H14" s="49">
        <v>0.26400000000000001</v>
      </c>
      <c r="I14" s="50">
        <f t="shared" si="4"/>
        <v>8.055626000000002</v>
      </c>
      <c r="J14" s="50">
        <f t="shared" si="5"/>
        <v>0.16007000000000016</v>
      </c>
    </row>
    <row r="15" spans="1:10">
      <c r="A15" s="63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39">
        <v>20</v>
      </c>
      <c r="F15" s="49">
        <v>0.23799999999999999</v>
      </c>
      <c r="G15" s="49">
        <v>0.24299999999999999</v>
      </c>
      <c r="H15" s="49">
        <v>0.251</v>
      </c>
      <c r="I15" s="50">
        <f t="shared" si="4"/>
        <v>7.5754160000000006</v>
      </c>
      <c r="J15" s="50">
        <f t="shared" si="5"/>
        <v>0.20992983691700443</v>
      </c>
    </row>
    <row r="16" spans="1:10">
      <c r="A16" s="63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39">
        <v>20</v>
      </c>
      <c r="F16" s="49">
        <v>0.224</v>
      </c>
      <c r="G16" s="49">
        <v>0.21199999999999999</v>
      </c>
      <c r="H16" s="49">
        <v>0.219</v>
      </c>
      <c r="I16" s="50">
        <f t="shared" si="4"/>
        <v>6.7537233333333351</v>
      </c>
      <c r="J16" s="50">
        <f t="shared" si="5"/>
        <v>0.19297122873976164</v>
      </c>
    </row>
    <row r="17" spans="1:10">
      <c r="A17" s="63">
        <v>13</v>
      </c>
      <c r="B17" s="31">
        <v>80</v>
      </c>
      <c r="C17" s="31">
        <f t="shared" si="3"/>
        <v>1080</v>
      </c>
      <c r="D17" s="13">
        <f t="shared" si="0"/>
        <v>18</v>
      </c>
      <c r="E17" s="39">
        <v>20</v>
      </c>
      <c r="F17" s="49">
        <v>0.2</v>
      </c>
      <c r="G17" s="49">
        <v>0.19800000000000001</v>
      </c>
      <c r="H17" s="49">
        <v>0.192</v>
      </c>
      <c r="I17" s="50">
        <f t="shared" si="4"/>
        <v>6.0600866666666677</v>
      </c>
      <c r="J17" s="50">
        <f t="shared" si="5"/>
        <v>0.13328491061381767</v>
      </c>
    </row>
    <row r="18" spans="1:10">
      <c r="A18" s="63">
        <v>14</v>
      </c>
      <c r="B18" s="31">
        <v>360</v>
      </c>
      <c r="C18" s="31">
        <f t="shared" si="3"/>
        <v>1440</v>
      </c>
      <c r="D18" s="13">
        <f t="shared" si="0"/>
        <v>24</v>
      </c>
      <c r="E18" s="39">
        <v>20</v>
      </c>
      <c r="F18" s="49">
        <v>0.13100000000000001</v>
      </c>
      <c r="G18" s="49">
        <v>0.13300000000000001</v>
      </c>
      <c r="H18" s="49">
        <v>0.13900000000000001</v>
      </c>
      <c r="I18" s="50">
        <f>E18*(AVERAGE(F18:H18)*1.6007-0.0118)</f>
        <v>4.0645473333333335</v>
      </c>
      <c r="J18" s="50">
        <f t="shared" si="5"/>
        <v>0.13328491061381767</v>
      </c>
    </row>
    <row r="19" spans="1:10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9">
        <v>20</v>
      </c>
      <c r="F19" s="49">
        <v>0.10100000000000001</v>
      </c>
      <c r="G19" s="49">
        <v>0.10299999999999999</v>
      </c>
      <c r="H19" s="49">
        <v>0.109</v>
      </c>
      <c r="I19" s="50">
        <f>E19*(AVERAGE(F19:H19)*1.6007-0.0118)</f>
        <v>3.104127333333333</v>
      </c>
      <c r="J19" s="50">
        <f t="shared" si="5"/>
        <v>0.13328491061381748</v>
      </c>
    </row>
    <row r="20" spans="1:10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20</v>
      </c>
      <c r="F20" s="49">
        <v>0.104</v>
      </c>
      <c r="G20" s="49">
        <v>9.5000000000000001E-2</v>
      </c>
      <c r="H20" s="49">
        <v>9.5000000000000001E-2</v>
      </c>
      <c r="I20" s="50">
        <f t="shared" si="4"/>
        <v>2.9013720000000003</v>
      </c>
      <c r="J20" s="50">
        <f t="shared" si="5"/>
        <v>0.16634962366052999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8" t="s">
        <v>4</v>
      </c>
      <c r="B1" s="128" t="s">
        <v>117</v>
      </c>
      <c r="C1" s="128" t="s">
        <v>117</v>
      </c>
      <c r="D1" s="128" t="s">
        <v>5</v>
      </c>
      <c r="E1" s="4" t="s">
        <v>29</v>
      </c>
      <c r="F1" s="4" t="s">
        <v>2</v>
      </c>
      <c r="G1" s="4" t="s">
        <v>32</v>
      </c>
    </row>
    <row r="2" spans="1:7">
      <c r="A2" s="129"/>
      <c r="B2" s="129"/>
      <c r="C2" s="129"/>
      <c r="D2" s="129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31">
        <v>80</v>
      </c>
      <c r="C8" s="31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31">
        <v>80</v>
      </c>
      <c r="C9" s="31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31">
        <v>80</v>
      </c>
      <c r="C10" s="31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31">
        <v>80</v>
      </c>
      <c r="C11" s="31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31">
        <v>80</v>
      </c>
      <c r="C12" s="31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31">
        <v>80</v>
      </c>
      <c r="C13" s="31">
        <f t="shared" si="1"/>
        <v>760</v>
      </c>
      <c r="D13" s="13">
        <f t="shared" si="0"/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63">
        <v>10</v>
      </c>
      <c r="B14" s="31">
        <v>80</v>
      </c>
      <c r="C14" s="31">
        <f t="shared" si="1"/>
        <v>840</v>
      </c>
      <c r="D14" s="13">
        <f t="shared" si="0"/>
        <v>14</v>
      </c>
      <c r="E14" s="36"/>
      <c r="F14" s="36"/>
      <c r="G14" s="36" t="e">
        <f>(F14-$C$22)/E14*1000*Calculation!I15/Calculation!K14</f>
        <v>#DIV/0!</v>
      </c>
    </row>
    <row r="15" spans="1:7">
      <c r="A15" s="63">
        <v>11</v>
      </c>
      <c r="B15" s="31">
        <v>80</v>
      </c>
      <c r="C15" s="31">
        <f t="shared" si="1"/>
        <v>920</v>
      </c>
      <c r="D15" s="13">
        <f t="shared" si="0"/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63">
        <v>12</v>
      </c>
      <c r="B16" s="31">
        <v>80</v>
      </c>
      <c r="C16" s="31">
        <f t="shared" si="1"/>
        <v>1000</v>
      </c>
      <c r="D16" s="13">
        <f t="shared" si="0"/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63">
        <v>13</v>
      </c>
      <c r="B17" s="31">
        <v>80</v>
      </c>
      <c r="C17" s="31">
        <f t="shared" si="1"/>
        <v>1080</v>
      </c>
      <c r="D17" s="13">
        <f t="shared" si="0"/>
        <v>18</v>
      </c>
      <c r="E17" s="36"/>
      <c r="F17" s="36"/>
      <c r="G17" s="36" t="e">
        <f>(F17-$C$22)/E17*1000*Calculation!I18/Calculation!K17</f>
        <v>#DIV/0!</v>
      </c>
    </row>
    <row r="18" spans="1:7">
      <c r="A18" s="63">
        <v>14</v>
      </c>
      <c r="B18" s="31">
        <v>360</v>
      </c>
      <c r="C18" s="31">
        <f t="shared" si="1"/>
        <v>1440</v>
      </c>
      <c r="D18" s="13">
        <f t="shared" si="0"/>
        <v>24</v>
      </c>
      <c r="E18" s="36"/>
      <c r="F18" s="36"/>
      <c r="G18" s="36" t="e">
        <f>(F18-$C$22)/E18*1000*Calculation!I19/Calculation!K18</f>
        <v>#DIV/0!</v>
      </c>
    </row>
    <row r="19" spans="1:7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9"/>
      <c r="F19" s="39"/>
      <c r="G19" s="39" t="e">
        <f>(F19-$C$22)/E19*1000*Calculation!I21/Calculation!K19</f>
        <v>#DIV/0!</v>
      </c>
    </row>
    <row r="20" spans="1:7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9"/>
      <c r="F20" s="39"/>
      <c r="G20" s="39" t="e">
        <f>(F20-$C$22)/E20*1000*Calculation!I22/Calculation!K20</f>
        <v>#DIV/0!</v>
      </c>
    </row>
    <row r="22" spans="1:7">
      <c r="A22" s="151" t="s">
        <v>3</v>
      </c>
      <c r="B22" s="152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70.5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7" t="s">
        <v>5</v>
      </c>
      <c r="B3" s="127" t="s">
        <v>36</v>
      </c>
      <c r="C3" s="127"/>
      <c r="D3" s="127" t="s">
        <v>52</v>
      </c>
      <c r="E3" s="127"/>
      <c r="F3" s="127"/>
      <c r="G3" s="23" t="s">
        <v>53</v>
      </c>
    </row>
    <row r="4" spans="1:10">
      <c r="A4" s="127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75">
        <v>-0.16666666666666666</v>
      </c>
      <c r="J5" t="s">
        <v>164</v>
      </c>
    </row>
    <row r="6" spans="1:10">
      <c r="A6" s="12">
        <v>0.5</v>
      </c>
      <c r="B6" s="12">
        <v>5250.14</v>
      </c>
      <c r="C6" s="12">
        <f t="shared" ref="C6:C69" si="0">B6/1000</f>
        <v>5.25014</v>
      </c>
      <c r="D6" s="12">
        <f>C6/1000*$B$1</f>
        <v>0.37013487</v>
      </c>
      <c r="E6" s="12">
        <f>D6/22.4</f>
        <v>1.6523878125000002E-2</v>
      </c>
      <c r="F6" s="12">
        <f>E6/Calculation!K$4*1000</f>
        <v>1.060504743360933E-2</v>
      </c>
      <c r="G6" s="12">
        <f>G5+(F6+F5)/2*30</f>
        <v>0.15907571150413996</v>
      </c>
      <c r="I6" s="75">
        <v>0.16666666666666666</v>
      </c>
      <c r="J6" t="s">
        <v>165</v>
      </c>
    </row>
    <row r="7" spans="1:10">
      <c r="A7" s="12">
        <v>1</v>
      </c>
      <c r="B7" s="12">
        <v>10942.81</v>
      </c>
      <c r="C7" s="12">
        <f t="shared" si="0"/>
        <v>10.94281</v>
      </c>
      <c r="D7" s="12">
        <f t="shared" ref="D7:D69" si="1">C7/1000*$B$1</f>
        <v>0.77146810499999996</v>
      </c>
      <c r="E7" s="12">
        <f t="shared" ref="E7:E69" si="2">D7/22.4</f>
        <v>3.4440540401785714E-2</v>
      </c>
      <c r="F7" s="12">
        <f>E7/Calculation!K$4*1000</f>
        <v>2.2103985628378384E-2</v>
      </c>
      <c r="G7" s="12">
        <f t="shared" ref="G7:G70" si="3">G6+(F7+F6)/2*30</f>
        <v>0.64971120743395572</v>
      </c>
      <c r="I7" s="75">
        <v>2</v>
      </c>
      <c r="J7" t="s">
        <v>166</v>
      </c>
    </row>
    <row r="8" spans="1:10">
      <c r="A8" s="12">
        <v>1.5</v>
      </c>
      <c r="B8" s="12">
        <v>12986.2</v>
      </c>
      <c r="C8" s="12">
        <f t="shared" si="0"/>
        <v>12.9862</v>
      </c>
      <c r="D8" s="12">
        <f t="shared" si="1"/>
        <v>0.91552710000000004</v>
      </c>
      <c r="E8" s="12">
        <f t="shared" si="2"/>
        <v>4.0871745535714293E-2</v>
      </c>
      <c r="F8" s="12">
        <f>E8/Calculation!K$4*1000</f>
        <v>2.6231541822187121E-2</v>
      </c>
      <c r="G8" s="12">
        <f t="shared" si="3"/>
        <v>1.3747441191924383</v>
      </c>
      <c r="I8" s="75">
        <v>3.3333333333333335</v>
      </c>
      <c r="J8" t="s">
        <v>167</v>
      </c>
    </row>
    <row r="9" spans="1:10">
      <c r="A9" s="12">
        <v>2</v>
      </c>
      <c r="B9" s="12">
        <v>11099.88</v>
      </c>
      <c r="C9" s="12">
        <f t="shared" si="0"/>
        <v>11.099879999999999</v>
      </c>
      <c r="D9" s="12">
        <f t="shared" si="1"/>
        <v>0.78254153999999998</v>
      </c>
      <c r="E9" s="12">
        <f t="shared" si="2"/>
        <v>3.4934890178571432E-2</v>
      </c>
      <c r="F9" s="12">
        <f>E9/Calculation!K$5*1000</f>
        <v>2.3040387481558042E-2</v>
      </c>
      <c r="G9" s="12">
        <f t="shared" si="3"/>
        <v>2.1138230587486158</v>
      </c>
      <c r="I9" s="75">
        <v>4.666666666666667</v>
      </c>
      <c r="J9" t="s">
        <v>168</v>
      </c>
    </row>
    <row r="10" spans="1:10">
      <c r="A10" s="12">
        <v>2.5</v>
      </c>
      <c r="B10" s="12">
        <v>11224.68</v>
      </c>
      <c r="C10" s="12">
        <f t="shared" si="0"/>
        <v>11.224680000000001</v>
      </c>
      <c r="D10" s="12">
        <f t="shared" si="1"/>
        <v>0.79133994000000007</v>
      </c>
      <c r="E10" s="12">
        <f t="shared" si="2"/>
        <v>3.5327675892857145E-2</v>
      </c>
      <c r="F10" s="12">
        <f>E10/Calculation!K$5*1000</f>
        <v>2.3299438962988334E-2</v>
      </c>
      <c r="G10" s="12">
        <f t="shared" si="3"/>
        <v>2.8089204554168115</v>
      </c>
      <c r="I10" s="75">
        <v>6</v>
      </c>
      <c r="J10" t="s">
        <v>169</v>
      </c>
    </row>
    <row r="11" spans="1:10">
      <c r="A11" s="12">
        <v>3</v>
      </c>
      <c r="B11" s="12">
        <v>11561.78</v>
      </c>
      <c r="C11" s="12">
        <f t="shared" si="0"/>
        <v>11.561780000000001</v>
      </c>
      <c r="D11" s="12">
        <f t="shared" si="1"/>
        <v>0.8151054900000001</v>
      </c>
      <c r="E11" s="12">
        <f t="shared" si="2"/>
        <v>3.6388637946428576E-2</v>
      </c>
      <c r="F11" s="12">
        <f>E11/Calculation!K$5*1000</f>
        <v>2.3999168565473517E-2</v>
      </c>
      <c r="G11" s="12">
        <f t="shared" si="3"/>
        <v>3.5183995683437392</v>
      </c>
      <c r="I11" s="75">
        <v>7.333333333333333</v>
      </c>
      <c r="J11" t="s">
        <v>170</v>
      </c>
    </row>
    <row r="12" spans="1:10">
      <c r="A12" s="12">
        <v>3.5</v>
      </c>
      <c r="B12" s="12">
        <v>12665.6</v>
      </c>
      <c r="C12" s="12">
        <f t="shared" si="0"/>
        <v>12.6656</v>
      </c>
      <c r="D12" s="12">
        <f t="shared" si="1"/>
        <v>0.89292479999999996</v>
      </c>
      <c r="E12" s="12">
        <f t="shared" si="2"/>
        <v>3.9862714285714286E-2</v>
      </c>
      <c r="F12" s="12">
        <f>E12/Calculation!K$6*1000</f>
        <v>2.698179041182381E-2</v>
      </c>
      <c r="G12" s="12">
        <f t="shared" si="3"/>
        <v>4.2831139530031992</v>
      </c>
      <c r="I12" s="75">
        <v>8.6666666666666661</v>
      </c>
      <c r="J12" t="s">
        <v>171</v>
      </c>
    </row>
    <row r="13" spans="1:10">
      <c r="A13" s="12">
        <v>4</v>
      </c>
      <c r="B13" s="12">
        <v>16502.79</v>
      </c>
      <c r="C13" s="12">
        <f t="shared" si="0"/>
        <v>16.502790000000001</v>
      </c>
      <c r="D13" s="12">
        <f t="shared" si="1"/>
        <v>1.163446695</v>
      </c>
      <c r="E13" s="12">
        <f t="shared" si="2"/>
        <v>5.1939584598214288E-2</v>
      </c>
      <c r="F13" s="12">
        <f>E13/Calculation!K$6*1000</f>
        <v>3.515623586646837E-2</v>
      </c>
      <c r="G13" s="12">
        <f t="shared" si="3"/>
        <v>5.2151843471775816</v>
      </c>
      <c r="I13" s="75">
        <v>10</v>
      </c>
      <c r="J13" t="s">
        <v>172</v>
      </c>
    </row>
    <row r="14" spans="1:10">
      <c r="A14" s="12">
        <v>4.5</v>
      </c>
      <c r="B14" s="12">
        <v>22403.46</v>
      </c>
      <c r="C14" s="12">
        <f t="shared" si="0"/>
        <v>22.403459999999999</v>
      </c>
      <c r="D14" s="12">
        <f t="shared" si="1"/>
        <v>1.5794439300000001</v>
      </c>
      <c r="E14" s="12">
        <f t="shared" si="2"/>
        <v>7.0510889732142867E-2</v>
      </c>
      <c r="F14" s="12">
        <f>E14/Calculation!K$6*1000</f>
        <v>4.7726555569390969E-2</v>
      </c>
      <c r="G14" s="12">
        <f t="shared" si="3"/>
        <v>6.4584262187154717</v>
      </c>
      <c r="I14" s="75">
        <v>11.333333333333334</v>
      </c>
      <c r="J14" t="s">
        <v>173</v>
      </c>
    </row>
    <row r="15" spans="1:10">
      <c r="A15" s="12">
        <v>5</v>
      </c>
      <c r="B15" s="12">
        <v>33068.699999999997</v>
      </c>
      <c r="C15" s="12">
        <f t="shared" si="0"/>
        <v>33.0687</v>
      </c>
      <c r="D15" s="12">
        <f t="shared" si="1"/>
        <v>2.33134335</v>
      </c>
      <c r="E15" s="12">
        <f t="shared" si="2"/>
        <v>0.10407782812500001</v>
      </c>
      <c r="F15" s="12">
        <f>E15/Calculation!K$7*1000</f>
        <v>7.2595007746988294E-2</v>
      </c>
      <c r="G15" s="12">
        <f t="shared" si="3"/>
        <v>8.2632496684611603</v>
      </c>
      <c r="I15" s="75">
        <v>12.666666666666666</v>
      </c>
      <c r="J15" t="s">
        <v>174</v>
      </c>
    </row>
    <row r="16" spans="1:10">
      <c r="A16" s="12">
        <v>5.5</v>
      </c>
      <c r="B16" s="12">
        <v>44423.92</v>
      </c>
      <c r="C16" s="12">
        <f t="shared" si="0"/>
        <v>44.423919999999995</v>
      </c>
      <c r="D16" s="12">
        <f t="shared" si="1"/>
        <v>3.1318863599999998</v>
      </c>
      <c r="E16" s="12">
        <f t="shared" si="2"/>
        <v>0.13981635535714285</v>
      </c>
      <c r="F16" s="12">
        <f>E16/Calculation!K$7*1000</f>
        <v>9.7522878629991136E-2</v>
      </c>
      <c r="G16" s="12">
        <f t="shared" si="3"/>
        <v>10.815017964115853</v>
      </c>
      <c r="I16" s="75">
        <v>14</v>
      </c>
      <c r="J16" t="s">
        <v>175</v>
      </c>
    </row>
    <row r="17" spans="1:10">
      <c r="A17" s="12">
        <v>6</v>
      </c>
      <c r="B17" s="12">
        <v>54126.63</v>
      </c>
      <c r="C17" s="12">
        <f t="shared" si="0"/>
        <v>54.126629999999999</v>
      </c>
      <c r="D17" s="12">
        <f t="shared" si="1"/>
        <v>3.815927415</v>
      </c>
      <c r="E17" s="12">
        <f t="shared" si="2"/>
        <v>0.17035390245535714</v>
      </c>
      <c r="F17" s="12">
        <f>E17/Calculation!K$8*1000</f>
        <v>0.12235242668181615</v>
      </c>
      <c r="G17" s="12">
        <f t="shared" si="3"/>
        <v>14.113147543792962</v>
      </c>
      <c r="I17" s="75">
        <v>15.333333333333334</v>
      </c>
      <c r="J17" t="s">
        <v>176</v>
      </c>
    </row>
    <row r="18" spans="1:10">
      <c r="A18" s="12">
        <v>6.5</v>
      </c>
      <c r="B18" s="12">
        <v>55450.64</v>
      </c>
      <c r="C18" s="12">
        <f t="shared" si="0"/>
        <v>55.45064</v>
      </c>
      <c r="D18" s="12">
        <f t="shared" si="1"/>
        <v>3.90927012</v>
      </c>
      <c r="E18" s="12">
        <f t="shared" si="2"/>
        <v>0.1745209875</v>
      </c>
      <c r="F18" s="12">
        <f>E18/Calculation!K$8*1000</f>
        <v>0.12534533121791955</v>
      </c>
      <c r="G18" s="12">
        <f t="shared" si="3"/>
        <v>17.828613912288997</v>
      </c>
      <c r="I18" s="75">
        <v>16.666666666666668</v>
      </c>
      <c r="J18" t="s">
        <v>177</v>
      </c>
    </row>
    <row r="19" spans="1:10">
      <c r="A19" s="12">
        <v>7</v>
      </c>
      <c r="B19" s="12">
        <v>61178.45</v>
      </c>
      <c r="C19" s="12">
        <f t="shared" si="0"/>
        <v>61.178449999999998</v>
      </c>
      <c r="D19" s="12">
        <f t="shared" si="1"/>
        <v>4.3130807249999998</v>
      </c>
      <c r="E19" s="12">
        <f t="shared" si="2"/>
        <v>0.19254824665178571</v>
      </c>
      <c r="F19" s="12">
        <f>E19/Calculation!K$8*1000</f>
        <v>0.13829295890270937</v>
      </c>
      <c r="G19" s="12">
        <f t="shared" si="3"/>
        <v>21.783188264098431</v>
      </c>
      <c r="I19" s="75">
        <v>18</v>
      </c>
      <c r="J19" t="s">
        <v>178</v>
      </c>
    </row>
    <row r="20" spans="1:10">
      <c r="A20" s="12">
        <v>7.5</v>
      </c>
      <c r="B20" s="12">
        <v>52292.67</v>
      </c>
      <c r="C20" s="12">
        <f t="shared" si="0"/>
        <v>52.292670000000001</v>
      </c>
      <c r="D20" s="12">
        <f t="shared" si="1"/>
        <v>3.686633235</v>
      </c>
      <c r="E20" s="12">
        <f t="shared" si="2"/>
        <v>0.16458184084821428</v>
      </c>
      <c r="F20" s="12">
        <f>E20/Calculation!K$9*1000</f>
        <v>0.12208518465030323</v>
      </c>
      <c r="G20" s="12">
        <f t="shared" si="3"/>
        <v>25.68886041739362</v>
      </c>
      <c r="I20" s="75">
        <v>24</v>
      </c>
      <c r="J20" t="s">
        <v>179</v>
      </c>
    </row>
    <row r="21" spans="1:10">
      <c r="A21" s="12">
        <v>8</v>
      </c>
      <c r="B21" s="12">
        <v>49400.79</v>
      </c>
      <c r="C21" s="12">
        <f t="shared" si="0"/>
        <v>49.400790000000001</v>
      </c>
      <c r="D21" s="12">
        <f t="shared" si="1"/>
        <v>3.4827556949999998</v>
      </c>
      <c r="E21" s="12">
        <f t="shared" si="2"/>
        <v>0.15548016495535713</v>
      </c>
      <c r="F21" s="12">
        <f>E21/Calculation!K$9*1000</f>
        <v>0.11533365133241147</v>
      </c>
      <c r="G21" s="12">
        <f t="shared" si="3"/>
        <v>29.25014295713434</v>
      </c>
      <c r="I21" s="75">
        <v>30</v>
      </c>
      <c r="J21" t="s">
        <v>180</v>
      </c>
    </row>
    <row r="22" spans="1:10">
      <c r="A22" s="12">
        <v>8.5</v>
      </c>
      <c r="B22" s="12">
        <v>16020.09</v>
      </c>
      <c r="C22" s="12">
        <f t="shared" si="0"/>
        <v>16.02009</v>
      </c>
      <c r="D22" s="12">
        <f t="shared" si="1"/>
        <v>1.1294163450000001</v>
      </c>
      <c r="E22" s="12">
        <f t="shared" si="2"/>
        <v>5.0420372544642864E-2</v>
      </c>
      <c r="F22" s="12">
        <f>E22/Calculation!K$9*1000</f>
        <v>3.7401334561124468E-2</v>
      </c>
      <c r="G22" s="12">
        <f t="shared" si="3"/>
        <v>31.541167745537379</v>
      </c>
      <c r="I22" s="75">
        <v>48</v>
      </c>
      <c r="J22" t="s">
        <v>181</v>
      </c>
    </row>
    <row r="23" spans="1:10">
      <c r="A23" s="12">
        <v>9</v>
      </c>
      <c r="B23" s="12">
        <v>3144.35</v>
      </c>
      <c r="C23" s="12">
        <f t="shared" si="0"/>
        <v>3.1443499999999998</v>
      </c>
      <c r="D23" s="12">
        <f t="shared" si="1"/>
        <v>0.22167667499999999</v>
      </c>
      <c r="E23" s="12">
        <f t="shared" si="2"/>
        <v>9.8962801339285717E-3</v>
      </c>
      <c r="F23" s="12">
        <f>E23/Calculation!K$10*1000</f>
        <v>7.5846023602060674E-3</v>
      </c>
      <c r="G23" s="12">
        <f t="shared" si="3"/>
        <v>32.215956799357336</v>
      </c>
    </row>
    <row r="24" spans="1:10">
      <c r="A24" s="12">
        <v>9.5</v>
      </c>
      <c r="B24" s="12">
        <v>748.07</v>
      </c>
      <c r="C24" s="12">
        <f t="shared" si="0"/>
        <v>0.74807000000000001</v>
      </c>
      <c r="D24" s="12">
        <f t="shared" si="1"/>
        <v>5.2738935000000001E-2</v>
      </c>
      <c r="E24" s="12">
        <f t="shared" si="2"/>
        <v>2.3544167410714288E-3</v>
      </c>
      <c r="F24" s="12">
        <f>E24/Calculation!K$10*1000</f>
        <v>1.8044471790988131E-3</v>
      </c>
      <c r="G24" s="12">
        <f t="shared" si="3"/>
        <v>32.356792542446911</v>
      </c>
    </row>
    <row r="25" spans="1:10">
      <c r="A25" s="12">
        <v>10</v>
      </c>
      <c r="B25" s="12">
        <v>0</v>
      </c>
      <c r="C25" s="12">
        <f t="shared" si="0"/>
        <v>0</v>
      </c>
      <c r="D25" s="12">
        <f t="shared" si="1"/>
        <v>0</v>
      </c>
      <c r="E25" s="12">
        <f t="shared" si="2"/>
        <v>0</v>
      </c>
      <c r="F25" s="12">
        <f>E25/Calculation!K$11*1000</f>
        <v>0</v>
      </c>
      <c r="G25" s="12">
        <f t="shared" si="3"/>
        <v>32.383859250133391</v>
      </c>
    </row>
    <row r="26" spans="1:10">
      <c r="A26" s="12">
        <v>10.5</v>
      </c>
      <c r="B26" s="12">
        <v>324.91000000000003</v>
      </c>
      <c r="C26" s="12">
        <f t="shared" si="0"/>
        <v>0.32491000000000003</v>
      </c>
      <c r="D26" s="12">
        <f t="shared" si="1"/>
        <v>2.2906155000000001E-2</v>
      </c>
      <c r="E26" s="12">
        <f t="shared" si="2"/>
        <v>1.0225962053571429E-3</v>
      </c>
      <c r="F26" s="12">
        <f>E26/Calculation!K$11*1000</f>
        <v>8.1157260495412584E-4</v>
      </c>
      <c r="G26" s="12">
        <f t="shared" si="3"/>
        <v>32.396032839207706</v>
      </c>
    </row>
    <row r="27" spans="1:10">
      <c r="A27" s="12">
        <v>11</v>
      </c>
      <c r="B27" s="12">
        <v>233.1</v>
      </c>
      <c r="C27" s="12">
        <f t="shared" si="0"/>
        <v>0.2331</v>
      </c>
      <c r="D27" s="12">
        <f t="shared" si="1"/>
        <v>1.6433550000000002E-2</v>
      </c>
      <c r="E27" s="12">
        <f t="shared" si="2"/>
        <v>7.3364062500000013E-4</v>
      </c>
      <c r="F27" s="12">
        <f>E27/Calculation!K$11*1000</f>
        <v>5.8224608111417551E-4</v>
      </c>
      <c r="G27" s="12">
        <f t="shared" si="3"/>
        <v>32.416940119498733</v>
      </c>
    </row>
    <row r="28" spans="1:10">
      <c r="A28" s="12">
        <v>11.5</v>
      </c>
      <c r="B28" s="12">
        <v>208</v>
      </c>
      <c r="C28" s="12">
        <f t="shared" si="0"/>
        <v>0.20799999999999999</v>
      </c>
      <c r="D28" s="12">
        <f t="shared" si="1"/>
        <v>1.4664E-2</v>
      </c>
      <c r="E28" s="12">
        <f t="shared" si="2"/>
        <v>6.5464285714285722E-4</v>
      </c>
      <c r="F28" s="12">
        <f>E28/Calculation!K$12*1000</f>
        <v>5.3908830641826117E-4</v>
      </c>
      <c r="G28" s="12">
        <f t="shared" si="3"/>
        <v>32.433760135311722</v>
      </c>
    </row>
    <row r="29" spans="1:10">
      <c r="A29" s="12">
        <v>12</v>
      </c>
      <c r="B29" s="12">
        <v>210.15</v>
      </c>
      <c r="C29" s="12">
        <f t="shared" si="0"/>
        <v>0.21015</v>
      </c>
      <c r="D29" s="12">
        <f t="shared" si="1"/>
        <v>1.4815575000000001E-2</v>
      </c>
      <c r="E29" s="12">
        <f t="shared" si="2"/>
        <v>6.6140959821428579E-4</v>
      </c>
      <c r="F29" s="12">
        <f>E29/Calculation!K$12*1000</f>
        <v>5.4466061343171914E-4</v>
      </c>
      <c r="G29" s="12">
        <f t="shared" si="3"/>
        <v>32.45001636910947</v>
      </c>
    </row>
    <row r="30" spans="1:10">
      <c r="A30" s="12">
        <v>12.5</v>
      </c>
      <c r="B30" s="12">
        <v>187.2</v>
      </c>
      <c r="C30" s="12">
        <f t="shared" si="0"/>
        <v>0.18719999999999998</v>
      </c>
      <c r="D30" s="12">
        <f t="shared" si="1"/>
        <v>1.3197599999999999E-2</v>
      </c>
      <c r="E30" s="12">
        <f t="shared" si="2"/>
        <v>5.8917857142857144E-4</v>
      </c>
      <c r="F30" s="12">
        <f>E30/Calculation!K$12*1000</f>
        <v>4.8517947577643498E-4</v>
      </c>
      <c r="G30" s="12">
        <f t="shared" si="3"/>
        <v>32.465463970447594</v>
      </c>
    </row>
    <row r="31" spans="1:10">
      <c r="A31" s="12">
        <v>13</v>
      </c>
      <c r="B31" s="12">
        <v>266.08999999999997</v>
      </c>
      <c r="C31" s="12">
        <f t="shared" si="0"/>
        <v>0.26608999999999999</v>
      </c>
      <c r="D31" s="12">
        <f t="shared" si="1"/>
        <v>1.8759344999999997E-2</v>
      </c>
      <c r="E31" s="12">
        <f t="shared" si="2"/>
        <v>8.3747075892857134E-4</v>
      </c>
      <c r="F31" s="12">
        <f>E31/Calculation!K$13*1000</f>
        <v>7.1484175371387465E-4</v>
      </c>
      <c r="G31" s="12">
        <f t="shared" si="3"/>
        <v>32.483464288889948</v>
      </c>
    </row>
    <row r="32" spans="1:10">
      <c r="A32" s="12">
        <v>13.5</v>
      </c>
      <c r="B32" s="12">
        <v>230.23</v>
      </c>
      <c r="C32" s="12">
        <f t="shared" si="0"/>
        <v>0.23022999999999999</v>
      </c>
      <c r="D32" s="12">
        <f t="shared" si="1"/>
        <v>1.6231215E-2</v>
      </c>
      <c r="E32" s="12">
        <f t="shared" si="2"/>
        <v>7.2460781250000006E-4</v>
      </c>
      <c r="F32" s="12">
        <f>E32/Calculation!K$13*1000</f>
        <v>6.1850508082808597E-4</v>
      </c>
      <c r="G32" s="12">
        <f t="shared" si="3"/>
        <v>32.503464491408074</v>
      </c>
    </row>
    <row r="33" spans="1:7">
      <c r="A33" s="12">
        <v>14</v>
      </c>
      <c r="B33" s="12">
        <v>229.51</v>
      </c>
      <c r="C33" s="12">
        <f t="shared" si="0"/>
        <v>0.22950999999999999</v>
      </c>
      <c r="D33" s="12">
        <f t="shared" si="1"/>
        <v>1.6180455E-2</v>
      </c>
      <c r="E33" s="12">
        <f t="shared" si="2"/>
        <v>7.2234174107142866E-4</v>
      </c>
      <c r="F33" s="12">
        <f>E33/Calculation!K$14*1000</f>
        <v>6.3942559226453375E-4</v>
      </c>
      <c r="G33" s="12">
        <f t="shared" si="3"/>
        <v>32.522333451504466</v>
      </c>
    </row>
    <row r="34" spans="1:7">
      <c r="A34" s="12">
        <v>14.5</v>
      </c>
      <c r="B34" s="12">
        <v>196.52</v>
      </c>
      <c r="C34" s="12">
        <f t="shared" si="0"/>
        <v>0.19652</v>
      </c>
      <c r="D34" s="12">
        <f t="shared" si="1"/>
        <v>1.385466E-2</v>
      </c>
      <c r="E34" s="12">
        <f t="shared" si="2"/>
        <v>6.1851160714285712E-4</v>
      </c>
      <c r="F34" s="12">
        <f>E34/Calculation!K$14*1000</f>
        <v>5.4751390959795275E-4</v>
      </c>
      <c r="G34" s="12">
        <f t="shared" si="3"/>
        <v>32.540137544032405</v>
      </c>
    </row>
    <row r="35" spans="1:7">
      <c r="A35" s="12">
        <v>15</v>
      </c>
      <c r="B35" s="12">
        <v>230.23</v>
      </c>
      <c r="C35" s="12">
        <f t="shared" si="0"/>
        <v>0.23022999999999999</v>
      </c>
      <c r="D35" s="12">
        <f t="shared" si="1"/>
        <v>1.6231215E-2</v>
      </c>
      <c r="E35" s="12">
        <f t="shared" si="2"/>
        <v>7.2460781250000006E-4</v>
      </c>
      <c r="F35" s="12">
        <f>E35/Calculation!K$14*1000</f>
        <v>6.4143154593291609E-4</v>
      </c>
      <c r="G35" s="12">
        <f t="shared" si="3"/>
        <v>32.557971725865364</v>
      </c>
    </row>
    <row r="36" spans="1:7">
      <c r="A36" s="12">
        <v>15.5</v>
      </c>
      <c r="B36" s="12">
        <v>249.6</v>
      </c>
      <c r="C36" s="12">
        <f t="shared" si="0"/>
        <v>0.24959999999999999</v>
      </c>
      <c r="D36" s="12">
        <f t="shared" si="1"/>
        <v>1.7596799999999999E-2</v>
      </c>
      <c r="E36" s="12">
        <f t="shared" si="2"/>
        <v>7.8557142857142855E-4</v>
      </c>
      <c r="F36" s="12">
        <f>E36/Calculation!K$15*1000</f>
        <v>7.2399973018226461E-4</v>
      </c>
      <c r="G36" s="12">
        <f t="shared" si="3"/>
        <v>32.578453195007093</v>
      </c>
    </row>
    <row r="37" spans="1:7">
      <c r="A37" s="12">
        <v>16</v>
      </c>
      <c r="B37" s="12">
        <v>218.04</v>
      </c>
      <c r="C37" s="12">
        <f t="shared" si="0"/>
        <v>0.21803999999999998</v>
      </c>
      <c r="D37" s="12">
        <f t="shared" si="1"/>
        <v>1.537182E-2</v>
      </c>
      <c r="E37" s="12">
        <f t="shared" si="2"/>
        <v>6.862419642857143E-4</v>
      </c>
      <c r="F37" s="12">
        <f>E37/Calculation!K$15*1000</f>
        <v>6.3245553352941095E-4</v>
      </c>
      <c r="G37" s="12">
        <f t="shared" si="3"/>
        <v>32.598800023962767</v>
      </c>
    </row>
    <row r="38" spans="1:7">
      <c r="A38" s="12">
        <v>16.5</v>
      </c>
      <c r="B38" s="12">
        <v>228.08</v>
      </c>
      <c r="C38" s="12">
        <f t="shared" si="0"/>
        <v>0.22808</v>
      </c>
      <c r="D38" s="12">
        <f t="shared" si="1"/>
        <v>1.6079639999999999E-2</v>
      </c>
      <c r="E38" s="12">
        <f t="shared" si="2"/>
        <v>7.1784107142857149E-4</v>
      </c>
      <c r="F38" s="12">
        <f>E38/Calculation!K$15*1000</f>
        <v>6.6157795857360157E-4</v>
      </c>
      <c r="G38" s="12">
        <f t="shared" si="3"/>
        <v>32.618210526344313</v>
      </c>
    </row>
    <row r="39" spans="1:7">
      <c r="A39" s="12">
        <v>17</v>
      </c>
      <c r="B39" s="12">
        <v>284.74</v>
      </c>
      <c r="C39" s="12">
        <f t="shared" si="0"/>
        <v>0.28473999999999999</v>
      </c>
      <c r="D39" s="12">
        <f t="shared" si="1"/>
        <v>2.0074170000000002E-2</v>
      </c>
      <c r="E39" s="12">
        <f t="shared" si="2"/>
        <v>8.9616830357142877E-4</v>
      </c>
      <c r="F39" s="12">
        <f>E39/Calculation!K$16*1000</f>
        <v>8.6212721843980235E-4</v>
      </c>
      <c r="G39" s="12">
        <f t="shared" si="3"/>
        <v>32.641066103999513</v>
      </c>
    </row>
    <row r="40" spans="1:7">
      <c r="A40" s="12">
        <v>17.5</v>
      </c>
      <c r="B40" s="12">
        <v>297.64999999999998</v>
      </c>
      <c r="C40" s="12">
        <f t="shared" si="0"/>
        <v>0.29764999999999997</v>
      </c>
      <c r="D40" s="12">
        <f t="shared" si="1"/>
        <v>2.0984324999999995E-2</v>
      </c>
      <c r="E40" s="12">
        <f t="shared" si="2"/>
        <v>9.3680022321428549E-4</v>
      </c>
      <c r="F40" s="12">
        <f>E40/Calculation!K$16*1000</f>
        <v>9.0121572862473501E-4</v>
      </c>
      <c r="G40" s="12">
        <f t="shared" si="3"/>
        <v>32.66751624820548</v>
      </c>
    </row>
    <row r="41" spans="1:7">
      <c r="A41" s="12">
        <v>18</v>
      </c>
      <c r="B41" s="12">
        <v>290.48</v>
      </c>
      <c r="C41" s="12">
        <f t="shared" si="0"/>
        <v>0.29048000000000002</v>
      </c>
      <c r="D41" s="12">
        <f t="shared" si="1"/>
        <v>2.0478840000000002E-2</v>
      </c>
      <c r="E41" s="12">
        <f t="shared" si="2"/>
        <v>9.1423392857142871E-4</v>
      </c>
      <c r="F41" s="12">
        <f>E41/Calculation!K$17*1000</f>
        <v>9.1896112050099898E-4</v>
      </c>
      <c r="G41" s="12">
        <f t="shared" si="3"/>
        <v>32.694818900942366</v>
      </c>
    </row>
    <row r="42" spans="1:7">
      <c r="A42" s="12">
        <v>18.5</v>
      </c>
      <c r="B42" s="12">
        <v>319.17</v>
      </c>
      <c r="C42" s="12">
        <f t="shared" si="0"/>
        <v>0.31917000000000001</v>
      </c>
      <c r="D42" s="12">
        <f t="shared" si="1"/>
        <v>2.2501485000000002E-2</v>
      </c>
      <c r="E42" s="12">
        <f t="shared" si="2"/>
        <v>1.004530580357143E-3</v>
      </c>
      <c r="F42" s="12">
        <f>E42/Calculation!K$17*1000</f>
        <v>1.0097246654857609E-3</v>
      </c>
      <c r="G42" s="12">
        <f t="shared" si="3"/>
        <v>32.723749187732167</v>
      </c>
    </row>
    <row r="43" spans="1:7">
      <c r="A43" s="12">
        <v>19</v>
      </c>
      <c r="B43" s="12">
        <v>335.66</v>
      </c>
      <c r="C43" s="12">
        <f t="shared" si="0"/>
        <v>0.33566000000000001</v>
      </c>
      <c r="D43" s="12">
        <f t="shared" si="1"/>
        <v>2.3664029999999999E-2</v>
      </c>
      <c r="E43" s="12">
        <f t="shared" si="2"/>
        <v>1.0564299107142857E-3</v>
      </c>
      <c r="F43" s="12">
        <f>E43/Calculation!K$17*1000</f>
        <v>1.0618923495847054E-3</v>
      </c>
      <c r="G43" s="12">
        <f t="shared" si="3"/>
        <v>32.754823442958227</v>
      </c>
    </row>
    <row r="44" spans="1:7">
      <c r="A44" s="12">
        <v>19.5</v>
      </c>
      <c r="B44" s="12">
        <v>319.89</v>
      </c>
      <c r="C44" s="12">
        <f t="shared" si="0"/>
        <v>0.31989000000000001</v>
      </c>
      <c r="D44" s="12">
        <f t="shared" si="1"/>
        <v>2.2552245000000002E-2</v>
      </c>
      <c r="E44" s="12">
        <f t="shared" si="2"/>
        <v>1.0067966517857145E-3</v>
      </c>
      <c r="F44" s="12">
        <f>E44/Calculation!K$17*1000</f>
        <v>1.0120024539970551E-3</v>
      </c>
      <c r="G44" s="12">
        <f t="shared" si="3"/>
        <v>32.785931865011953</v>
      </c>
    </row>
    <row r="45" spans="1:7">
      <c r="A45" s="12">
        <v>20</v>
      </c>
      <c r="B45" s="12">
        <v>309.13</v>
      </c>
      <c r="C45" s="12">
        <f t="shared" si="0"/>
        <v>0.30913000000000002</v>
      </c>
      <c r="D45" s="12">
        <f t="shared" si="1"/>
        <v>2.1793665E-2</v>
      </c>
      <c r="E45" s="12">
        <f t="shared" si="2"/>
        <v>9.729314732142858E-4</v>
      </c>
      <c r="F45" s="12">
        <f>E45/Calculation!K$17*1000</f>
        <v>9.7796217013382584E-4</v>
      </c>
      <c r="G45" s="12">
        <f t="shared" si="3"/>
        <v>32.815781334373916</v>
      </c>
    </row>
    <row r="46" spans="1:7">
      <c r="A46" s="12">
        <v>20.5</v>
      </c>
      <c r="B46" s="12">
        <v>377.98</v>
      </c>
      <c r="C46" s="12">
        <f t="shared" si="0"/>
        <v>0.37798000000000004</v>
      </c>
      <c r="D46" s="12">
        <f t="shared" si="1"/>
        <v>2.6647590000000002E-2</v>
      </c>
      <c r="E46" s="12">
        <f t="shared" si="2"/>
        <v>1.1896245535714287E-3</v>
      </c>
      <c r="F46" s="12">
        <f>E46/Calculation!K$17*1000</f>
        <v>1.1957756965263273E-3</v>
      </c>
      <c r="G46" s="12">
        <f t="shared" si="3"/>
        <v>32.848387402373817</v>
      </c>
    </row>
    <row r="47" spans="1:7">
      <c r="A47" s="12">
        <v>21</v>
      </c>
      <c r="B47" s="12">
        <v>355.03</v>
      </c>
      <c r="C47" s="12">
        <f t="shared" si="0"/>
        <v>0.35502999999999996</v>
      </c>
      <c r="D47" s="12">
        <f t="shared" si="1"/>
        <v>2.5029614999999995E-2</v>
      </c>
      <c r="E47" s="12">
        <f t="shared" si="2"/>
        <v>1.1173935267857142E-3</v>
      </c>
      <c r="F47" s="12">
        <f>E47/Calculation!K$17*1000</f>
        <v>1.1231711877288267E-3</v>
      </c>
      <c r="G47" s="12">
        <f t="shared" si="3"/>
        <v>32.883171605637642</v>
      </c>
    </row>
    <row r="48" spans="1:7">
      <c r="A48" s="12">
        <v>21.5</v>
      </c>
      <c r="B48" s="12">
        <v>316.3</v>
      </c>
      <c r="C48" s="12">
        <f t="shared" si="0"/>
        <v>0.31630000000000003</v>
      </c>
      <c r="D48" s="12">
        <f t="shared" si="1"/>
        <v>2.2299150000000004E-2</v>
      </c>
      <c r="E48" s="12">
        <f t="shared" si="2"/>
        <v>9.9549776785714302E-4</v>
      </c>
      <c r="F48" s="12">
        <f>E48/Calculation!K$17*1000</f>
        <v>1.0006451473921301E-3</v>
      </c>
      <c r="G48" s="12">
        <f t="shared" si="3"/>
        <v>32.915028850664456</v>
      </c>
    </row>
    <row r="49" spans="1:7">
      <c r="A49" s="12">
        <v>22</v>
      </c>
      <c r="B49" s="12">
        <v>329.93</v>
      </c>
      <c r="C49" s="12">
        <f t="shared" si="0"/>
        <v>0.32993</v>
      </c>
      <c r="D49" s="12">
        <f t="shared" si="1"/>
        <v>2.3260065E-2</v>
      </c>
      <c r="E49" s="12">
        <f t="shared" si="2"/>
        <v>1.0383957589285716E-3</v>
      </c>
      <c r="F49" s="12">
        <f>E49/Calculation!K$17*1000</f>
        <v>1.0437649493489898E-3</v>
      </c>
      <c r="G49" s="12">
        <f t="shared" si="3"/>
        <v>32.945695002115571</v>
      </c>
    </row>
    <row r="50" spans="1:7">
      <c r="A50" s="12">
        <v>22.5</v>
      </c>
      <c r="B50" s="12">
        <v>314.14999999999998</v>
      </c>
      <c r="C50" s="12">
        <f t="shared" si="0"/>
        <v>0.31414999999999998</v>
      </c>
      <c r="D50" s="12">
        <f t="shared" si="1"/>
        <v>2.2147574999999999E-2</v>
      </c>
      <c r="E50" s="12">
        <f t="shared" si="2"/>
        <v>9.8873102678571434E-4</v>
      </c>
      <c r="F50" s="12">
        <f>E50/Calculation!K$17*1000</f>
        <v>9.9384341780979339E-4</v>
      </c>
      <c r="G50" s="12">
        <f t="shared" si="3"/>
        <v>32.976259127622953</v>
      </c>
    </row>
    <row r="51" spans="1:7">
      <c r="A51" s="12">
        <v>23</v>
      </c>
      <c r="B51" s="12">
        <v>333.51</v>
      </c>
      <c r="C51" s="12">
        <f t="shared" si="0"/>
        <v>0.33350999999999997</v>
      </c>
      <c r="D51" s="12">
        <f t="shared" si="1"/>
        <v>2.3512454999999998E-2</v>
      </c>
      <c r="E51" s="12">
        <f t="shared" si="2"/>
        <v>1.0496631696428572E-3</v>
      </c>
      <c r="F51" s="12">
        <f>E51/Calculation!K$17*1000</f>
        <v>1.055090620002369E-3</v>
      </c>
      <c r="G51" s="12">
        <f t="shared" si="3"/>
        <v>33.006993138190133</v>
      </c>
    </row>
    <row r="52" spans="1:7">
      <c r="A52" s="12">
        <v>23.5</v>
      </c>
      <c r="B52" s="12">
        <v>344.99</v>
      </c>
      <c r="C52" s="12">
        <f t="shared" si="0"/>
        <v>0.34499000000000002</v>
      </c>
      <c r="D52" s="12">
        <f t="shared" si="1"/>
        <v>2.4321795000000004E-2</v>
      </c>
      <c r="E52" s="12">
        <f t="shared" si="2"/>
        <v>1.0857944196428573E-3</v>
      </c>
      <c r="F52" s="12">
        <f>E52/Calculation!K$17*1000</f>
        <v>1.091408692376892E-3</v>
      </c>
      <c r="G52" s="12">
        <f t="shared" si="3"/>
        <v>33.039190627875819</v>
      </c>
    </row>
    <row r="53" spans="1:7">
      <c r="A53" s="12">
        <v>24</v>
      </c>
      <c r="B53" s="12">
        <v>347.86</v>
      </c>
      <c r="C53" s="12">
        <f t="shared" si="0"/>
        <v>0.34786</v>
      </c>
      <c r="D53" s="12">
        <f t="shared" si="1"/>
        <v>2.4524130000000002E-2</v>
      </c>
      <c r="E53" s="12">
        <f t="shared" si="2"/>
        <v>1.0948272321428573E-3</v>
      </c>
      <c r="F53" s="12">
        <f>E53/Calculation!K$18*1000</f>
        <v>1.157782783314273E-3</v>
      </c>
      <c r="G53" s="12">
        <f t="shared" si="3"/>
        <v>33.072928500011187</v>
      </c>
    </row>
    <row r="54" spans="1:7">
      <c r="A54" s="12">
        <v>24.5</v>
      </c>
      <c r="B54" s="12">
        <v>342.84</v>
      </c>
      <c r="C54" s="12">
        <f t="shared" si="0"/>
        <v>0.34283999999999998</v>
      </c>
      <c r="D54" s="12">
        <f t="shared" si="1"/>
        <v>2.4170219999999996E-2</v>
      </c>
      <c r="E54" s="12">
        <f t="shared" si="2"/>
        <v>1.0790276785714284E-3</v>
      </c>
      <c r="F54" s="12">
        <f>E54/Calculation!K$18*1000</f>
        <v>1.1410747123310105E-3</v>
      </c>
      <c r="G54" s="12">
        <f t="shared" si="3"/>
        <v>33.107411362445866</v>
      </c>
    </row>
    <row r="55" spans="1:7">
      <c r="A55" s="12">
        <v>25</v>
      </c>
      <c r="B55" s="12">
        <v>355.03</v>
      </c>
      <c r="C55" s="12">
        <f t="shared" si="0"/>
        <v>0.35502999999999996</v>
      </c>
      <c r="D55" s="12">
        <f t="shared" si="1"/>
        <v>2.5029614999999995E-2</v>
      </c>
      <c r="E55" s="12">
        <f t="shared" si="2"/>
        <v>1.1173935267857142E-3</v>
      </c>
      <c r="F55" s="12">
        <f>E55/Calculation!K$18*1000</f>
        <v>1.1816467014318008E-3</v>
      </c>
      <c r="G55" s="12">
        <f t="shared" si="3"/>
        <v>33.14225218365231</v>
      </c>
    </row>
    <row r="56" spans="1:7">
      <c r="A56" s="12">
        <v>25.5</v>
      </c>
      <c r="B56" s="12">
        <v>393.04</v>
      </c>
      <c r="C56" s="12">
        <f t="shared" si="0"/>
        <v>0.39304</v>
      </c>
      <c r="D56" s="12">
        <f t="shared" si="1"/>
        <v>2.7709319999999999E-2</v>
      </c>
      <c r="E56" s="12">
        <f t="shared" si="2"/>
        <v>1.2370232142857142E-3</v>
      </c>
      <c r="F56" s="12">
        <f>E56/Calculation!K$18*1000</f>
        <v>1.3081554221636342E-3</v>
      </c>
      <c r="G56" s="12">
        <f t="shared" si="3"/>
        <v>33.179599215506244</v>
      </c>
    </row>
    <row r="57" spans="1:7">
      <c r="A57" s="12">
        <v>26</v>
      </c>
      <c r="B57" s="12">
        <v>325.62</v>
      </c>
      <c r="C57" s="12">
        <f t="shared" si="0"/>
        <v>0.32562000000000002</v>
      </c>
      <c r="D57" s="12">
        <f t="shared" si="1"/>
        <v>2.2956210000000005E-2</v>
      </c>
      <c r="E57" s="12">
        <f t="shared" si="2"/>
        <v>1.0248308035714288E-3</v>
      </c>
      <c r="F57" s="12">
        <f>E57/Calculation!K$18*1000</f>
        <v>1.0837613692370311E-3</v>
      </c>
      <c r="G57" s="12">
        <f t="shared" si="3"/>
        <v>33.215477967377254</v>
      </c>
    </row>
    <row r="58" spans="1:7">
      <c r="A58" s="12">
        <v>26.5</v>
      </c>
      <c r="B58" s="12">
        <v>346.42</v>
      </c>
      <c r="C58" s="12">
        <f t="shared" si="0"/>
        <v>0.34642000000000001</v>
      </c>
      <c r="D58" s="12">
        <f t="shared" si="1"/>
        <v>2.4422610000000001E-2</v>
      </c>
      <c r="E58" s="12">
        <f t="shared" si="2"/>
        <v>1.0902950892857145E-3</v>
      </c>
      <c r="F58" s="12">
        <f>E58/Calculation!K$18*1000</f>
        <v>1.1529900298848114E-3</v>
      </c>
      <c r="G58" s="12">
        <f t="shared" si="3"/>
        <v>33.249029238364081</v>
      </c>
    </row>
    <row r="59" spans="1:7">
      <c r="A59" s="12">
        <v>27</v>
      </c>
      <c r="B59" s="12">
        <v>334.95</v>
      </c>
      <c r="C59" s="12">
        <f t="shared" si="0"/>
        <v>0.33494999999999997</v>
      </c>
      <c r="D59" s="12">
        <f t="shared" si="1"/>
        <v>2.3613974999999999E-2</v>
      </c>
      <c r="E59" s="12">
        <f t="shared" si="2"/>
        <v>1.0541953125E-3</v>
      </c>
      <c r="F59" s="12">
        <f>E59/Calculation!K$18*1000</f>
        <v>1.1148144174987517E-3</v>
      </c>
      <c r="G59" s="12">
        <f t="shared" si="3"/>
        <v>33.283046305074834</v>
      </c>
    </row>
    <row r="60" spans="1:7">
      <c r="A60" s="12">
        <v>27.5</v>
      </c>
      <c r="B60" s="12">
        <v>324.19</v>
      </c>
      <c r="C60" s="12">
        <f t="shared" si="0"/>
        <v>0.32418999999999998</v>
      </c>
      <c r="D60" s="12">
        <f t="shared" si="1"/>
        <v>2.2855394999999997E-2</v>
      </c>
      <c r="E60" s="12">
        <f t="shared" si="2"/>
        <v>1.0203301339285714E-3</v>
      </c>
      <c r="F60" s="12">
        <f>E60/Calculation!K$18*1000</f>
        <v>1.0790018988174959E-3</v>
      </c>
      <c r="G60" s="12">
        <f t="shared" si="3"/>
        <v>33.315953549819575</v>
      </c>
    </row>
    <row r="61" spans="1:7">
      <c r="A61" s="12">
        <v>28</v>
      </c>
      <c r="B61" s="12">
        <v>319.17</v>
      </c>
      <c r="C61" s="12">
        <f t="shared" si="0"/>
        <v>0.31917000000000001</v>
      </c>
      <c r="D61" s="12">
        <f t="shared" si="1"/>
        <v>2.2501485000000002E-2</v>
      </c>
      <c r="E61" s="12">
        <f t="shared" si="2"/>
        <v>1.004530580357143E-3</v>
      </c>
      <c r="F61" s="12">
        <f>E61/Calculation!K$18*1000</f>
        <v>1.0622938278342338E-3</v>
      </c>
      <c r="G61" s="12">
        <f t="shared" si="3"/>
        <v>33.348072985719348</v>
      </c>
    </row>
    <row r="62" spans="1:7">
      <c r="A62" s="12">
        <v>28.5</v>
      </c>
      <c r="B62" s="12">
        <v>376.55</v>
      </c>
      <c r="C62" s="12">
        <f t="shared" si="0"/>
        <v>0.37655</v>
      </c>
      <c r="D62" s="12">
        <f t="shared" si="1"/>
        <v>2.6546775000000002E-2</v>
      </c>
      <c r="E62" s="12">
        <f t="shared" si="2"/>
        <v>1.1851238839285716E-3</v>
      </c>
      <c r="F62" s="12">
        <f>E62/Calculation!K$18*1000</f>
        <v>1.2532717387943124E-3</v>
      </c>
      <c r="G62" s="12">
        <f t="shared" si="3"/>
        <v>33.382806469218778</v>
      </c>
    </row>
    <row r="63" spans="1:7">
      <c r="A63" s="12">
        <v>29</v>
      </c>
      <c r="B63" s="12">
        <v>332.08</v>
      </c>
      <c r="C63" s="12">
        <f t="shared" si="0"/>
        <v>0.33207999999999999</v>
      </c>
      <c r="D63" s="12">
        <f t="shared" si="1"/>
        <v>2.3411640000000001E-2</v>
      </c>
      <c r="E63" s="12">
        <f t="shared" si="2"/>
        <v>1.0451625E-3</v>
      </c>
      <c r="F63" s="12">
        <f>E63/Calculation!K$18*1000</f>
        <v>1.105262193649755E-3</v>
      </c>
      <c r="G63" s="12">
        <f t="shared" si="3"/>
        <v>33.41818447820544</v>
      </c>
    </row>
    <row r="64" spans="1:7">
      <c r="A64" s="12">
        <v>29.5</v>
      </c>
      <c r="B64" s="12">
        <v>327.06</v>
      </c>
      <c r="C64" s="12">
        <f t="shared" si="0"/>
        <v>0.32706000000000002</v>
      </c>
      <c r="D64" s="12">
        <f t="shared" si="1"/>
        <v>2.3057729999999999E-2</v>
      </c>
      <c r="E64" s="12">
        <f t="shared" si="2"/>
        <v>1.0293629464285714E-3</v>
      </c>
      <c r="F64" s="12">
        <f>E64/Calculation!K$18*1000</f>
        <v>1.0885541226664927E-3</v>
      </c>
      <c r="G64" s="12">
        <f t="shared" si="3"/>
        <v>33.451091722950181</v>
      </c>
    </row>
    <row r="65" spans="1:7">
      <c r="A65" s="12">
        <v>30</v>
      </c>
      <c r="B65" s="12">
        <v>402.37</v>
      </c>
      <c r="C65" s="12">
        <f t="shared" si="0"/>
        <v>0.40237000000000001</v>
      </c>
      <c r="D65" s="12">
        <f t="shared" si="1"/>
        <v>2.8367085E-2</v>
      </c>
      <c r="E65" s="12">
        <f t="shared" si="2"/>
        <v>1.2663877232142859E-3</v>
      </c>
      <c r="F65" s="12">
        <f>E65/Calculation!K$19*1000</f>
        <v>1.4156949355067618E-3</v>
      </c>
      <c r="G65" s="12">
        <f t="shared" si="3"/>
        <v>33.488655458822777</v>
      </c>
    </row>
    <row r="66" spans="1:7">
      <c r="A66" s="12">
        <v>30.5</v>
      </c>
      <c r="B66" s="12">
        <v>380.13</v>
      </c>
      <c r="C66" s="12">
        <f t="shared" si="0"/>
        <v>0.38012999999999997</v>
      </c>
      <c r="D66" s="12">
        <f t="shared" si="1"/>
        <v>2.6799164999999996E-2</v>
      </c>
      <c r="E66" s="12">
        <f t="shared" si="2"/>
        <v>1.196391294642857E-3</v>
      </c>
      <c r="F66" s="12">
        <f>E66/Calculation!K$19*1000</f>
        <v>1.337445922494682E-3</v>
      </c>
      <c r="G66" s="12">
        <f t="shared" si="3"/>
        <v>33.529952571692796</v>
      </c>
    </row>
    <row r="67" spans="1:7">
      <c r="A67" s="12">
        <v>31</v>
      </c>
      <c r="B67" s="12">
        <v>379.42</v>
      </c>
      <c r="C67" s="12">
        <f t="shared" si="0"/>
        <v>0.37942000000000004</v>
      </c>
      <c r="D67" s="12">
        <f t="shared" si="1"/>
        <v>2.6749110000000003E-2</v>
      </c>
      <c r="E67" s="12">
        <f t="shared" si="2"/>
        <v>1.1941566964285715E-3</v>
      </c>
      <c r="F67" s="12">
        <f>E67/Calculation!K$19*1000</f>
        <v>1.3349478649749621E-3</v>
      </c>
      <c r="G67" s="12">
        <f t="shared" si="3"/>
        <v>33.570038478504841</v>
      </c>
    </row>
    <row r="68" spans="1:7">
      <c r="A68" s="12">
        <v>31.5</v>
      </c>
      <c r="B68" s="12">
        <v>364.35</v>
      </c>
      <c r="C68" s="12">
        <f t="shared" si="0"/>
        <v>0.36435000000000001</v>
      </c>
      <c r="D68" s="12">
        <f t="shared" si="1"/>
        <v>2.5686674999999999E-2</v>
      </c>
      <c r="E68" s="12">
        <f t="shared" si="2"/>
        <v>1.1467265625E-3</v>
      </c>
      <c r="F68" s="12">
        <f>E68/Calculation!K$19*1000</f>
        <v>1.2819257145211835E-3</v>
      </c>
      <c r="G68" s="12">
        <f t="shared" si="3"/>
        <v>33.609291582197287</v>
      </c>
    </row>
    <row r="69" spans="1:7">
      <c r="A69" s="12">
        <v>32</v>
      </c>
      <c r="B69" s="12">
        <v>401.65</v>
      </c>
      <c r="C69" s="12">
        <f t="shared" si="0"/>
        <v>0.40164999999999995</v>
      </c>
      <c r="D69" s="12">
        <f t="shared" si="1"/>
        <v>2.8316325E-2</v>
      </c>
      <c r="E69" s="12">
        <f t="shared" si="2"/>
        <v>1.2641216517857144E-3</v>
      </c>
      <c r="F69" s="12">
        <f>E69/Calculation!K$19*1000</f>
        <v>1.4131616940783131E-3</v>
      </c>
      <c r="G69" s="12">
        <f t="shared" si="3"/>
        <v>33.649717893326276</v>
      </c>
    </row>
    <row r="70" spans="1:7">
      <c r="A70" s="12">
        <v>32.5</v>
      </c>
      <c r="B70" s="12">
        <v>408.11</v>
      </c>
      <c r="C70" s="12">
        <f t="shared" ref="C70:C101" si="4">B70/1000</f>
        <v>0.40811000000000003</v>
      </c>
      <c r="D70" s="12">
        <f t="shared" ref="D70:D101" si="5">C70/1000*$B$1</f>
        <v>2.8771755000000003E-2</v>
      </c>
      <c r="E70" s="12">
        <f t="shared" ref="E70:E101" si="6">D70/22.4</f>
        <v>1.284453348214286E-3</v>
      </c>
      <c r="F70" s="12">
        <f>E70/Calculation!K$19*1000</f>
        <v>1.4358904991168941E-3</v>
      </c>
      <c r="G70" s="12">
        <f t="shared" si="3"/>
        <v>33.692453676224204</v>
      </c>
    </row>
    <row r="71" spans="1:7">
      <c r="A71" s="12">
        <v>33</v>
      </c>
      <c r="B71" s="12">
        <v>484.85</v>
      </c>
      <c r="C71" s="12">
        <f t="shared" si="4"/>
        <v>0.48485</v>
      </c>
      <c r="D71" s="12">
        <f t="shared" si="5"/>
        <v>3.4181925000000002E-2</v>
      </c>
      <c r="E71" s="12">
        <f t="shared" si="6"/>
        <v>1.5259787946428573E-3</v>
      </c>
      <c r="F71" s="12">
        <f>E71/Calculation!K$19*1000</f>
        <v>1.7058918146990417E-3</v>
      </c>
      <c r="G71" s="12">
        <f t="shared" ref="G71:G101" si="7">G70+(F71+F70)/2*30</f>
        <v>33.739580410931445</v>
      </c>
    </row>
    <row r="72" spans="1:7">
      <c r="A72" s="12">
        <v>33.5</v>
      </c>
      <c r="B72" s="12">
        <v>414.56</v>
      </c>
      <c r="C72" s="12">
        <f t="shared" si="4"/>
        <v>0.41455999999999998</v>
      </c>
      <c r="D72" s="12">
        <f t="shared" si="5"/>
        <v>2.9226479999999996E-2</v>
      </c>
      <c r="E72" s="12">
        <f t="shared" si="6"/>
        <v>1.3047535714285714E-3</v>
      </c>
      <c r="F72" s="12">
        <f>E72/Calculation!K$19*1000</f>
        <v>1.4585841202467457E-3</v>
      </c>
      <c r="G72" s="12">
        <f t="shared" si="7"/>
        <v>33.787047549955631</v>
      </c>
    </row>
    <row r="73" spans="1:7">
      <c r="A73" s="12">
        <v>34</v>
      </c>
      <c r="B73" s="12">
        <v>431.06</v>
      </c>
      <c r="C73" s="12">
        <f t="shared" si="4"/>
        <v>0.43106</v>
      </c>
      <c r="D73" s="12">
        <f t="shared" si="5"/>
        <v>3.038973E-2</v>
      </c>
      <c r="E73" s="12">
        <f t="shared" si="6"/>
        <v>1.3566843750000002E-3</v>
      </c>
      <c r="F73" s="12">
        <f>E73/Calculation!K$19*1000</f>
        <v>1.5166375696486932E-3</v>
      </c>
      <c r="G73" s="12">
        <f t="shared" si="7"/>
        <v>33.831675875304065</v>
      </c>
    </row>
    <row r="74" spans="1:7">
      <c r="A74" s="12">
        <v>34.5</v>
      </c>
      <c r="B74" s="12">
        <v>525.73</v>
      </c>
      <c r="C74" s="12">
        <f t="shared" si="4"/>
        <v>0.52573000000000003</v>
      </c>
      <c r="D74" s="12">
        <f t="shared" si="5"/>
        <v>3.7063965000000004E-2</v>
      </c>
      <c r="E74" s="12">
        <f t="shared" si="6"/>
        <v>1.6546412946428575E-3</v>
      </c>
      <c r="F74" s="12">
        <f>E74/Calculation!K$19*1000</f>
        <v>1.8497236335809578E-3</v>
      </c>
      <c r="G74" s="12">
        <f t="shared" si="7"/>
        <v>33.882171293352506</v>
      </c>
    </row>
    <row r="75" spans="1:7">
      <c r="A75" s="12">
        <v>35</v>
      </c>
      <c r="B75" s="12">
        <v>721.54</v>
      </c>
      <c r="C75" s="12">
        <f t="shared" si="4"/>
        <v>0.72153999999999996</v>
      </c>
      <c r="D75" s="12">
        <f t="shared" si="5"/>
        <v>5.0868570000000002E-2</v>
      </c>
      <c r="E75" s="12">
        <f t="shared" si="6"/>
        <v>2.2709183035714287E-3</v>
      </c>
      <c r="F75" s="12">
        <f>E75/Calculation!K$19*1000</f>
        <v>2.5386597503927947E-3</v>
      </c>
      <c r="G75" s="12">
        <f t="shared" si="7"/>
        <v>33.947997044112114</v>
      </c>
    </row>
    <row r="76" spans="1:7">
      <c r="A76" s="12">
        <v>35.5</v>
      </c>
      <c r="B76" s="12">
        <v>1113.8599999999999</v>
      </c>
      <c r="C76" s="12">
        <f t="shared" si="4"/>
        <v>1.1138599999999999</v>
      </c>
      <c r="D76" s="12">
        <f t="shared" si="5"/>
        <v>7.8527130000000001E-2</v>
      </c>
      <c r="E76" s="12">
        <f t="shared" si="6"/>
        <v>3.5056754464285718E-3</v>
      </c>
      <c r="F76" s="12">
        <f>E76/Calculation!K$19*1000</f>
        <v>3.9189948576274615E-3</v>
      </c>
      <c r="G76" s="12">
        <f t="shared" si="7"/>
        <v>34.04486186323242</v>
      </c>
    </row>
    <row r="77" spans="1:7">
      <c r="A77" s="12">
        <v>36</v>
      </c>
      <c r="B77" s="12">
        <v>1773.71</v>
      </c>
      <c r="C77" s="12">
        <f t="shared" si="4"/>
        <v>1.7737100000000001</v>
      </c>
      <c r="D77" s="12">
        <f t="shared" si="5"/>
        <v>0.125046555</v>
      </c>
      <c r="E77" s="12">
        <f t="shared" si="6"/>
        <v>5.5824354910714294E-3</v>
      </c>
      <c r="F77" s="12">
        <f>E77/Calculation!K$19*1000</f>
        <v>6.2406050750744308E-3</v>
      </c>
      <c r="G77" s="12">
        <f t="shared" si="7"/>
        <v>34.197255862222946</v>
      </c>
    </row>
    <row r="78" spans="1:7">
      <c r="A78" s="12">
        <v>36.5</v>
      </c>
      <c r="B78" s="12">
        <v>1592.97</v>
      </c>
      <c r="C78" s="12">
        <f t="shared" si="4"/>
        <v>1.59297</v>
      </c>
      <c r="D78" s="12">
        <f t="shared" si="5"/>
        <v>0.11230438499999999</v>
      </c>
      <c r="E78" s="12">
        <f t="shared" si="6"/>
        <v>5.0135886160714285E-3</v>
      </c>
      <c r="F78" s="12">
        <f>E78/Calculation!K$19*1000</f>
        <v>5.6046911087163712E-3</v>
      </c>
      <c r="G78" s="12">
        <f t="shared" si="7"/>
        <v>34.374935304979807</v>
      </c>
    </row>
    <row r="79" spans="1:7">
      <c r="A79" s="12">
        <v>37</v>
      </c>
      <c r="B79" s="12">
        <v>702.17</v>
      </c>
      <c r="C79" s="12">
        <f t="shared" si="4"/>
        <v>0.70216999999999996</v>
      </c>
      <c r="D79" s="12">
        <f t="shared" si="5"/>
        <v>4.9502984999999999E-2</v>
      </c>
      <c r="E79" s="12">
        <f t="shared" si="6"/>
        <v>2.2099546875000002E-3</v>
      </c>
      <c r="F79" s="12">
        <f>E79/Calculation!K$19*1000</f>
        <v>2.4705085191857813E-3</v>
      </c>
      <c r="G79" s="12">
        <f t="shared" si="7"/>
        <v>34.496063299398337</v>
      </c>
    </row>
    <row r="80" spans="1:7">
      <c r="A80" s="12">
        <v>37.5</v>
      </c>
      <c r="B80" s="12">
        <v>469.79</v>
      </c>
      <c r="C80" s="12">
        <f t="shared" si="4"/>
        <v>0.46979000000000004</v>
      </c>
      <c r="D80" s="12">
        <f t="shared" si="5"/>
        <v>3.3120195000000005E-2</v>
      </c>
      <c r="E80" s="12">
        <f t="shared" si="6"/>
        <v>1.4785801339285717E-3</v>
      </c>
      <c r="F80" s="12">
        <f>E80/Calculation!K$19*1000</f>
        <v>1.6529048481539917E-3</v>
      </c>
      <c r="G80" s="12">
        <f t="shared" si="7"/>
        <v>34.557914499908435</v>
      </c>
    </row>
    <row r="81" spans="1:7">
      <c r="A81" s="12">
        <v>38</v>
      </c>
      <c r="B81" s="12">
        <v>385.15</v>
      </c>
      <c r="C81" s="12">
        <f t="shared" si="4"/>
        <v>0.38514999999999999</v>
      </c>
      <c r="D81" s="12">
        <f t="shared" si="5"/>
        <v>2.7153075000000002E-2</v>
      </c>
      <c r="E81" s="12">
        <f t="shared" si="6"/>
        <v>1.2121908482142858E-3</v>
      </c>
      <c r="F81" s="12">
        <f>E81/Calculation!K$19*1000</f>
        <v>1.3551082446763658E-3</v>
      </c>
      <c r="G81" s="12">
        <f t="shared" si="7"/>
        <v>34.603034696300888</v>
      </c>
    </row>
    <row r="82" spans="1:7">
      <c r="A82" s="12">
        <v>38.5</v>
      </c>
      <c r="B82" s="12">
        <v>363.64</v>
      </c>
      <c r="C82" s="12">
        <f t="shared" si="4"/>
        <v>0.36363999999999996</v>
      </c>
      <c r="D82" s="12">
        <f t="shared" si="5"/>
        <v>2.5636619999999999E-2</v>
      </c>
      <c r="E82" s="12">
        <f t="shared" si="6"/>
        <v>1.1444919642857143E-3</v>
      </c>
      <c r="F82" s="12">
        <f>E82/Calculation!K$19*1000</f>
        <v>1.2794276570014633E-3</v>
      </c>
      <c r="G82" s="12">
        <f t="shared" si="7"/>
        <v>34.642552734826054</v>
      </c>
    </row>
    <row r="83" spans="1:7">
      <c r="A83" s="12">
        <v>39</v>
      </c>
      <c r="B83" s="12">
        <v>338.53</v>
      </c>
      <c r="C83" s="12">
        <f t="shared" si="4"/>
        <v>0.33853</v>
      </c>
      <c r="D83" s="12">
        <f t="shared" si="5"/>
        <v>2.3866364999999997E-2</v>
      </c>
      <c r="E83" s="12">
        <f t="shared" si="6"/>
        <v>1.0654627232142856E-3</v>
      </c>
      <c r="F83" s="12">
        <f>E83/Calculation!K$19*1000</f>
        <v>1.1910808621843178E-3</v>
      </c>
      <c r="G83" s="12">
        <f t="shared" si="7"/>
        <v>34.679610362613843</v>
      </c>
    </row>
    <row r="84" spans="1:7">
      <c r="A84" s="12">
        <v>39.5</v>
      </c>
      <c r="B84" s="12">
        <v>315.58</v>
      </c>
      <c r="C84" s="12">
        <f t="shared" si="4"/>
        <v>0.31557999999999997</v>
      </c>
      <c r="D84" s="12">
        <f t="shared" si="5"/>
        <v>2.224839E-2</v>
      </c>
      <c r="E84" s="12">
        <f t="shared" si="6"/>
        <v>9.9323169642857151E-4</v>
      </c>
      <c r="F84" s="12">
        <f>E84/Calculation!K$19*1000</f>
        <v>1.1103337916525185E-3</v>
      </c>
      <c r="G84" s="12">
        <f t="shared" si="7"/>
        <v>34.714131582421395</v>
      </c>
    </row>
    <row r="85" spans="1:7">
      <c r="A85" s="12">
        <v>40</v>
      </c>
      <c r="B85" s="12">
        <v>332.08</v>
      </c>
      <c r="C85" s="12">
        <f t="shared" si="4"/>
        <v>0.33207999999999999</v>
      </c>
      <c r="D85" s="12">
        <f t="shared" si="5"/>
        <v>2.3411640000000001E-2</v>
      </c>
      <c r="E85" s="12">
        <f t="shared" si="6"/>
        <v>1.0451625E-3</v>
      </c>
      <c r="F85" s="12">
        <f>E85/Calculation!K$19*1000</f>
        <v>1.1683872410544658E-3</v>
      </c>
      <c r="G85" s="12">
        <f t="shared" si="7"/>
        <v>34.748312397912002</v>
      </c>
    </row>
    <row r="86" spans="1:7">
      <c r="A86" s="12">
        <v>40.5</v>
      </c>
      <c r="B86" s="12">
        <v>368.66</v>
      </c>
      <c r="C86" s="12">
        <f t="shared" si="4"/>
        <v>0.36866000000000004</v>
      </c>
      <c r="D86" s="12">
        <f t="shared" si="5"/>
        <v>2.5990530000000001E-2</v>
      </c>
      <c r="E86" s="12">
        <f t="shared" si="6"/>
        <v>1.1602915178571429E-3</v>
      </c>
      <c r="F86" s="12">
        <f>E86/Calculation!K$19*1000</f>
        <v>1.2970899791831466E-3</v>
      </c>
      <c r="G86" s="12">
        <f t="shared" si="7"/>
        <v>34.785294556215568</v>
      </c>
    </row>
    <row r="87" spans="1:7">
      <c r="A87" s="12">
        <v>41</v>
      </c>
      <c r="B87" s="12">
        <v>324.19</v>
      </c>
      <c r="C87" s="12">
        <f t="shared" si="4"/>
        <v>0.32418999999999998</v>
      </c>
      <c r="D87" s="12">
        <f t="shared" si="5"/>
        <v>2.2855394999999997E-2</v>
      </c>
      <c r="E87" s="12">
        <f t="shared" si="6"/>
        <v>1.0203301339285714E-3</v>
      </c>
      <c r="F87" s="12">
        <f>E87/Calculation!K$19*1000</f>
        <v>1.1406271370677165E-3</v>
      </c>
      <c r="G87" s="12">
        <f t="shared" si="7"/>
        <v>34.82186031295933</v>
      </c>
    </row>
    <row r="88" spans="1:7">
      <c r="A88" s="12">
        <v>41.5</v>
      </c>
      <c r="B88" s="12">
        <v>261.07</v>
      </c>
      <c r="C88" s="12">
        <f t="shared" si="4"/>
        <v>0.26106999999999997</v>
      </c>
      <c r="D88" s="12">
        <f t="shared" si="5"/>
        <v>1.8405434999999998E-2</v>
      </c>
      <c r="E88" s="12">
        <f t="shared" si="6"/>
        <v>8.216712053571428E-4</v>
      </c>
      <c r="F88" s="12">
        <f>E88/Calculation!K$19*1000</f>
        <v>9.1854630517372127E-4</v>
      </c>
      <c r="G88" s="12">
        <f t="shared" si="7"/>
        <v>34.852747914592953</v>
      </c>
    </row>
    <row r="89" spans="1:7">
      <c r="A89" s="12">
        <v>42</v>
      </c>
      <c r="B89" s="12">
        <v>346.42</v>
      </c>
      <c r="C89" s="12">
        <f t="shared" si="4"/>
        <v>0.34642000000000001</v>
      </c>
      <c r="D89" s="12">
        <f t="shared" si="5"/>
        <v>2.4422610000000001E-2</v>
      </c>
      <c r="E89" s="12">
        <f t="shared" si="6"/>
        <v>1.0902950892857145E-3</v>
      </c>
      <c r="F89" s="12">
        <f>E89/Calculation!K$19*1000</f>
        <v>1.2188409661710675E-3</v>
      </c>
      <c r="G89" s="12">
        <f t="shared" si="7"/>
        <v>34.884808723663127</v>
      </c>
    </row>
    <row r="90" spans="1:7">
      <c r="A90" s="12">
        <v>42.5</v>
      </c>
      <c r="B90" s="12">
        <v>327.78</v>
      </c>
      <c r="C90" s="12">
        <f t="shared" si="4"/>
        <v>0.32777999999999996</v>
      </c>
      <c r="D90" s="12">
        <f t="shared" si="5"/>
        <v>2.3108489999999995E-2</v>
      </c>
      <c r="E90" s="12">
        <f t="shared" si="6"/>
        <v>1.0316290178571427E-3</v>
      </c>
      <c r="F90" s="12">
        <f>E90/Calculation!K$19*1000</f>
        <v>1.1532581603012309E-3</v>
      </c>
      <c r="G90" s="12">
        <f t="shared" si="7"/>
        <v>34.920390210560214</v>
      </c>
    </row>
    <row r="91" spans="1:7">
      <c r="A91" s="12">
        <v>43</v>
      </c>
      <c r="B91" s="12">
        <v>355.03</v>
      </c>
      <c r="C91" s="12">
        <f t="shared" si="4"/>
        <v>0.35502999999999996</v>
      </c>
      <c r="D91" s="12">
        <f t="shared" si="5"/>
        <v>2.5029614999999995E-2</v>
      </c>
      <c r="E91" s="12">
        <f t="shared" si="6"/>
        <v>1.1173935267857142E-3</v>
      </c>
      <c r="F91" s="12">
        <f>E91/Calculation!K$19*1000</f>
        <v>1.2491343115862653E-3</v>
      </c>
      <c r="G91" s="12">
        <f t="shared" si="7"/>
        <v>34.956426097638527</v>
      </c>
    </row>
    <row r="92" spans="1:7">
      <c r="A92" s="12">
        <v>43.5</v>
      </c>
      <c r="B92" s="12">
        <v>399.5</v>
      </c>
      <c r="C92" s="12">
        <f t="shared" si="4"/>
        <v>0.39950000000000002</v>
      </c>
      <c r="D92" s="12">
        <f t="shared" si="5"/>
        <v>2.8164749999999999E-2</v>
      </c>
      <c r="E92" s="12">
        <f t="shared" si="6"/>
        <v>1.2573549107142857E-3</v>
      </c>
      <c r="F92" s="12">
        <f>E92/Calculation!K$19*1000</f>
        <v>1.4055971537016954E-3</v>
      </c>
      <c r="G92" s="12">
        <f t="shared" si="7"/>
        <v>34.996247069617844</v>
      </c>
    </row>
    <row r="93" spans="1:7">
      <c r="A93" s="12">
        <v>44</v>
      </c>
      <c r="B93" s="12">
        <v>428.19</v>
      </c>
      <c r="C93" s="12">
        <f t="shared" si="4"/>
        <v>0.42819000000000002</v>
      </c>
      <c r="D93" s="12">
        <f t="shared" si="5"/>
        <v>3.0187394999999999E-2</v>
      </c>
      <c r="E93" s="12">
        <f t="shared" si="6"/>
        <v>1.3476515625E-3</v>
      </c>
      <c r="F93" s="12">
        <f>E93/Calculation!K$19*1000</f>
        <v>1.5065397878436272E-3</v>
      </c>
      <c r="G93" s="12">
        <f t="shared" si="7"/>
        <v>35.039929123741025</v>
      </c>
    </row>
    <row r="94" spans="1:7">
      <c r="A94" s="12">
        <v>44.5</v>
      </c>
      <c r="B94" s="12">
        <v>423.17</v>
      </c>
      <c r="C94" s="12">
        <f t="shared" si="4"/>
        <v>0.42316999999999999</v>
      </c>
      <c r="D94" s="12">
        <f t="shared" si="5"/>
        <v>2.9833485E-2</v>
      </c>
      <c r="E94" s="12">
        <f t="shared" si="6"/>
        <v>1.3318520089285715E-3</v>
      </c>
      <c r="F94" s="12">
        <f>E94/Calculation!K$19*1000</f>
        <v>1.4888774656619439E-3</v>
      </c>
      <c r="G94" s="12">
        <f t="shared" si="7"/>
        <v>35.08486038254361</v>
      </c>
    </row>
    <row r="95" spans="1:7">
      <c r="A95" s="12">
        <v>45</v>
      </c>
      <c r="B95" s="12">
        <v>401.65</v>
      </c>
      <c r="C95" s="12">
        <f t="shared" si="4"/>
        <v>0.40164999999999995</v>
      </c>
      <c r="D95" s="12">
        <f t="shared" si="5"/>
        <v>2.8316325E-2</v>
      </c>
      <c r="E95" s="12">
        <f t="shared" si="6"/>
        <v>1.2641216517857144E-3</v>
      </c>
      <c r="F95" s="12">
        <f>E95/Calculation!K$19*1000</f>
        <v>1.4131616940783131E-3</v>
      </c>
      <c r="G95" s="12">
        <f t="shared" si="7"/>
        <v>35.128390969939716</v>
      </c>
    </row>
    <row r="96" spans="1:7">
      <c r="A96" s="12">
        <v>45.5</v>
      </c>
      <c r="B96" s="12">
        <v>370.81</v>
      </c>
      <c r="C96" s="12">
        <f t="shared" si="4"/>
        <v>0.37081000000000003</v>
      </c>
      <c r="D96" s="12">
        <f t="shared" si="5"/>
        <v>2.6142105000000002E-2</v>
      </c>
      <c r="E96" s="12">
        <f t="shared" si="6"/>
        <v>1.1670582589285716E-3</v>
      </c>
      <c r="F96" s="12">
        <f>E96/Calculation!K$19*1000</f>
        <v>1.3046545195597643E-3</v>
      </c>
      <c r="G96" s="12">
        <f t="shared" si="7"/>
        <v>35.169158213144286</v>
      </c>
    </row>
    <row r="97" spans="1:7">
      <c r="A97" s="12">
        <v>46</v>
      </c>
      <c r="B97" s="12">
        <v>337.1</v>
      </c>
      <c r="C97" s="12">
        <f t="shared" si="4"/>
        <v>0.33710000000000001</v>
      </c>
      <c r="D97" s="12">
        <f t="shared" si="5"/>
        <v>2.376555E-2</v>
      </c>
      <c r="E97" s="12">
        <f t="shared" si="6"/>
        <v>1.0609620535714287E-3</v>
      </c>
      <c r="F97" s="12">
        <f>E97/Calculation!K$19*1000</f>
        <v>1.1860495632361493E-3</v>
      </c>
      <c r="G97" s="12">
        <f t="shared" si="7"/>
        <v>35.206518774386225</v>
      </c>
    </row>
    <row r="98" spans="1:7">
      <c r="A98" s="12">
        <v>46.5</v>
      </c>
      <c r="B98" s="12">
        <v>352.16</v>
      </c>
      <c r="C98" s="12">
        <f t="shared" si="4"/>
        <v>0.35216000000000003</v>
      </c>
      <c r="D98" s="12">
        <f t="shared" si="5"/>
        <v>2.482728E-2</v>
      </c>
      <c r="E98" s="12">
        <f t="shared" si="6"/>
        <v>1.1083607142857144E-3</v>
      </c>
      <c r="F98" s="12">
        <f>E98/Calculation!K$19*1000</f>
        <v>1.2390365297811994E-3</v>
      </c>
      <c r="G98" s="12">
        <f t="shared" si="7"/>
        <v>35.242895065781482</v>
      </c>
    </row>
    <row r="99" spans="1:7">
      <c r="A99" s="12">
        <v>47</v>
      </c>
      <c r="B99" s="12">
        <v>377.26</v>
      </c>
      <c r="C99" s="12">
        <f t="shared" si="4"/>
        <v>0.37725999999999998</v>
      </c>
      <c r="D99" s="12">
        <f t="shared" si="5"/>
        <v>2.6596829999999998E-2</v>
      </c>
      <c r="E99" s="12">
        <f t="shared" si="6"/>
        <v>1.1873584821428572E-3</v>
      </c>
      <c r="F99" s="12">
        <f>E99/Calculation!K$19*1000</f>
        <v>1.3273481406896163E-3</v>
      </c>
      <c r="G99" s="12">
        <f t="shared" si="7"/>
        <v>35.281390835838543</v>
      </c>
    </row>
    <row r="100" spans="1:7">
      <c r="A100" s="12">
        <v>47.5</v>
      </c>
      <c r="B100" s="12">
        <v>355.75</v>
      </c>
      <c r="C100" s="12">
        <f t="shared" si="4"/>
        <v>0.35575000000000001</v>
      </c>
      <c r="D100" s="12">
        <f t="shared" si="5"/>
        <v>2.5080374999999999E-2</v>
      </c>
      <c r="E100" s="12">
        <f t="shared" si="6"/>
        <v>1.1196595982142857E-3</v>
      </c>
      <c r="F100" s="12">
        <f>E100/Calculation!K$19*1000</f>
        <v>1.251667553014714E-3</v>
      </c>
      <c r="G100" s="12">
        <f t="shared" si="7"/>
        <v>35.32007607124411</v>
      </c>
    </row>
    <row r="101" spans="1:7">
      <c r="A101" s="12">
        <v>48</v>
      </c>
      <c r="B101" s="12">
        <v>280.44</v>
      </c>
      <c r="C101" s="12">
        <f t="shared" si="4"/>
        <v>0.28044000000000002</v>
      </c>
      <c r="D101" s="12">
        <f t="shared" si="5"/>
        <v>1.977102E-2</v>
      </c>
      <c r="E101" s="12">
        <f t="shared" si="6"/>
        <v>8.8263482142857152E-4</v>
      </c>
      <c r="F101" s="12">
        <f>E101/Calculation!K$20*1000</f>
        <v>1.0430183617284826E-3</v>
      </c>
      <c r="G101" s="12">
        <f t="shared" si="7"/>
        <v>35.35449635996526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70.5</v>
      </c>
      <c r="C1" s="9" t="s">
        <v>51</v>
      </c>
    </row>
    <row r="3" spans="1:12">
      <c r="A3" s="127" t="s">
        <v>5</v>
      </c>
      <c r="B3" s="127" t="s">
        <v>36</v>
      </c>
      <c r="C3" s="127"/>
      <c r="D3" s="127" t="s">
        <v>52</v>
      </c>
      <c r="E3" s="127"/>
      <c r="F3" s="127"/>
      <c r="G3" s="8" t="s">
        <v>53</v>
      </c>
    </row>
    <row r="4" spans="1:12">
      <c r="A4" s="127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74">
        <v>0</v>
      </c>
      <c r="C5" s="35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4">
        <v>0.5</v>
      </c>
      <c r="B6" s="74">
        <v>2872.71</v>
      </c>
      <c r="C6" s="35">
        <f t="shared" ref="C6:C69" si="0">B6/1000</f>
        <v>2.8727100000000001</v>
      </c>
      <c r="D6" s="12">
        <f>C6/1000*$B$1</f>
        <v>0.20252605500000001</v>
      </c>
      <c r="E6" s="12">
        <f t="shared" ref="E6:E69" si="1">D6/22.4</f>
        <v>9.0413417410714295E-3</v>
      </c>
      <c r="F6" s="12">
        <f>E6/Calculation!K$4*1000</f>
        <v>5.8027454149801446E-3</v>
      </c>
      <c r="G6" s="12">
        <f>G5+(F6+F5)/2*30</f>
        <v>8.7041181224702169E-2</v>
      </c>
    </row>
    <row r="7" spans="1:12">
      <c r="A7" s="34">
        <v>1</v>
      </c>
      <c r="B7" s="74">
        <v>3438.06</v>
      </c>
      <c r="C7" s="35">
        <f t="shared" si="0"/>
        <v>3.4380600000000001</v>
      </c>
      <c r="D7" s="12">
        <f t="shared" ref="D7:D69" si="2">C7/1000*$B$1</f>
        <v>0.24238323000000001</v>
      </c>
      <c r="E7" s="12">
        <f t="shared" si="1"/>
        <v>1.0820679910714287E-2</v>
      </c>
      <c r="F7" s="12">
        <f>E7/Calculation!K$4*1000</f>
        <v>6.9447270700581107E-3</v>
      </c>
      <c r="G7" s="12">
        <f>G6+(F7+F6)/2*30</f>
        <v>0.27825326850027599</v>
      </c>
    </row>
    <row r="8" spans="1:12">
      <c r="A8" s="34">
        <v>1.5</v>
      </c>
      <c r="B8" s="74">
        <v>4026.47</v>
      </c>
      <c r="C8" s="35">
        <f t="shared" si="0"/>
        <v>4.0264699999999998</v>
      </c>
      <c r="D8" s="12">
        <f t="shared" si="2"/>
        <v>0.28386613499999996</v>
      </c>
      <c r="E8" s="12">
        <f t="shared" si="1"/>
        <v>1.26725953125E-2</v>
      </c>
      <c r="F8" s="12">
        <f>E8/Calculation!K$4*1000</f>
        <v>8.133288891344792E-3</v>
      </c>
      <c r="G8" s="12">
        <f t="shared" ref="G8:G70" si="3">G7+(F8+F7)/2*30</f>
        <v>0.50442350792131951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74">
        <v>4080.57</v>
      </c>
      <c r="C9" s="35">
        <f t="shared" si="0"/>
        <v>4.0805699999999998</v>
      </c>
      <c r="D9" s="12">
        <f t="shared" si="2"/>
        <v>0.28768018499999998</v>
      </c>
      <c r="E9" s="12">
        <f t="shared" si="1"/>
        <v>1.2842865401785714E-2</v>
      </c>
      <c r="F9" s="12">
        <f>E9/Calculation!K$5*1000</f>
        <v>8.4701739068910025E-3</v>
      </c>
      <c r="G9" s="12">
        <f t="shared" si="3"/>
        <v>0.75347544989485649</v>
      </c>
    </row>
    <row r="10" spans="1:12">
      <c r="A10" s="34">
        <v>2.5</v>
      </c>
      <c r="B10" s="74">
        <v>4632.3100000000004</v>
      </c>
      <c r="C10" s="35">
        <f t="shared" si="0"/>
        <v>4.6323100000000004</v>
      </c>
      <c r="D10" s="12">
        <f t="shared" si="2"/>
        <v>0.32657785500000003</v>
      </c>
      <c r="E10" s="12">
        <f t="shared" si="1"/>
        <v>1.4579368526785716E-2</v>
      </c>
      <c r="F10" s="12">
        <f>E10/Calculation!K$5*1000</f>
        <v>9.6154388457078948E-3</v>
      </c>
      <c r="G10" s="12">
        <f t="shared" si="3"/>
        <v>1.02475964118384</v>
      </c>
    </row>
    <row r="11" spans="1:12">
      <c r="A11" s="34">
        <v>3</v>
      </c>
      <c r="B11" s="74">
        <v>4988.75</v>
      </c>
      <c r="C11" s="35">
        <f t="shared" si="0"/>
        <v>4.9887499999999996</v>
      </c>
      <c r="D11" s="12">
        <f t="shared" si="2"/>
        <v>0.35170687499999997</v>
      </c>
      <c r="E11" s="12">
        <f t="shared" si="1"/>
        <v>1.5701199776785715E-2</v>
      </c>
      <c r="F11" s="12">
        <f>E11/Calculation!K$5*1000</f>
        <v>1.0355313124882672E-2</v>
      </c>
      <c r="G11" s="12">
        <f t="shared" si="3"/>
        <v>1.3243209207426985</v>
      </c>
    </row>
    <row r="12" spans="1:12">
      <c r="A12" s="34">
        <v>3.5</v>
      </c>
      <c r="B12" s="74">
        <v>5442.25</v>
      </c>
      <c r="C12" s="35">
        <f t="shared" si="0"/>
        <v>5.4422499999999996</v>
      </c>
      <c r="D12" s="12">
        <f t="shared" si="2"/>
        <v>0.38367862499999994</v>
      </c>
      <c r="E12" s="12">
        <f t="shared" si="1"/>
        <v>1.7128510044642855E-2</v>
      </c>
      <c r="F12" s="12">
        <f>E12/Calculation!K$6*1000</f>
        <v>1.1593738067580541E-2</v>
      </c>
      <c r="G12" s="12">
        <f t="shared" si="3"/>
        <v>1.6535566886296467</v>
      </c>
    </row>
    <row r="13" spans="1:12">
      <c r="A13" s="34">
        <v>4</v>
      </c>
      <c r="B13" s="74">
        <v>6323.55</v>
      </c>
      <c r="C13" s="35">
        <f t="shared" si="0"/>
        <v>6.32355</v>
      </c>
      <c r="D13" s="12">
        <f t="shared" si="2"/>
        <v>0.44581027499999998</v>
      </c>
      <c r="E13" s="12">
        <f t="shared" si="1"/>
        <v>1.9902244419642858E-2</v>
      </c>
      <c r="F13" s="12">
        <f>E13/Calculation!K$6*1000</f>
        <v>1.3471189739032375E-2</v>
      </c>
      <c r="G13" s="12">
        <f t="shared" si="3"/>
        <v>2.0295306057288403</v>
      </c>
    </row>
    <row r="14" spans="1:12">
      <c r="A14" s="34">
        <v>4.5</v>
      </c>
      <c r="B14" s="74">
        <v>7925.01</v>
      </c>
      <c r="C14" s="35">
        <f t="shared" si="0"/>
        <v>7.9250100000000003</v>
      </c>
      <c r="D14" s="12">
        <f t="shared" si="2"/>
        <v>0.55871320499999999</v>
      </c>
      <c r="E14" s="12">
        <f t="shared" si="1"/>
        <v>2.4942553794642858E-2</v>
      </c>
      <c r="F14" s="12">
        <f>E14/Calculation!K$6*1000</f>
        <v>1.6882813197290913E-2</v>
      </c>
      <c r="G14" s="12">
        <f t="shared" si="3"/>
        <v>2.4848406497736897</v>
      </c>
    </row>
    <row r="15" spans="1:12">
      <c r="A15" s="34">
        <v>5</v>
      </c>
      <c r="B15" s="74">
        <v>10657.01</v>
      </c>
      <c r="C15" s="35">
        <f t="shared" si="0"/>
        <v>10.65701</v>
      </c>
      <c r="D15" s="12">
        <f t="shared" si="2"/>
        <v>0.75131920499999993</v>
      </c>
      <c r="E15" s="12">
        <f t="shared" si="1"/>
        <v>3.3541035937499998E-2</v>
      </c>
      <c r="F15" s="12">
        <f>E15/Calculation!K$7*1000</f>
        <v>2.3395105447439172E-2</v>
      </c>
      <c r="G15" s="12">
        <f t="shared" si="3"/>
        <v>3.0890094294446411</v>
      </c>
    </row>
    <row r="16" spans="1:12">
      <c r="A16" s="34">
        <v>5.5</v>
      </c>
      <c r="B16" s="74">
        <v>14606.32</v>
      </c>
      <c r="C16" s="35">
        <f t="shared" si="0"/>
        <v>14.60632</v>
      </c>
      <c r="D16" s="12">
        <f t="shared" si="2"/>
        <v>1.0297455600000001</v>
      </c>
      <c r="E16" s="12">
        <f t="shared" si="1"/>
        <v>4.5970783928571436E-2</v>
      </c>
      <c r="F16" s="12">
        <f>E16/Calculation!K$7*1000</f>
        <v>3.2064940973034632E-2</v>
      </c>
      <c r="G16" s="12">
        <f t="shared" si="3"/>
        <v>3.9209101257517482</v>
      </c>
    </row>
    <row r="17" spans="1:7">
      <c r="A17" s="34">
        <v>6</v>
      </c>
      <c r="B17" s="74">
        <v>19416.189999999999</v>
      </c>
      <c r="C17" s="35">
        <f t="shared" si="0"/>
        <v>19.41619</v>
      </c>
      <c r="D17" s="12">
        <f t="shared" si="2"/>
        <v>1.368841395</v>
      </c>
      <c r="E17" s="12">
        <f t="shared" si="1"/>
        <v>6.1108990848214292E-2</v>
      </c>
      <c r="F17" s="12">
        <f>E17/Calculation!K$8*1000</f>
        <v>4.3890003190947081E-2</v>
      </c>
      <c r="G17" s="12">
        <f t="shared" si="3"/>
        <v>5.0602342882114737</v>
      </c>
    </row>
    <row r="18" spans="1:7">
      <c r="A18" s="34">
        <v>6.5</v>
      </c>
      <c r="B18" s="74">
        <v>24509.97</v>
      </c>
      <c r="C18" s="35">
        <f t="shared" si="0"/>
        <v>24.509970000000003</v>
      </c>
      <c r="D18" s="12">
        <f t="shared" si="2"/>
        <v>1.7279528850000001</v>
      </c>
      <c r="E18" s="12">
        <f t="shared" si="1"/>
        <v>7.7140753794642872E-2</v>
      </c>
      <c r="F18" s="12">
        <f>E18/Calculation!K$8*1000</f>
        <v>5.5404415671149558E-2</v>
      </c>
      <c r="G18" s="12">
        <f t="shared" si="3"/>
        <v>6.5496505711429229</v>
      </c>
    </row>
    <row r="19" spans="1:7">
      <c r="A19" s="34">
        <v>7</v>
      </c>
      <c r="B19" s="74">
        <v>31311.75</v>
      </c>
      <c r="C19" s="35">
        <f t="shared" si="0"/>
        <v>31.31175</v>
      </c>
      <c r="D19" s="12">
        <f t="shared" si="2"/>
        <v>2.207478375</v>
      </c>
      <c r="E19" s="12">
        <f t="shared" si="1"/>
        <v>9.8548141741071432E-2</v>
      </c>
      <c r="F19" s="12">
        <f>E19/Calculation!K$8*1000</f>
        <v>7.0779736262064658E-2</v>
      </c>
      <c r="G19" s="12">
        <f t="shared" si="3"/>
        <v>8.4424128501411353</v>
      </c>
    </row>
    <row r="20" spans="1:7">
      <c r="A20" s="34">
        <v>7.5</v>
      </c>
      <c r="B20" s="74">
        <v>37464.39</v>
      </c>
      <c r="C20" s="35">
        <f t="shared" si="0"/>
        <v>37.464390000000002</v>
      </c>
      <c r="D20" s="12">
        <f t="shared" si="2"/>
        <v>2.6412394950000002</v>
      </c>
      <c r="E20" s="12">
        <f t="shared" si="1"/>
        <v>0.11791247745535716</v>
      </c>
      <c r="F20" s="12">
        <f>E20/Calculation!K$9*1000</f>
        <v>8.7466311644843808E-2</v>
      </c>
      <c r="G20" s="12">
        <f t="shared" si="3"/>
        <v>10.816103568744762</v>
      </c>
    </row>
    <row r="21" spans="1:7">
      <c r="A21" s="34">
        <v>8</v>
      </c>
      <c r="B21" s="74">
        <v>43279.83</v>
      </c>
      <c r="C21" s="35">
        <f t="shared" si="0"/>
        <v>43.279830000000004</v>
      </c>
      <c r="D21" s="12">
        <f t="shared" si="2"/>
        <v>3.0512280150000004</v>
      </c>
      <c r="E21" s="12">
        <f t="shared" si="1"/>
        <v>0.13621553638392861</v>
      </c>
      <c r="F21" s="12">
        <f>E21/Calculation!K$9*1000</f>
        <v>0.10104334005480567</v>
      </c>
      <c r="G21" s="12">
        <f t="shared" si="3"/>
        <v>13.643748344239503</v>
      </c>
    </row>
    <row r="22" spans="1:7">
      <c r="A22" s="34">
        <v>8.5</v>
      </c>
      <c r="B22" s="74">
        <v>45208.36</v>
      </c>
      <c r="C22" s="35">
        <f t="shared" si="0"/>
        <v>45.208359999999999</v>
      </c>
      <c r="D22" s="12">
        <f t="shared" si="2"/>
        <v>3.1871893799999995</v>
      </c>
      <c r="E22" s="12">
        <f t="shared" si="1"/>
        <v>0.14228524017857141</v>
      </c>
      <c r="F22" s="12">
        <f>E22/Calculation!K$9*1000</f>
        <v>0.10554578640443071</v>
      </c>
      <c r="G22" s="12">
        <f t="shared" si="3"/>
        <v>16.742585241128047</v>
      </c>
    </row>
    <row r="23" spans="1:7">
      <c r="A23" s="34">
        <v>9</v>
      </c>
      <c r="B23" s="74">
        <v>38047.49</v>
      </c>
      <c r="C23" s="35">
        <f t="shared" si="0"/>
        <v>38.047489999999996</v>
      </c>
      <c r="D23" s="12">
        <f t="shared" si="2"/>
        <v>2.6823480449999999</v>
      </c>
      <c r="E23" s="12">
        <f t="shared" si="1"/>
        <v>0.11974768058035715</v>
      </c>
      <c r="F23" s="12">
        <f>E23/Calculation!K$10*1000</f>
        <v>9.177575093546099E-2</v>
      </c>
      <c r="G23" s="12">
        <f t="shared" si="3"/>
        <v>19.702408301226424</v>
      </c>
    </row>
    <row r="24" spans="1:7">
      <c r="A24" s="34">
        <v>9.5</v>
      </c>
      <c r="B24" s="74">
        <v>33294.21</v>
      </c>
      <c r="C24" s="35">
        <f t="shared" si="0"/>
        <v>33.29421</v>
      </c>
      <c r="D24" s="12">
        <f t="shared" si="2"/>
        <v>2.3472418049999999</v>
      </c>
      <c r="E24" s="12">
        <f t="shared" si="1"/>
        <v>0.10478758058035714</v>
      </c>
      <c r="F24" s="12">
        <f>E24/Calculation!K$10*1000</f>
        <v>8.0310189306914442E-2</v>
      </c>
      <c r="G24" s="12">
        <f t="shared" si="3"/>
        <v>22.283697404862053</v>
      </c>
    </row>
    <row r="25" spans="1:7">
      <c r="A25" s="34">
        <v>10</v>
      </c>
      <c r="B25" s="74">
        <v>26237.22</v>
      </c>
      <c r="C25" s="35">
        <f t="shared" si="0"/>
        <v>26.237220000000001</v>
      </c>
      <c r="D25" s="12">
        <f t="shared" si="2"/>
        <v>1.8497240100000001</v>
      </c>
      <c r="E25" s="12">
        <f t="shared" si="1"/>
        <v>8.2576964732142863E-2</v>
      </c>
      <c r="F25" s="12">
        <f>E25/Calculation!K$11*1000</f>
        <v>6.5536330005707702E-2</v>
      </c>
      <c r="G25" s="12">
        <f t="shared" si="3"/>
        <v>24.471395194551384</v>
      </c>
    </row>
    <row r="26" spans="1:7">
      <c r="A26" s="34">
        <v>10.5</v>
      </c>
      <c r="B26" s="74">
        <v>25725.46</v>
      </c>
      <c r="C26" s="35">
        <f t="shared" si="0"/>
        <v>25.725459999999998</v>
      </c>
      <c r="D26" s="12">
        <f t="shared" si="2"/>
        <v>1.8136449299999999</v>
      </c>
      <c r="E26" s="12">
        <f t="shared" si="1"/>
        <v>8.0966291517857142E-2</v>
      </c>
      <c r="F26" s="12">
        <f>E26/Calculation!K$11*1000</f>
        <v>6.4258036335733473E-2</v>
      </c>
      <c r="G26" s="12">
        <f t="shared" si="3"/>
        <v>26.418310689673003</v>
      </c>
    </row>
    <row r="27" spans="1:7">
      <c r="A27" s="34">
        <v>11</v>
      </c>
      <c r="B27" s="74">
        <v>22703.08</v>
      </c>
      <c r="C27" s="35">
        <f t="shared" si="0"/>
        <v>22.703080000000003</v>
      </c>
      <c r="D27" s="12">
        <f t="shared" si="2"/>
        <v>1.6005671400000003</v>
      </c>
      <c r="E27" s="12">
        <f t="shared" si="1"/>
        <v>7.1453890178571441E-2</v>
      </c>
      <c r="F27" s="12">
        <f>E27/Calculation!K$11*1000</f>
        <v>5.6708620159680888E-2</v>
      </c>
      <c r="G27" s="12">
        <f t="shared" si="3"/>
        <v>28.232810537104218</v>
      </c>
    </row>
    <row r="28" spans="1:7">
      <c r="A28" s="34">
        <v>11.5</v>
      </c>
      <c r="B28" s="74">
        <v>19846.96</v>
      </c>
      <c r="C28" s="35">
        <f t="shared" si="0"/>
        <v>19.846959999999999</v>
      </c>
      <c r="D28" s="12">
        <f t="shared" si="2"/>
        <v>1.3992106799999999</v>
      </c>
      <c r="E28" s="12">
        <f t="shared" si="1"/>
        <v>6.24647625E-2</v>
      </c>
      <c r="F28" s="12">
        <f>E28/Calculation!K$12*1000</f>
        <v>5.1438769490148896E-2</v>
      </c>
      <c r="G28" s="12">
        <f t="shared" si="3"/>
        <v>29.855021381851664</v>
      </c>
    </row>
    <row r="29" spans="1:7">
      <c r="A29" s="34">
        <v>12</v>
      </c>
      <c r="B29" s="74">
        <v>17333.009999999998</v>
      </c>
      <c r="C29" s="35">
        <f t="shared" si="0"/>
        <v>17.333009999999998</v>
      </c>
      <c r="D29" s="12">
        <f t="shared" si="2"/>
        <v>1.221977205</v>
      </c>
      <c r="E29" s="12">
        <f t="shared" si="1"/>
        <v>5.4552553794642855E-2</v>
      </c>
      <c r="F29" s="12">
        <f>E29/Calculation!K$12*1000</f>
        <v>4.492318752899415E-2</v>
      </c>
      <c r="G29" s="12">
        <f t="shared" si="3"/>
        <v>31.30045073713881</v>
      </c>
    </row>
    <row r="30" spans="1:7">
      <c r="A30" s="34">
        <v>12.5</v>
      </c>
      <c r="B30" s="74">
        <v>14656.27</v>
      </c>
      <c r="C30" s="35">
        <f t="shared" si="0"/>
        <v>14.656270000000001</v>
      </c>
      <c r="D30" s="12">
        <f t="shared" si="2"/>
        <v>1.0332670349999999</v>
      </c>
      <c r="E30" s="12">
        <f t="shared" si="1"/>
        <v>4.6127992633928569E-2</v>
      </c>
      <c r="F30" s="12">
        <f>E30/Calculation!K$12*1000</f>
        <v>3.7985691214945994E-2</v>
      </c>
      <c r="G30" s="12">
        <f t="shared" si="3"/>
        <v>32.544083918297915</v>
      </c>
    </row>
    <row r="31" spans="1:7">
      <c r="A31" s="34">
        <v>13</v>
      </c>
      <c r="B31" s="74">
        <v>12721.77</v>
      </c>
      <c r="C31" s="35">
        <f t="shared" si="0"/>
        <v>12.721770000000001</v>
      </c>
      <c r="D31" s="12">
        <f t="shared" si="2"/>
        <v>0.89688478500000002</v>
      </c>
      <c r="E31" s="12">
        <f t="shared" si="1"/>
        <v>4.0039499330357144E-2</v>
      </c>
      <c r="F31" s="12">
        <f>E31/Calculation!K$13*1000</f>
        <v>3.4176603318969372E-2</v>
      </c>
      <c r="G31" s="12">
        <f t="shared" si="3"/>
        <v>33.626518336306646</v>
      </c>
    </row>
    <row r="32" spans="1:7">
      <c r="A32" s="34">
        <v>13.5</v>
      </c>
      <c r="B32" s="74">
        <v>10898.11</v>
      </c>
      <c r="C32" s="35">
        <f t="shared" si="0"/>
        <v>10.898110000000001</v>
      </c>
      <c r="D32" s="12">
        <f t="shared" si="2"/>
        <v>0.76831675500000007</v>
      </c>
      <c r="E32" s="12">
        <f t="shared" si="1"/>
        <v>3.4299855133928574E-2</v>
      </c>
      <c r="F32" s="12">
        <f>E32/Calculation!K$13*1000</f>
        <v>2.9277402625302398E-2</v>
      </c>
      <c r="G32" s="12">
        <f t="shared" si="3"/>
        <v>34.578328425470723</v>
      </c>
    </row>
    <row r="33" spans="1:7">
      <c r="A33" s="34">
        <v>14</v>
      </c>
      <c r="B33" s="74">
        <v>9264.6299999999992</v>
      </c>
      <c r="C33" s="35">
        <f t="shared" si="0"/>
        <v>9.2646299999999986</v>
      </c>
      <c r="D33" s="12">
        <f t="shared" si="2"/>
        <v>0.65315641499999999</v>
      </c>
      <c r="E33" s="12">
        <f t="shared" si="1"/>
        <v>2.9158768526785717E-2</v>
      </c>
      <c r="F33" s="12">
        <f>E33/Calculation!K$14*1000</f>
        <v>2.5811692409314482E-2</v>
      </c>
      <c r="G33" s="12">
        <f t="shared" si="3"/>
        <v>35.404664850989974</v>
      </c>
    </row>
    <row r="34" spans="1:7">
      <c r="A34" s="34">
        <v>14.5</v>
      </c>
      <c r="B34" s="74">
        <v>7866.93</v>
      </c>
      <c r="C34" s="35">
        <f t="shared" si="0"/>
        <v>7.86693</v>
      </c>
      <c r="D34" s="12">
        <f t="shared" si="2"/>
        <v>0.55461856499999995</v>
      </c>
      <c r="E34" s="12">
        <f t="shared" si="1"/>
        <v>2.4759757366071427E-2</v>
      </c>
      <c r="F34" s="12">
        <f>E34/Calculation!K$14*1000</f>
        <v>2.1917634850566976E-2</v>
      </c>
      <c r="G34" s="12">
        <f t="shared" si="3"/>
        <v>36.120604759888195</v>
      </c>
    </row>
    <row r="35" spans="1:7">
      <c r="A35" s="34">
        <v>15</v>
      </c>
      <c r="B35" s="74">
        <v>6704.54</v>
      </c>
      <c r="C35" s="35">
        <f t="shared" si="0"/>
        <v>6.7045399999999997</v>
      </c>
      <c r="D35" s="12">
        <f t="shared" si="2"/>
        <v>0.47267007</v>
      </c>
      <c r="E35" s="12">
        <f t="shared" si="1"/>
        <v>2.1101342410714288E-2</v>
      </c>
      <c r="F35" s="12">
        <f>E35/Calculation!K$14*1000</f>
        <v>1.8679161955301542E-2</v>
      </c>
      <c r="G35" s="12">
        <f t="shared" si="3"/>
        <v>36.729556711976223</v>
      </c>
    </row>
    <row r="36" spans="1:7">
      <c r="A36" s="34">
        <v>15.5</v>
      </c>
      <c r="B36" s="74">
        <v>5729.49</v>
      </c>
      <c r="C36" s="35">
        <f t="shared" si="0"/>
        <v>5.7294900000000002</v>
      </c>
      <c r="D36" s="12">
        <f t="shared" si="2"/>
        <v>0.40392904500000004</v>
      </c>
      <c r="E36" s="12">
        <f t="shared" si="1"/>
        <v>1.8032546651785716E-2</v>
      </c>
      <c r="F36" s="12">
        <f>E36/Calculation!K$15*1000</f>
        <v>1.6619187556418207E-2</v>
      </c>
      <c r="G36" s="12">
        <f t="shared" si="3"/>
        <v>37.259031954652016</v>
      </c>
    </row>
    <row r="37" spans="1:7">
      <c r="A37" s="34">
        <v>16</v>
      </c>
      <c r="B37" s="74">
        <v>4866.78</v>
      </c>
      <c r="C37" s="35">
        <f t="shared" si="0"/>
        <v>4.8667799999999994</v>
      </c>
      <c r="D37" s="12">
        <f t="shared" si="2"/>
        <v>0.34310798999999997</v>
      </c>
      <c r="E37" s="12">
        <f t="shared" si="1"/>
        <v>1.5317320982142857E-2</v>
      </c>
      <c r="F37" s="12">
        <f>E37/Calculation!K$15*1000</f>
        <v>1.4116776469777411E-2</v>
      </c>
      <c r="G37" s="12">
        <f t="shared" si="3"/>
        <v>37.720071415044949</v>
      </c>
    </row>
    <row r="38" spans="1:7">
      <c r="A38" s="34">
        <v>16.5</v>
      </c>
      <c r="B38" s="74">
        <v>4153.58</v>
      </c>
      <c r="C38" s="35">
        <f t="shared" si="0"/>
        <v>4.1535799999999998</v>
      </c>
      <c r="D38" s="12">
        <f t="shared" si="2"/>
        <v>0.29282738999999997</v>
      </c>
      <c r="E38" s="12">
        <f t="shared" si="1"/>
        <v>1.3072651339285713E-2</v>
      </c>
      <c r="F38" s="12">
        <f>E38/Calculation!K$15*1000</f>
        <v>1.2048040061259818E-2</v>
      </c>
      <c r="G38" s="12">
        <f t="shared" si="3"/>
        <v>38.112543663010506</v>
      </c>
    </row>
    <row r="39" spans="1:7">
      <c r="A39" s="34">
        <v>17</v>
      </c>
      <c r="B39" s="74">
        <v>3485.19</v>
      </c>
      <c r="C39" s="35">
        <f t="shared" si="0"/>
        <v>3.4851900000000002</v>
      </c>
      <c r="D39" s="12">
        <f t="shared" si="2"/>
        <v>0.24570589500000004</v>
      </c>
      <c r="E39" s="12">
        <f t="shared" si="1"/>
        <v>1.096901316964286E-2</v>
      </c>
      <c r="F39" s="12">
        <f>E39/Calculation!K$16*1000</f>
        <v>1.0552353587252282E-2</v>
      </c>
      <c r="G39" s="12">
        <f>G38+(F39+F38)/2*30</f>
        <v>38.451549567738191</v>
      </c>
    </row>
    <row r="40" spans="1:7">
      <c r="A40" s="34">
        <v>17.5</v>
      </c>
      <c r="B40" s="74">
        <v>2988.04</v>
      </c>
      <c r="C40" s="35">
        <f t="shared" si="0"/>
        <v>2.9880399999999998</v>
      </c>
      <c r="D40" s="12">
        <f t="shared" si="2"/>
        <v>0.21065681999999999</v>
      </c>
      <c r="E40" s="12">
        <f t="shared" si="1"/>
        <v>9.4043223214285709E-3</v>
      </c>
      <c r="F40" s="12">
        <f>E40/Calculation!K$16*1000</f>
        <v>9.0470977515869442E-3</v>
      </c>
      <c r="G40" s="12">
        <f t="shared" si="3"/>
        <v>38.745541337820782</v>
      </c>
    </row>
    <row r="41" spans="1:7">
      <c r="A41" s="34">
        <v>18</v>
      </c>
      <c r="B41" s="74">
        <v>2540.17</v>
      </c>
      <c r="C41" s="35">
        <f t="shared" si="0"/>
        <v>2.5401700000000003</v>
      </c>
      <c r="D41" s="12">
        <f t="shared" si="2"/>
        <v>0.17908198500000003</v>
      </c>
      <c r="E41" s="12">
        <f t="shared" si="1"/>
        <v>7.9947314732142869E-3</v>
      </c>
      <c r="F41" s="12">
        <f>E41/Calculation!K$17*1000</f>
        <v>8.0360695037972416E-3</v>
      </c>
      <c r="G41" s="12">
        <f t="shared" si="3"/>
        <v>39.001788846651543</v>
      </c>
    </row>
    <row r="42" spans="1:7">
      <c r="A42" s="34">
        <v>18.5</v>
      </c>
      <c r="B42" s="74">
        <v>2204.15</v>
      </c>
      <c r="C42" s="35">
        <f t="shared" si="0"/>
        <v>2.2041500000000003</v>
      </c>
      <c r="D42" s="12">
        <f t="shared" si="2"/>
        <v>0.15539257500000001</v>
      </c>
      <c r="E42" s="12">
        <f t="shared" si="1"/>
        <v>6.9371685267857154E-3</v>
      </c>
      <c r="F42" s="12">
        <f>E42/Calculation!K$17*1000</f>
        <v>6.9730382599568876E-3</v>
      </c>
      <c r="G42" s="12">
        <f t="shared" si="3"/>
        <v>39.226925463107854</v>
      </c>
    </row>
    <row r="43" spans="1:7">
      <c r="A43" s="34">
        <v>19</v>
      </c>
      <c r="B43" s="74">
        <v>1887.87</v>
      </c>
      <c r="C43" s="35">
        <f t="shared" si="0"/>
        <v>1.8878699999999999</v>
      </c>
      <c r="D43" s="12">
        <f t="shared" si="2"/>
        <v>0.13309483499999999</v>
      </c>
      <c r="E43" s="12">
        <f t="shared" si="1"/>
        <v>5.9417337053571427E-3</v>
      </c>
      <c r="F43" s="12">
        <f>E43/Calculation!K$17*1000</f>
        <v>5.9724563844678474E-3</v>
      </c>
      <c r="G43" s="12">
        <f t="shared" si="3"/>
        <v>39.421107882774223</v>
      </c>
    </row>
    <row r="44" spans="1:7">
      <c r="A44" s="34">
        <v>19.5</v>
      </c>
      <c r="B44" s="74">
        <v>1639.96</v>
      </c>
      <c r="C44" s="35">
        <f t="shared" si="0"/>
        <v>1.6399600000000001</v>
      </c>
      <c r="D44" s="12">
        <f t="shared" si="2"/>
        <v>0.11561718</v>
      </c>
      <c r="E44" s="12">
        <f t="shared" si="1"/>
        <v>5.1614812500000006E-3</v>
      </c>
      <c r="F44" s="12">
        <f>E44/Calculation!K$17*1000</f>
        <v>5.1881695096971155E-3</v>
      </c>
      <c r="G44" s="12">
        <f t="shared" si="3"/>
        <v>39.588517271186696</v>
      </c>
    </row>
    <row r="45" spans="1:7">
      <c r="A45" s="34">
        <v>20</v>
      </c>
      <c r="B45" s="74">
        <v>1449.63</v>
      </c>
      <c r="C45" s="35">
        <f t="shared" si="0"/>
        <v>1.4496300000000002</v>
      </c>
      <c r="D45" s="12">
        <f t="shared" si="2"/>
        <v>0.10219891500000002</v>
      </c>
      <c r="E45" s="12">
        <f t="shared" si="1"/>
        <v>4.5624515625000009E-3</v>
      </c>
      <c r="F45" s="12">
        <f>E45/Calculation!K$17*1000</f>
        <v>4.5860424439268218E-3</v>
      </c>
      <c r="G45" s="12">
        <f t="shared" si="3"/>
        <v>39.735130450491056</v>
      </c>
    </row>
    <row r="46" spans="1:7">
      <c r="A46" s="34">
        <v>20.5</v>
      </c>
      <c r="B46" s="74">
        <v>1314.89</v>
      </c>
      <c r="C46" s="35">
        <f t="shared" si="0"/>
        <v>1.3148900000000001</v>
      </c>
      <c r="D46" s="12">
        <f t="shared" si="2"/>
        <v>9.2699745000000014E-2</v>
      </c>
      <c r="E46" s="12">
        <f t="shared" si="1"/>
        <v>4.1383814732142863E-3</v>
      </c>
      <c r="F46" s="12">
        <f>E46/Calculation!K$17*1000</f>
        <v>4.1597796327993613E-3</v>
      </c>
      <c r="G46" s="12">
        <f t="shared" si="3"/>
        <v>39.866317781641946</v>
      </c>
    </row>
    <row r="47" spans="1:7">
      <c r="A47" s="34">
        <v>21</v>
      </c>
      <c r="B47" s="74">
        <v>1207.8599999999999</v>
      </c>
      <c r="C47" s="35">
        <f t="shared" si="0"/>
        <v>1.2078599999999999</v>
      </c>
      <c r="D47" s="12">
        <f t="shared" si="2"/>
        <v>8.5154129999999995E-2</v>
      </c>
      <c r="E47" s="12">
        <f t="shared" si="1"/>
        <v>3.8015236607142856E-3</v>
      </c>
      <c r="F47" s="12">
        <f>E47/Calculation!K$17*1000</f>
        <v>3.8211800434051787E-3</v>
      </c>
      <c r="G47" s="12">
        <f t="shared" si="3"/>
        <v>39.986032176785017</v>
      </c>
    </row>
    <row r="48" spans="1:7">
      <c r="A48" s="34">
        <v>21.5</v>
      </c>
      <c r="B48" s="74">
        <v>1115.27</v>
      </c>
      <c r="C48" s="35">
        <f t="shared" si="0"/>
        <v>1.11527</v>
      </c>
      <c r="D48" s="12">
        <f t="shared" si="2"/>
        <v>7.8626534999999997E-2</v>
      </c>
      <c r="E48" s="12">
        <f t="shared" si="1"/>
        <v>3.5101131696428571E-3</v>
      </c>
      <c r="F48" s="12">
        <f>E48/Calculation!K$17*1000</f>
        <v>3.5282627680430631E-3</v>
      </c>
      <c r="G48" s="12">
        <f t="shared" si="3"/>
        <v>40.096273818956739</v>
      </c>
    </row>
    <row r="49" spans="1:7">
      <c r="A49" s="34">
        <v>22</v>
      </c>
      <c r="B49" s="74">
        <v>1043.25</v>
      </c>
      <c r="C49" s="35">
        <f t="shared" si="0"/>
        <v>1.04325</v>
      </c>
      <c r="D49" s="12">
        <f t="shared" si="2"/>
        <v>7.3549124999999993E-2</v>
      </c>
      <c r="E49" s="12">
        <f t="shared" si="1"/>
        <v>3.2834430803571429E-3</v>
      </c>
      <c r="F49" s="12">
        <f>E49/Calculation!K$17*1000</f>
        <v>3.3004206450105581E-3</v>
      </c>
      <c r="G49" s="12">
        <f t="shared" si="3"/>
        <v>40.198704070152544</v>
      </c>
    </row>
    <row r="50" spans="1:7">
      <c r="A50" s="34">
        <v>22.5</v>
      </c>
      <c r="B50" s="74">
        <v>965.42</v>
      </c>
      <c r="C50" s="35">
        <f t="shared" si="0"/>
        <v>0.96541999999999994</v>
      </c>
      <c r="D50" s="12">
        <f t="shared" si="2"/>
        <v>6.8062109999999995E-2</v>
      </c>
      <c r="E50" s="12">
        <f t="shared" si="1"/>
        <v>3.0384870535714284E-3</v>
      </c>
      <c r="F50" s="12">
        <f>E50/Calculation!K$17*1000</f>
        <v>3.054198034129972E-3</v>
      </c>
      <c r="G50" s="12">
        <f t="shared" si="3"/>
        <v>40.29402335033965</v>
      </c>
    </row>
    <row r="51" spans="1:7">
      <c r="A51" s="34">
        <v>23</v>
      </c>
      <c r="B51" s="74">
        <v>900.38</v>
      </c>
      <c r="C51" s="35">
        <f t="shared" si="0"/>
        <v>0.90037999999999996</v>
      </c>
      <c r="D51" s="12">
        <f t="shared" si="2"/>
        <v>6.3476790000000005E-2</v>
      </c>
      <c r="E51" s="12">
        <f t="shared" si="1"/>
        <v>2.8337852678571433E-3</v>
      </c>
      <c r="F51" s="12">
        <f>E51/Calculation!K$17*1000</f>
        <v>2.8484378052764025E-3</v>
      </c>
      <c r="G51" s="12">
        <f t="shared" si="3"/>
        <v>40.382562887930746</v>
      </c>
    </row>
    <row r="52" spans="1:7">
      <c r="A52" s="34">
        <v>23.5</v>
      </c>
      <c r="B52" s="74">
        <v>869.01</v>
      </c>
      <c r="C52" s="35">
        <f t="shared" si="0"/>
        <v>0.86900999999999995</v>
      </c>
      <c r="D52" s="12">
        <f t="shared" si="2"/>
        <v>6.1265204999999996E-2</v>
      </c>
      <c r="E52" s="12">
        <f t="shared" si="1"/>
        <v>2.735053794642857E-3</v>
      </c>
      <c r="F52" s="12">
        <f>E52/Calculation!K$17*1000</f>
        <v>2.7491958252773784E-3</v>
      </c>
      <c r="G52" s="12">
        <f t="shared" si="3"/>
        <v>40.466527392389054</v>
      </c>
    </row>
    <row r="53" spans="1:7">
      <c r="A53" s="34">
        <v>24</v>
      </c>
      <c r="B53" s="74">
        <v>839.31</v>
      </c>
      <c r="C53" s="35">
        <f t="shared" si="0"/>
        <v>0.83931</v>
      </c>
      <c r="D53" s="12">
        <f t="shared" si="2"/>
        <v>5.9171355000000002E-2</v>
      </c>
      <c r="E53" s="12">
        <f t="shared" si="1"/>
        <v>2.6415783482142859E-3</v>
      </c>
      <c r="F53" s="12">
        <f>E53/Calculation!K$18*1000</f>
        <v>2.7934763061677184E-3</v>
      </c>
      <c r="G53" s="12">
        <f t="shared" si="3"/>
        <v>40.549667474360731</v>
      </c>
    </row>
    <row r="54" spans="1:7">
      <c r="A54" s="34">
        <v>24.5</v>
      </c>
      <c r="B54" s="74">
        <v>822.39</v>
      </c>
      <c r="C54" s="35">
        <f t="shared" si="0"/>
        <v>0.82238999999999995</v>
      </c>
      <c r="D54" s="12">
        <f t="shared" si="2"/>
        <v>5.7978494999999998E-2</v>
      </c>
      <c r="E54" s="12">
        <f t="shared" si="1"/>
        <v>2.5883256696428571E-3</v>
      </c>
      <c r="F54" s="12">
        <f>E54/Calculation!K$18*1000</f>
        <v>2.7371614533715427E-3</v>
      </c>
      <c r="G54" s="12">
        <f t="shared" si="3"/>
        <v>40.632627040753817</v>
      </c>
    </row>
    <row r="55" spans="1:7">
      <c r="A55" s="34">
        <v>25</v>
      </c>
      <c r="B55" s="74">
        <v>789.36</v>
      </c>
      <c r="C55" s="35">
        <f t="shared" si="0"/>
        <v>0.78936000000000006</v>
      </c>
      <c r="D55" s="12">
        <f t="shared" si="2"/>
        <v>5.5649879999999999E-2</v>
      </c>
      <c r="E55" s="12">
        <f t="shared" si="1"/>
        <v>2.4843696428571431E-3</v>
      </c>
      <c r="F55" s="12">
        <f>E55/Calculation!K$18*1000</f>
        <v>2.6272276715832649E-3</v>
      </c>
      <c r="G55" s="12">
        <f t="shared" si="3"/>
        <v>40.713092877628142</v>
      </c>
    </row>
    <row r="56" spans="1:7">
      <c r="A56" s="34">
        <v>25.5</v>
      </c>
      <c r="B56" s="74">
        <v>756.51</v>
      </c>
      <c r="C56" s="35">
        <f t="shared" si="0"/>
        <v>0.75651000000000002</v>
      </c>
      <c r="D56" s="12">
        <f t="shared" si="2"/>
        <v>5.3333955000000002E-2</v>
      </c>
      <c r="E56" s="12">
        <f t="shared" si="1"/>
        <v>2.3809801339285718E-3</v>
      </c>
      <c r="F56" s="12">
        <f>E56/Calculation!K$18*1000</f>
        <v>2.5178929839736698E-3</v>
      </c>
      <c r="G56" s="12">
        <f t="shared" si="3"/>
        <v>40.790269687461496</v>
      </c>
    </row>
    <row r="57" spans="1:7">
      <c r="A57" s="34">
        <v>26</v>
      </c>
      <c r="B57" s="74">
        <v>686.48</v>
      </c>
      <c r="C57" s="35">
        <f t="shared" si="0"/>
        <v>0.68647999999999998</v>
      </c>
      <c r="D57" s="12">
        <f t="shared" si="2"/>
        <v>4.8396839999999997E-2</v>
      </c>
      <c r="E57" s="12">
        <f t="shared" si="1"/>
        <v>2.1605732142857144E-3</v>
      </c>
      <c r="F57" s="12">
        <f>E57/Calculation!K$18*1000</f>
        <v>2.2848120654561667E-3</v>
      </c>
      <c r="G57" s="12">
        <f t="shared" si="3"/>
        <v>40.862310263202943</v>
      </c>
    </row>
    <row r="58" spans="1:7">
      <c r="A58" s="34">
        <v>26.5</v>
      </c>
      <c r="B58" s="74">
        <v>661.1</v>
      </c>
      <c r="C58" s="35">
        <f t="shared" si="0"/>
        <v>0.66110000000000002</v>
      </c>
      <c r="D58" s="12">
        <f t="shared" si="2"/>
        <v>4.6607549999999998E-2</v>
      </c>
      <c r="E58" s="12">
        <f t="shared" si="1"/>
        <v>2.0806941964285714E-3</v>
      </c>
      <c r="F58" s="12">
        <f>E58/Calculation!K$18*1000</f>
        <v>2.200339786261904E-3</v>
      </c>
      <c r="G58" s="12">
        <f t="shared" si="3"/>
        <v>40.929587540978716</v>
      </c>
    </row>
    <row r="59" spans="1:7">
      <c r="A59" s="34">
        <v>27</v>
      </c>
      <c r="B59" s="74">
        <v>655.12</v>
      </c>
      <c r="C59" s="35">
        <f t="shared" si="0"/>
        <v>0.65512000000000004</v>
      </c>
      <c r="D59" s="12">
        <f t="shared" si="2"/>
        <v>4.6185960000000005E-2</v>
      </c>
      <c r="E59" s="12">
        <f t="shared" si="1"/>
        <v>2.0618732142857147E-3</v>
      </c>
      <c r="F59" s="12">
        <f>E59/Calculation!K$18*1000</f>
        <v>2.1804365463256674E-3</v>
      </c>
      <c r="G59" s="12">
        <f t="shared" si="3"/>
        <v>40.995299185967532</v>
      </c>
    </row>
    <row r="60" spans="1:7">
      <c r="A60" s="34">
        <v>27.5</v>
      </c>
      <c r="B60" s="74">
        <v>647.82000000000005</v>
      </c>
      <c r="C60" s="35">
        <f t="shared" si="0"/>
        <v>0.64782000000000006</v>
      </c>
      <c r="D60" s="12">
        <f t="shared" si="2"/>
        <v>4.567131E-2</v>
      </c>
      <c r="E60" s="12">
        <f t="shared" si="1"/>
        <v>2.0388977678571429E-3</v>
      </c>
      <c r="F60" s="12">
        <f>E60/Calculation!K$18*1000</f>
        <v>2.1561399490790901E-3</v>
      </c>
      <c r="G60" s="12">
        <f t="shared" si="3"/>
        <v>41.060347833398602</v>
      </c>
    </row>
    <row r="61" spans="1:7">
      <c r="A61" s="34">
        <v>28</v>
      </c>
      <c r="B61" s="74">
        <v>633.38</v>
      </c>
      <c r="C61" s="35">
        <f t="shared" si="0"/>
        <v>0.63337999999999994</v>
      </c>
      <c r="D61" s="12">
        <f t="shared" si="2"/>
        <v>4.4653289999999991E-2</v>
      </c>
      <c r="E61" s="12">
        <f t="shared" si="1"/>
        <v>1.9934504464285711E-3</v>
      </c>
      <c r="F61" s="12">
        <f>E61/Calculation!K$18*1000</f>
        <v>2.1080792827447652E-3</v>
      </c>
      <c r="G61" s="12">
        <f t="shared" si="3"/>
        <v>41.124311121875962</v>
      </c>
    </row>
    <row r="62" spans="1:7">
      <c r="A62" s="34">
        <v>28.5</v>
      </c>
      <c r="B62" s="74">
        <v>622.92999999999995</v>
      </c>
      <c r="C62" s="35">
        <f t="shared" si="0"/>
        <v>0.62292999999999998</v>
      </c>
      <c r="D62" s="12">
        <f t="shared" si="2"/>
        <v>4.3916564999999998E-2</v>
      </c>
      <c r="E62" s="12">
        <f t="shared" si="1"/>
        <v>1.9605609375E-3</v>
      </c>
      <c r="F62" s="12">
        <f>E62/Calculation!K$18*1000</f>
        <v>2.0732985373712411E-3</v>
      </c>
      <c r="G62" s="12">
        <f t="shared" si="3"/>
        <v>41.187031789177702</v>
      </c>
    </row>
    <row r="63" spans="1:7">
      <c r="A63" s="34">
        <v>29</v>
      </c>
      <c r="B63" s="74">
        <v>617.29</v>
      </c>
      <c r="C63" s="35">
        <f t="shared" si="0"/>
        <v>0.61729000000000001</v>
      </c>
      <c r="D63" s="12">
        <f t="shared" si="2"/>
        <v>4.3518945000000003E-2</v>
      </c>
      <c r="E63" s="12">
        <f t="shared" si="1"/>
        <v>1.9428100446428574E-3</v>
      </c>
      <c r="F63" s="12">
        <f>E63/Calculation!K$18*1000</f>
        <v>2.0545269197725169E-3</v>
      </c>
      <c r="G63" s="12">
        <f t="shared" si="3"/>
        <v>41.248949171034859</v>
      </c>
    </row>
    <row r="64" spans="1:7">
      <c r="A64" s="34">
        <v>29.5</v>
      </c>
      <c r="B64" s="74">
        <v>617.29</v>
      </c>
      <c r="C64" s="35">
        <f t="shared" si="0"/>
        <v>0.61729000000000001</v>
      </c>
      <c r="D64" s="12">
        <f t="shared" si="2"/>
        <v>4.3518945000000003E-2</v>
      </c>
      <c r="E64" s="12">
        <f t="shared" si="1"/>
        <v>1.9428100446428574E-3</v>
      </c>
      <c r="F64" s="12">
        <f>E64/Calculation!K$18*1000</f>
        <v>2.0545269197725169E-3</v>
      </c>
      <c r="G64" s="12">
        <f t="shared" si="3"/>
        <v>41.310584978628036</v>
      </c>
    </row>
    <row r="65" spans="1:7">
      <c r="A65" s="34">
        <v>30</v>
      </c>
      <c r="B65" s="74">
        <v>622.42999999999995</v>
      </c>
      <c r="C65" s="35">
        <f t="shared" si="0"/>
        <v>0.62242999999999993</v>
      </c>
      <c r="D65" s="12">
        <f t="shared" si="2"/>
        <v>4.388131499999999E-2</v>
      </c>
      <c r="E65" s="12">
        <f t="shared" si="1"/>
        <v>1.9589872767857138E-3</v>
      </c>
      <c r="F65" s="12">
        <f>E65/Calculation!K$19*1000</f>
        <v>2.1899520309850967E-3</v>
      </c>
      <c r="G65" s="12">
        <f t="shared" si="3"/>
        <v>41.374252162889398</v>
      </c>
    </row>
    <row r="66" spans="1:7">
      <c r="A66" s="34">
        <v>30.5</v>
      </c>
      <c r="B66" s="74">
        <v>633.54999999999995</v>
      </c>
      <c r="C66" s="35">
        <f t="shared" si="0"/>
        <v>0.63354999999999995</v>
      </c>
      <c r="D66" s="12">
        <f t="shared" si="2"/>
        <v>4.4665274999999997E-2</v>
      </c>
      <c r="E66" s="12">
        <f t="shared" si="1"/>
        <v>1.9939854910714285E-3</v>
      </c>
      <c r="F66" s="12">
        <f>E66/Calculation!K$19*1000</f>
        <v>2.2290765374911371E-3</v>
      </c>
      <c r="G66" s="12">
        <f t="shared" si="3"/>
        <v>41.440537591416543</v>
      </c>
    </row>
    <row r="67" spans="1:7">
      <c r="A67" s="34">
        <v>31</v>
      </c>
      <c r="B67" s="74">
        <v>655.12</v>
      </c>
      <c r="C67" s="35">
        <f t="shared" si="0"/>
        <v>0.65512000000000004</v>
      </c>
      <c r="D67" s="12">
        <f t="shared" si="2"/>
        <v>4.6185960000000005E-2</v>
      </c>
      <c r="E67" s="12">
        <f t="shared" si="1"/>
        <v>2.0618732142857147E-3</v>
      </c>
      <c r="F67" s="12">
        <f>E67/Calculation!K$19*1000</f>
        <v>2.3049682286184108E-3</v>
      </c>
      <c r="G67" s="12">
        <f t="shared" si="3"/>
        <v>41.508548262908185</v>
      </c>
    </row>
    <row r="68" spans="1:7">
      <c r="A68" s="34">
        <v>31.5</v>
      </c>
      <c r="B68" s="74">
        <v>665.24</v>
      </c>
      <c r="C68" s="35">
        <f t="shared" si="0"/>
        <v>0.66524000000000005</v>
      </c>
      <c r="D68" s="12">
        <f t="shared" si="2"/>
        <v>4.6899420000000004E-2</v>
      </c>
      <c r="E68" s="12">
        <f t="shared" si="1"/>
        <v>2.0937241071428575E-3</v>
      </c>
      <c r="F68" s="12">
        <f>E68/Calculation!K$19*1000</f>
        <v>2.3405743442516049E-3</v>
      </c>
      <c r="G68" s="12">
        <f t="shared" si="3"/>
        <v>41.578231401501235</v>
      </c>
    </row>
    <row r="69" spans="1:7">
      <c r="A69" s="34">
        <v>32</v>
      </c>
      <c r="B69" s="74">
        <v>668.23</v>
      </c>
      <c r="C69" s="35">
        <f t="shared" si="0"/>
        <v>0.66822999999999999</v>
      </c>
      <c r="D69" s="12">
        <f t="shared" si="2"/>
        <v>4.7110215000000004E-2</v>
      </c>
      <c r="E69" s="12">
        <f t="shared" si="1"/>
        <v>2.1031345982142858E-3</v>
      </c>
      <c r="F69" s="12">
        <f>E69/Calculation!K$19*1000</f>
        <v>2.3510943329614121E-3</v>
      </c>
      <c r="G69" s="12">
        <f t="shared" si="3"/>
        <v>41.648606431659431</v>
      </c>
    </row>
    <row r="70" spans="1:7">
      <c r="A70" s="34">
        <v>32.5</v>
      </c>
      <c r="B70" s="74">
        <v>672.21</v>
      </c>
      <c r="C70" s="35">
        <f t="shared" ref="C70:C101" si="4">B70/1000</f>
        <v>0.67221000000000009</v>
      </c>
      <c r="D70" s="12">
        <f t="shared" ref="D70:D101" si="5">C70/1000*$B$1</f>
        <v>4.7390805000000008E-2</v>
      </c>
      <c r="E70" s="12">
        <f t="shared" ref="E70:E101" si="6">D70/22.4</f>
        <v>2.1156609375000005E-3</v>
      </c>
      <c r="F70" s="12">
        <f>E70/Calculation!K$19*1000</f>
        <v>2.3650975286353369E-3</v>
      </c>
      <c r="G70" s="12">
        <f t="shared" si="3"/>
        <v>41.719349309583379</v>
      </c>
    </row>
    <row r="71" spans="1:7">
      <c r="A71" s="34">
        <v>33</v>
      </c>
      <c r="B71" s="74">
        <v>668.23</v>
      </c>
      <c r="C71" s="35">
        <f t="shared" si="4"/>
        <v>0.66822999999999999</v>
      </c>
      <c r="D71" s="12">
        <f t="shared" si="5"/>
        <v>4.7110215000000004E-2</v>
      </c>
      <c r="E71" s="12">
        <f t="shared" si="6"/>
        <v>2.1031345982142858E-3</v>
      </c>
      <c r="F71" s="12">
        <f>E71/Calculation!K$19*1000</f>
        <v>2.3510943329614121E-3</v>
      </c>
      <c r="G71" s="12">
        <f t="shared" ref="G71:G101" si="7">G70+(F71+F70)/2*30</f>
        <v>41.790092187507327</v>
      </c>
    </row>
    <row r="72" spans="1:7">
      <c r="A72" s="34">
        <v>33.5</v>
      </c>
      <c r="B72" s="74">
        <v>708.39</v>
      </c>
      <c r="C72" s="35">
        <f t="shared" si="4"/>
        <v>0.70838999999999996</v>
      </c>
      <c r="D72" s="12">
        <f t="shared" si="5"/>
        <v>4.9941494999999995E-2</v>
      </c>
      <c r="E72" s="12">
        <f t="shared" si="6"/>
        <v>2.2295310267857141E-3</v>
      </c>
      <c r="F72" s="12">
        <f>E72/Calculation!K$19*1000</f>
        <v>2.4923929104148789E-3</v>
      </c>
      <c r="G72" s="12">
        <f t="shared" si="7"/>
        <v>41.862744496157973</v>
      </c>
    </row>
    <row r="73" spans="1:7">
      <c r="A73" s="34">
        <v>34</v>
      </c>
      <c r="B73" s="74">
        <v>746.06</v>
      </c>
      <c r="C73" s="35">
        <f t="shared" si="4"/>
        <v>0.74605999999999995</v>
      </c>
      <c r="D73" s="12">
        <f t="shared" si="5"/>
        <v>5.2597230000000002E-2</v>
      </c>
      <c r="E73" s="12">
        <f t="shared" si="6"/>
        <v>2.3480906250000003E-3</v>
      </c>
      <c r="F73" s="12">
        <f>E73/Calculation!K$19*1000</f>
        <v>2.6249306945949616E-3</v>
      </c>
      <c r="G73" s="12">
        <f t="shared" si="7"/>
        <v>41.939504350233122</v>
      </c>
    </row>
    <row r="74" spans="1:7">
      <c r="A74" s="34">
        <v>34.5</v>
      </c>
      <c r="B74" s="74">
        <v>803.8</v>
      </c>
      <c r="C74" s="35">
        <f t="shared" si="4"/>
        <v>0.80379999999999996</v>
      </c>
      <c r="D74" s="12">
        <f t="shared" si="5"/>
        <v>5.6667899999999993E-2</v>
      </c>
      <c r="E74" s="12">
        <f t="shared" si="6"/>
        <v>2.529816964285714E-3</v>
      </c>
      <c r="F74" s="12">
        <f>E74/Calculation!K$19*1000</f>
        <v>2.8280825835930484E-3</v>
      </c>
      <c r="G74" s="12">
        <f t="shared" si="7"/>
        <v>42.021299549405946</v>
      </c>
    </row>
    <row r="75" spans="1:7">
      <c r="A75" s="34">
        <v>35</v>
      </c>
      <c r="B75" s="74">
        <v>918.46</v>
      </c>
      <c r="C75" s="35">
        <f t="shared" si="4"/>
        <v>0.91846000000000005</v>
      </c>
      <c r="D75" s="12">
        <f t="shared" si="5"/>
        <v>6.4751429999999999E-2</v>
      </c>
      <c r="E75" s="12">
        <f t="shared" si="6"/>
        <v>2.8906888392857145E-3</v>
      </c>
      <c r="F75" s="12">
        <f>E75/Calculation!K$19*1000</f>
        <v>3.2315012810734903E-3</v>
      </c>
      <c r="G75" s="12">
        <f t="shared" si="7"/>
        <v>42.112193307375946</v>
      </c>
    </row>
    <row r="76" spans="1:7">
      <c r="A76" s="34">
        <v>35.5</v>
      </c>
      <c r="B76" s="74">
        <v>1040.5899999999999</v>
      </c>
      <c r="C76" s="35">
        <f t="shared" si="4"/>
        <v>1.0405899999999999</v>
      </c>
      <c r="D76" s="12">
        <f t="shared" si="5"/>
        <v>7.3361594999999988E-2</v>
      </c>
      <c r="E76" s="12">
        <f t="shared" si="6"/>
        <v>3.2750712053571424E-3</v>
      </c>
      <c r="F76" s="12">
        <f>E76/Calculation!K$19*1000</f>
        <v>3.6612023583740857E-3</v>
      </c>
      <c r="G76" s="12">
        <f t="shared" si="7"/>
        <v>42.215583861967659</v>
      </c>
    </row>
    <row r="77" spans="1:7">
      <c r="A77" s="34">
        <v>36</v>
      </c>
      <c r="B77" s="74">
        <v>1279.54</v>
      </c>
      <c r="C77" s="35">
        <f t="shared" si="4"/>
        <v>1.2795399999999999</v>
      </c>
      <c r="D77" s="12">
        <f t="shared" si="5"/>
        <v>9.0207569999999987E-2</v>
      </c>
      <c r="E77" s="12">
        <f t="shared" si="6"/>
        <v>4.027123660714285E-3</v>
      </c>
      <c r="F77" s="12">
        <f>E77/Calculation!K$19*1000</f>
        <v>4.5019218574404692E-3</v>
      </c>
      <c r="G77" s="12">
        <f t="shared" si="7"/>
        <v>42.338030725204874</v>
      </c>
    </row>
    <row r="78" spans="1:7">
      <c r="A78" s="34">
        <v>36.5</v>
      </c>
      <c r="B78" s="74">
        <v>1488.13</v>
      </c>
      <c r="C78" s="35">
        <f t="shared" si="4"/>
        <v>1.4881300000000002</v>
      </c>
      <c r="D78" s="12">
        <f t="shared" si="5"/>
        <v>0.10491316500000002</v>
      </c>
      <c r="E78" s="12">
        <f t="shared" si="6"/>
        <v>4.6836234375000011E-3</v>
      </c>
      <c r="F78" s="12">
        <f>E78/Calculation!K$19*1000</f>
        <v>5.2358230096072704E-3</v>
      </c>
      <c r="G78" s="12">
        <f t="shared" si="7"/>
        <v>42.484096898210588</v>
      </c>
    </row>
    <row r="79" spans="1:7">
      <c r="A79" s="34">
        <v>37</v>
      </c>
      <c r="B79" s="74">
        <v>1436.19</v>
      </c>
      <c r="C79" s="35">
        <f t="shared" si="4"/>
        <v>1.4361900000000001</v>
      </c>
      <c r="D79" s="12">
        <f t="shared" si="5"/>
        <v>0.10125139500000001</v>
      </c>
      <c r="E79" s="12">
        <f t="shared" si="6"/>
        <v>4.5201515625000006E-3</v>
      </c>
      <c r="F79" s="12">
        <f>E79/Calculation!K$19*1000</f>
        <v>5.0530777876716861E-3</v>
      </c>
      <c r="G79" s="12">
        <f t="shared" si="7"/>
        <v>42.638430410169775</v>
      </c>
    </row>
    <row r="80" spans="1:7">
      <c r="A80" s="34">
        <v>37.5</v>
      </c>
      <c r="B80" s="74">
        <v>1404.5</v>
      </c>
      <c r="C80" s="35">
        <f t="shared" si="4"/>
        <v>1.4045000000000001</v>
      </c>
      <c r="D80" s="12">
        <f t="shared" si="5"/>
        <v>9.9017250000000015E-2</v>
      </c>
      <c r="E80" s="12">
        <f t="shared" si="6"/>
        <v>4.4204129464285721E-3</v>
      </c>
      <c r="F80" s="12">
        <f>E80/Calculation!K$19*1000</f>
        <v>4.9415799809112183E-3</v>
      </c>
      <c r="G80" s="12">
        <f t="shared" si="7"/>
        <v>42.788350276698516</v>
      </c>
    </row>
    <row r="81" spans="1:7">
      <c r="A81" s="34">
        <v>38</v>
      </c>
      <c r="B81" s="74">
        <v>1377.45</v>
      </c>
      <c r="C81" s="35">
        <f t="shared" si="4"/>
        <v>1.3774500000000001</v>
      </c>
      <c r="D81" s="12">
        <f t="shared" si="5"/>
        <v>9.7110225000000008E-2</v>
      </c>
      <c r="E81" s="12">
        <f t="shared" si="6"/>
        <v>4.3352779017857149E-3</v>
      </c>
      <c r="F81" s="12">
        <f>E81/Calculation!K$19*1000</f>
        <v>4.8464075078007525E-3</v>
      </c>
      <c r="G81" s="12">
        <f t="shared" si="7"/>
        <v>42.935170089029192</v>
      </c>
    </row>
    <row r="82" spans="1:7">
      <c r="A82" s="34">
        <v>38.5</v>
      </c>
      <c r="B82" s="74">
        <v>1385.91</v>
      </c>
      <c r="C82" s="35">
        <f t="shared" si="4"/>
        <v>1.38591</v>
      </c>
      <c r="D82" s="12">
        <f t="shared" si="5"/>
        <v>9.7706655000000003E-2</v>
      </c>
      <c r="E82" s="12">
        <f t="shared" si="6"/>
        <v>4.3619042410714291E-3</v>
      </c>
      <c r="F82" s="12">
        <f>E82/Calculation!K$19*1000</f>
        <v>4.8761730945850248E-3</v>
      </c>
      <c r="G82" s="12">
        <f t="shared" si="7"/>
        <v>43.081008798064978</v>
      </c>
    </row>
    <row r="83" spans="1:7">
      <c r="A83" s="34">
        <v>39</v>
      </c>
      <c r="B83" s="74">
        <v>1416.28</v>
      </c>
      <c r="C83" s="35">
        <f t="shared" si="4"/>
        <v>1.41628</v>
      </c>
      <c r="D83" s="12">
        <f t="shared" si="5"/>
        <v>9.9847740000000004E-2</v>
      </c>
      <c r="E83" s="12">
        <f t="shared" si="6"/>
        <v>4.4574883928571434E-3</v>
      </c>
      <c r="F83" s="12">
        <f>E83/Calculation!K$19*1000</f>
        <v>4.9830266253933359E-3</v>
      </c>
      <c r="G83" s="12">
        <f t="shared" si="7"/>
        <v>43.228896793864656</v>
      </c>
    </row>
    <row r="84" spans="1:7">
      <c r="A84" s="34">
        <v>39.5</v>
      </c>
      <c r="B84" s="74">
        <v>1313.89</v>
      </c>
      <c r="C84" s="35">
        <f t="shared" si="4"/>
        <v>1.31389</v>
      </c>
      <c r="D84" s="12">
        <f t="shared" si="5"/>
        <v>9.2629244999999999E-2</v>
      </c>
      <c r="E84" s="12">
        <f t="shared" si="6"/>
        <v>4.1352341517857149E-3</v>
      </c>
      <c r="F84" s="12">
        <f>E84/Calculation!K$19*1000</f>
        <v>4.6227785839227063E-3</v>
      </c>
      <c r="G84" s="12">
        <f t="shared" si="7"/>
        <v>43.372983872004397</v>
      </c>
    </row>
    <row r="85" spans="1:7">
      <c r="A85" s="34">
        <v>40</v>
      </c>
      <c r="B85" s="74">
        <v>1171.19</v>
      </c>
      <c r="C85" s="35">
        <f t="shared" si="4"/>
        <v>1.17119</v>
      </c>
      <c r="D85" s="12">
        <f t="shared" si="5"/>
        <v>8.2568894999999989E-2</v>
      </c>
      <c r="E85" s="12">
        <f t="shared" si="6"/>
        <v>3.6861113839285714E-3</v>
      </c>
      <c r="F85" s="12">
        <f>E85/Calculation!K$19*1000</f>
        <v>4.120704206367681E-3</v>
      </c>
      <c r="G85" s="12">
        <f t="shared" si="7"/>
        <v>43.504136113858756</v>
      </c>
    </row>
    <row r="86" spans="1:7">
      <c r="A86" s="34">
        <v>40.5</v>
      </c>
      <c r="B86" s="74">
        <v>1015.7</v>
      </c>
      <c r="C86" s="35">
        <f t="shared" si="4"/>
        <v>1.0157</v>
      </c>
      <c r="D86" s="12">
        <f t="shared" si="5"/>
        <v>7.160685E-2</v>
      </c>
      <c r="E86" s="12">
        <f t="shared" si="6"/>
        <v>3.1967343750000004E-3</v>
      </c>
      <c r="F86" s="12">
        <f>E86/Calculation!K$19*1000</f>
        <v>3.5736296095489673E-3</v>
      </c>
      <c r="G86" s="12">
        <f t="shared" si="7"/>
        <v>43.619551121097508</v>
      </c>
    </row>
    <row r="87" spans="1:7">
      <c r="A87" s="34">
        <v>41</v>
      </c>
      <c r="B87" s="74">
        <v>915.48</v>
      </c>
      <c r="C87" s="35">
        <f t="shared" si="4"/>
        <v>0.91548000000000007</v>
      </c>
      <c r="D87" s="12">
        <f t="shared" si="5"/>
        <v>6.4541340000000003E-2</v>
      </c>
      <c r="E87" s="12">
        <f t="shared" si="6"/>
        <v>2.8813098214285717E-3</v>
      </c>
      <c r="F87" s="12">
        <f>E87/Calculation!K$19*1000</f>
        <v>3.2210164762724114E-3</v>
      </c>
      <c r="G87" s="12">
        <f t="shared" si="7"/>
        <v>43.72147081238483</v>
      </c>
    </row>
    <row r="88" spans="1:7">
      <c r="A88" s="34">
        <v>41.5</v>
      </c>
      <c r="B88" s="74">
        <v>806.79</v>
      </c>
      <c r="C88" s="35">
        <f t="shared" si="4"/>
        <v>0.80679000000000001</v>
      </c>
      <c r="D88" s="12">
        <f t="shared" si="5"/>
        <v>5.6878695E-2</v>
      </c>
      <c r="E88" s="12">
        <f t="shared" si="6"/>
        <v>2.5392274553571429E-3</v>
      </c>
      <c r="F88" s="12">
        <f>E88/Calculation!K$19*1000</f>
        <v>2.8386025723028561E-3</v>
      </c>
      <c r="G88" s="12">
        <f t="shared" si="7"/>
        <v>43.81236509811346</v>
      </c>
    </row>
    <row r="89" spans="1:7">
      <c r="A89" s="34">
        <v>42</v>
      </c>
      <c r="B89" s="74">
        <v>742.24</v>
      </c>
      <c r="C89" s="35">
        <f t="shared" si="4"/>
        <v>0.74224000000000001</v>
      </c>
      <c r="D89" s="12">
        <f t="shared" si="5"/>
        <v>5.232792E-2</v>
      </c>
      <c r="E89" s="12">
        <f t="shared" si="6"/>
        <v>2.3360678571428574E-3</v>
      </c>
      <c r="F89" s="12">
        <f>E89/Calculation!K$19*1000</f>
        <v>2.6114904414606924E-3</v>
      </c>
      <c r="G89" s="12">
        <f t="shared" si="7"/>
        <v>43.894116493319913</v>
      </c>
    </row>
    <row r="90" spans="1:7">
      <c r="A90" s="34">
        <v>42.5</v>
      </c>
      <c r="B90" s="74">
        <v>701.75</v>
      </c>
      <c r="C90" s="35">
        <f t="shared" si="4"/>
        <v>0.70174999999999998</v>
      </c>
      <c r="D90" s="12">
        <f t="shared" si="5"/>
        <v>4.9473375E-2</v>
      </c>
      <c r="E90" s="12">
        <f t="shared" si="6"/>
        <v>2.2086328125000003E-3</v>
      </c>
      <c r="F90" s="12">
        <f>E90/Calculation!K$19*1000</f>
        <v>2.4690307950191864E-3</v>
      </c>
      <c r="G90" s="12">
        <f t="shared" si="7"/>
        <v>43.97032431186711</v>
      </c>
    </row>
    <row r="91" spans="1:7">
      <c r="A91" s="34">
        <v>43</v>
      </c>
      <c r="B91" s="74">
        <v>664.91</v>
      </c>
      <c r="C91" s="35">
        <f t="shared" si="4"/>
        <v>0.66491</v>
      </c>
      <c r="D91" s="12">
        <f t="shared" si="5"/>
        <v>4.6876155000000003E-2</v>
      </c>
      <c r="E91" s="12">
        <f t="shared" si="6"/>
        <v>2.0926854910714287E-3</v>
      </c>
      <c r="F91" s="12">
        <f>E91/Calculation!K$19*1000</f>
        <v>2.3394132752635657E-3</v>
      </c>
      <c r="G91" s="12">
        <f t="shared" si="7"/>
        <v>44.042450972921351</v>
      </c>
    </row>
    <row r="92" spans="1:7">
      <c r="A92" s="34">
        <v>43.5</v>
      </c>
      <c r="B92" s="74">
        <v>627.91</v>
      </c>
      <c r="C92" s="35">
        <f t="shared" si="4"/>
        <v>0.62790999999999997</v>
      </c>
      <c r="D92" s="12">
        <f t="shared" si="5"/>
        <v>4.4267654999999996E-2</v>
      </c>
      <c r="E92" s="12">
        <f t="shared" si="6"/>
        <v>1.9762345982142857E-3</v>
      </c>
      <c r="F92" s="12">
        <f>E92/Calculation!K$19*1000</f>
        <v>2.2092328129682897E-3</v>
      </c>
      <c r="G92" s="12">
        <f t="shared" si="7"/>
        <v>44.110680664244832</v>
      </c>
    </row>
    <row r="93" spans="1:7">
      <c r="A93" s="34">
        <v>44</v>
      </c>
      <c r="B93" s="74">
        <v>627.24</v>
      </c>
      <c r="C93" s="35">
        <f t="shared" si="4"/>
        <v>0.62724000000000002</v>
      </c>
      <c r="D93" s="12">
        <f t="shared" si="5"/>
        <v>4.4220420000000003E-2</v>
      </c>
      <c r="E93" s="12">
        <f t="shared" si="6"/>
        <v>1.974125892857143E-3</v>
      </c>
      <c r="F93" s="12">
        <f>E93/Calculation!K$19*1000</f>
        <v>2.2068754910834834E-3</v>
      </c>
      <c r="G93" s="12">
        <f t="shared" si="7"/>
        <v>44.176922288805606</v>
      </c>
    </row>
    <row r="94" spans="1:7">
      <c r="A94" s="34">
        <v>44.5</v>
      </c>
      <c r="B94" s="74">
        <v>625.25</v>
      </c>
      <c r="C94" s="35">
        <f t="shared" si="4"/>
        <v>0.62524999999999997</v>
      </c>
      <c r="D94" s="12">
        <f t="shared" si="5"/>
        <v>4.4080124999999998E-2</v>
      </c>
      <c r="E94" s="12">
        <f t="shared" si="6"/>
        <v>1.9678627232142857E-3</v>
      </c>
      <c r="F94" s="12">
        <f>E94/Calculation!K$19*1000</f>
        <v>2.1998738932465208E-3</v>
      </c>
      <c r="G94" s="12">
        <f t="shared" si="7"/>
        <v>44.243023529570557</v>
      </c>
    </row>
    <row r="95" spans="1:7">
      <c r="A95" s="34">
        <v>45</v>
      </c>
      <c r="B95" s="74">
        <v>580.62</v>
      </c>
      <c r="C95" s="35">
        <f t="shared" si="4"/>
        <v>0.58062000000000002</v>
      </c>
      <c r="D95" s="12">
        <f t="shared" si="5"/>
        <v>4.0933709999999998E-2</v>
      </c>
      <c r="E95" s="12">
        <f t="shared" si="6"/>
        <v>1.8273977678571428E-3</v>
      </c>
      <c r="F95" s="12">
        <f>E95/Calculation!K$19*1000</f>
        <v>2.0428481085914356E-3</v>
      </c>
      <c r="G95" s="12">
        <f t="shared" si="7"/>
        <v>44.306664359598123</v>
      </c>
    </row>
    <row r="96" spans="1:7">
      <c r="A96" s="34">
        <v>45.5</v>
      </c>
      <c r="B96" s="74">
        <v>558.88</v>
      </c>
      <c r="C96" s="35">
        <f t="shared" si="4"/>
        <v>0.55888000000000004</v>
      </c>
      <c r="D96" s="12">
        <f t="shared" si="5"/>
        <v>3.9401040000000005E-2</v>
      </c>
      <c r="E96" s="12">
        <f t="shared" si="6"/>
        <v>1.7589750000000003E-3</v>
      </c>
      <c r="F96" s="12">
        <f>E96/Calculation!K$19*1000</f>
        <v>1.9663582910157793E-3</v>
      </c>
      <c r="G96" s="12">
        <f t="shared" si="7"/>
        <v>44.366802455592229</v>
      </c>
    </row>
    <row r="97" spans="1:7">
      <c r="A97" s="34">
        <v>46</v>
      </c>
      <c r="B97" s="74">
        <v>505.11</v>
      </c>
      <c r="C97" s="35">
        <f t="shared" si="4"/>
        <v>0.50511000000000006</v>
      </c>
      <c r="D97" s="12">
        <f t="shared" si="5"/>
        <v>3.5610255E-2</v>
      </c>
      <c r="E97" s="12">
        <f t="shared" si="6"/>
        <v>1.5897435267857145E-3</v>
      </c>
      <c r="F97" s="12">
        <f>E97/Calculation!K$19*1000</f>
        <v>1.7771744137828876E-3</v>
      </c>
      <c r="G97" s="12">
        <f t="shared" si="7"/>
        <v>44.42295544616421</v>
      </c>
    </row>
    <row r="98" spans="1:7">
      <c r="A98" s="34">
        <v>46.5</v>
      </c>
      <c r="B98" s="74">
        <v>473.09</v>
      </c>
      <c r="C98" s="35">
        <f t="shared" si="4"/>
        <v>0.47308999999999996</v>
      </c>
      <c r="D98" s="12">
        <f t="shared" si="5"/>
        <v>3.3352844999999999E-2</v>
      </c>
      <c r="E98" s="12">
        <f t="shared" si="6"/>
        <v>1.4889662946428572E-3</v>
      </c>
      <c r="F98" s="12">
        <f>E98/Calculation!K$19*1000</f>
        <v>1.664515538034381E-3</v>
      </c>
      <c r="G98" s="12">
        <f t="shared" si="7"/>
        <v>44.474580795441469</v>
      </c>
    </row>
    <row r="99" spans="1:7">
      <c r="A99" s="34">
        <v>47</v>
      </c>
      <c r="B99" s="74">
        <v>467.11</v>
      </c>
      <c r="C99" s="35">
        <f t="shared" si="4"/>
        <v>0.46711000000000003</v>
      </c>
      <c r="D99" s="12">
        <f t="shared" si="5"/>
        <v>3.2931255E-2</v>
      </c>
      <c r="E99" s="12">
        <f t="shared" si="6"/>
        <v>1.4701453125E-3</v>
      </c>
      <c r="F99" s="12">
        <f>E99/Calculation!K$19*1000</f>
        <v>1.6434755606147659E-3</v>
      </c>
      <c r="G99" s="12">
        <f t="shared" si="7"/>
        <v>44.524200661921206</v>
      </c>
    </row>
    <row r="100" spans="1:7">
      <c r="A100" s="34">
        <v>47.5</v>
      </c>
      <c r="B100" s="74">
        <v>477.9</v>
      </c>
      <c r="C100" s="35">
        <f t="shared" si="4"/>
        <v>0.47789999999999999</v>
      </c>
      <c r="D100" s="12">
        <f t="shared" si="5"/>
        <v>3.3691949999999998E-2</v>
      </c>
      <c r="E100" s="12">
        <f t="shared" si="6"/>
        <v>1.5041049107142857E-3</v>
      </c>
      <c r="F100" s="12">
        <f>E100/Calculation!K$19*1000</f>
        <v>1.6814389981327669E-3</v>
      </c>
      <c r="G100" s="12">
        <f t="shared" si="7"/>
        <v>44.57407438030242</v>
      </c>
    </row>
    <row r="101" spans="1:7">
      <c r="A101" s="34">
        <v>48</v>
      </c>
      <c r="B101" s="74">
        <v>473.75</v>
      </c>
      <c r="C101" s="35">
        <f t="shared" si="4"/>
        <v>0.47375</v>
      </c>
      <c r="D101" s="12">
        <f t="shared" si="5"/>
        <v>3.3399375000000002E-2</v>
      </c>
      <c r="E101" s="12">
        <f t="shared" si="6"/>
        <v>1.4910435267857145E-3</v>
      </c>
      <c r="F101" s="12">
        <f>E101/Calculation!K$20*1000</f>
        <v>1.7619809901186303E-3</v>
      </c>
      <c r="G101" s="12">
        <f t="shared" si="7"/>
        <v>44.625725680126195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N3" sqref="N3:O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7" t="s">
        <v>41</v>
      </c>
      <c r="B1" s="127"/>
      <c r="D1" s="155" t="s">
        <v>4</v>
      </c>
      <c r="E1" s="155" t="s">
        <v>5</v>
      </c>
      <c r="F1" s="127" t="s">
        <v>139</v>
      </c>
      <c r="G1" s="127"/>
      <c r="H1" s="127"/>
      <c r="I1" s="127"/>
      <c r="J1" s="127" t="s">
        <v>42</v>
      </c>
      <c r="K1" s="127"/>
      <c r="L1" s="127"/>
      <c r="M1" s="127"/>
      <c r="N1" s="153" t="s">
        <v>43</v>
      </c>
      <c r="O1" s="125"/>
      <c r="P1" s="125"/>
      <c r="Q1" s="154"/>
      <c r="R1" s="127" t="s">
        <v>65</v>
      </c>
      <c r="S1" s="127"/>
      <c r="T1" s="127"/>
      <c r="U1" s="127"/>
    </row>
    <row r="2" spans="1:21">
      <c r="A2" s="127" t="s">
        <v>34</v>
      </c>
      <c r="B2" s="127"/>
      <c r="D2" s="155"/>
      <c r="E2" s="155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7" t="s">
        <v>35</v>
      </c>
      <c r="B3" s="14" t="s">
        <v>38</v>
      </c>
      <c r="D3" s="16">
        <v>0</v>
      </c>
      <c r="E3" s="62">
        <v>-0.16666666666666666</v>
      </c>
      <c r="F3" s="51">
        <v>49.903789224393137</v>
      </c>
      <c r="G3" s="51">
        <v>0.42204196060933052</v>
      </c>
      <c r="H3" s="13">
        <f>F3*Calculation!I3/Calculation!F22</f>
        <v>49.937058417209393</v>
      </c>
      <c r="I3" s="13">
        <f>G3*Calculation!I3/Calculation!F22</f>
        <v>0.42232332191640337</v>
      </c>
      <c r="J3" s="13">
        <v>0.37744227353463589</v>
      </c>
      <c r="K3" s="13">
        <v>2.2202486678507972E-2</v>
      </c>
      <c r="L3" s="13">
        <f>J3*Calculation!I3/Calculation!F22</f>
        <v>0.3776939017169923</v>
      </c>
      <c r="M3" s="13">
        <f>K3*Calculation!I3/Calculation!F22</f>
        <v>2.2217288336293644E-2</v>
      </c>
      <c r="N3" s="13">
        <v>1.1212878157091315</v>
      </c>
      <c r="O3" s="13">
        <v>0.10175022359047102</v>
      </c>
      <c r="P3" s="13">
        <f>N3*Calculation!I3/Calculation!F22</f>
        <v>1.1220353409196042</v>
      </c>
      <c r="Q3" s="13">
        <f>O3*Calculation!I3/Calculation!F22</f>
        <v>0.10181805707286468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7"/>
      <c r="B4" s="14" t="s">
        <v>39</v>
      </c>
      <c r="D4" s="16">
        <v>0</v>
      </c>
      <c r="E4" s="64">
        <v>0.16666666666666666</v>
      </c>
      <c r="F4" s="51">
        <v>47.809354647720561</v>
      </c>
      <c r="G4" s="51">
        <v>6.5047349878801369E-2</v>
      </c>
      <c r="H4" s="13">
        <f>F4*Calculation!I4/Calculation!K3</f>
        <v>47.897893801268864</v>
      </c>
      <c r="I4" s="13">
        <f>G4*Calculation!I4/Calculation!K3</f>
        <v>6.516781243976387E-2</v>
      </c>
      <c r="J4" s="13">
        <v>0.59206631142687982</v>
      </c>
      <c r="K4" s="13">
        <v>2.5637223321031358E-2</v>
      </c>
      <c r="L4" s="13">
        <f>J4*Calculation!I4/Calculation!K3</f>
        <v>0.59316277153274111</v>
      </c>
      <c r="M4" s="13">
        <f>K4*Calculation!I4/Calculation!K3</f>
        <v>2.5684701436326961E-2</v>
      </c>
      <c r="N4" s="13">
        <v>1.86511240632806</v>
      </c>
      <c r="O4" s="13">
        <v>3.3305578684429675E-2</v>
      </c>
      <c r="P4" s="13">
        <f>N4*Calculation!I4/Calculation!K3</f>
        <v>1.8685664473822743</v>
      </c>
      <c r="Q4" s="13">
        <f>O4*Calculation!I4/Calculation!K3</f>
        <v>3.3367257988969216E-2</v>
      </c>
      <c r="R4" s="13">
        <v>1.0138315591281049</v>
      </c>
      <c r="S4" s="13">
        <v>2.5085825296094988E-2</v>
      </c>
      <c r="T4" s="13">
        <f>R4*Calculation!I4/Calculation!K3</f>
        <v>1.0157090952033598</v>
      </c>
      <c r="U4" s="13">
        <f>S4*Calculation!I4/Calculation!K3</f>
        <v>2.5132282265743346E-2</v>
      </c>
    </row>
    <row r="5" spans="1:21">
      <c r="A5" s="15" t="s">
        <v>37</v>
      </c>
      <c r="B5" s="15">
        <v>180.16</v>
      </c>
      <c r="D5" s="16">
        <v>1</v>
      </c>
      <c r="E5" s="64">
        <v>2</v>
      </c>
      <c r="F5" s="51">
        <v>47.117377146240386</v>
      </c>
      <c r="G5" s="51">
        <v>1.0839688153544369</v>
      </c>
      <c r="H5" s="13">
        <f>F5*Calculation!I5/Calculation!K4</f>
        <v>47.26511480539299</v>
      </c>
      <c r="I5" s="13">
        <f>G5*Calculation!I5/Calculation!K4</f>
        <v>1.0873676254129392</v>
      </c>
      <c r="J5" s="13">
        <v>0.63647128478389581</v>
      </c>
      <c r="K5" s="13">
        <v>4.6218161622249836E-2</v>
      </c>
      <c r="L5" s="13">
        <f>J5*Calculation!I5/Calculation!K4</f>
        <v>0.63846695566854572</v>
      </c>
      <c r="M5" s="13">
        <f>K5*Calculation!I5/Calculation!K4</f>
        <v>4.6363079769692873E-2</v>
      </c>
      <c r="N5" s="13">
        <v>2.1981681931723567</v>
      </c>
      <c r="O5" s="13">
        <v>8.8118278470094694E-2</v>
      </c>
      <c r="P5" s="13">
        <f>N5*Calculation!I5/Calculation!K4</f>
        <v>2.2050606019385546</v>
      </c>
      <c r="Q5" s="13">
        <f>O5*Calculation!I5/Calculation!K4</f>
        <v>8.8394575432663797E-2</v>
      </c>
      <c r="R5" s="13">
        <v>0.84003186327757251</v>
      </c>
      <c r="S5" s="13">
        <v>2.5085825296094995E-2</v>
      </c>
      <c r="T5" s="13">
        <f>R5*Calculation!I5/Calculation!K4</f>
        <v>0.84266580320824913</v>
      </c>
      <c r="U5" s="13">
        <f>S5*Calculation!I5/Calculation!K4</f>
        <v>2.5164482499267688E-2</v>
      </c>
    </row>
    <row r="6" spans="1:21">
      <c r="A6" s="15" t="s">
        <v>40</v>
      </c>
      <c r="B6" s="15">
        <v>180.16</v>
      </c>
      <c r="D6" s="16">
        <v>2</v>
      </c>
      <c r="E6" s="64">
        <v>3.3333333333333335</v>
      </c>
      <c r="F6" s="51">
        <v>45.518798105387788</v>
      </c>
      <c r="G6" s="51">
        <v>2.2834135883763507</v>
      </c>
      <c r="H6" s="13">
        <f>F6*Calculation!I6/Calculation!K5</f>
        <v>45.691544107285225</v>
      </c>
      <c r="I6" s="13">
        <f>G6*Calculation!I6/Calculation!K5</f>
        <v>2.2920792514537682</v>
      </c>
      <c r="J6" s="13">
        <v>0.6512729425695678</v>
      </c>
      <c r="K6" s="13">
        <v>6.7829717213674381E-2</v>
      </c>
      <c r="L6" s="13">
        <f>J6*Calculation!I6/Calculation!K5</f>
        <v>0.65374455433559886</v>
      </c>
      <c r="M6" s="13">
        <f>K6*Calculation!I6/Calculation!K5</f>
        <v>6.80871342138194E-2</v>
      </c>
      <c r="N6" s="13">
        <v>2.9197890646683322</v>
      </c>
      <c r="O6" s="13">
        <v>0.11696534835251433</v>
      </c>
      <c r="P6" s="13">
        <f>N6*Calculation!I6/Calculation!K5</f>
        <v>2.930869802919319</v>
      </c>
      <c r="Q6" s="13">
        <f>O6*Calculation!I6/Calculation!K5</f>
        <v>0.11740923740779337</v>
      </c>
      <c r="R6" s="13">
        <v>0.52139908755159681</v>
      </c>
      <c r="S6" s="13">
        <v>4.3449923962633065E-2</v>
      </c>
      <c r="T6" s="13">
        <f>R6*Calculation!I6/Calculation!K5</f>
        <v>0.52337782186613147</v>
      </c>
      <c r="U6" s="13">
        <f>S6*Calculation!I6/Calculation!K5</f>
        <v>4.3614818488844291E-2</v>
      </c>
    </row>
    <row r="7" spans="1:21">
      <c r="A7" s="31" t="s">
        <v>116</v>
      </c>
      <c r="B7" s="31">
        <v>46.03</v>
      </c>
      <c r="D7" s="16">
        <v>3</v>
      </c>
      <c r="E7" s="64">
        <v>4.666666666666667</v>
      </c>
      <c r="F7" s="51">
        <v>44.819419775014801</v>
      </c>
      <c r="G7" s="51">
        <v>0.47545645893756994</v>
      </c>
      <c r="H7" s="13">
        <f>F7*Calculation!I7/Calculation!K6</f>
        <v>45.110858903258503</v>
      </c>
      <c r="I7" s="13">
        <f>G7*Calculation!I7/Calculation!K6</f>
        <v>0.47854812359111032</v>
      </c>
      <c r="J7" s="13">
        <v>0.85109532267613963</v>
      </c>
      <c r="K7" s="13">
        <v>2.5637223321031362E-2</v>
      </c>
      <c r="L7" s="13">
        <f>J7*Calculation!I7/Calculation!K6</f>
        <v>0.85662958617482277</v>
      </c>
      <c r="M7" s="13">
        <f>K7*Calculation!I7/Calculation!K6</f>
        <v>2.5803929852547765E-2</v>
      </c>
      <c r="N7" s="13">
        <v>4.9958368026644466</v>
      </c>
      <c r="O7" s="13">
        <v>5.7686954456915206E-2</v>
      </c>
      <c r="P7" s="13">
        <f>N7*Calculation!I7/Calculation!K6</f>
        <v>5.0283223263487127</v>
      </c>
      <c r="Q7" s="13">
        <f>O7*Calculation!I7/Calculation!K6</f>
        <v>5.8062064973792744E-2</v>
      </c>
      <c r="R7" s="13">
        <v>0</v>
      </c>
      <c r="S7" s="13">
        <v>0</v>
      </c>
      <c r="T7" s="13">
        <f>R7*Calculation!I7/Calculation!K6</f>
        <v>0</v>
      </c>
      <c r="U7" s="13">
        <f>S7*Calculation!I7/Calculation!K6</f>
        <v>0</v>
      </c>
    </row>
    <row r="8" spans="1:21">
      <c r="A8" s="15" t="s">
        <v>43</v>
      </c>
      <c r="B8" s="15">
        <v>60.05</v>
      </c>
      <c r="D8" s="16">
        <v>4</v>
      </c>
      <c r="E8" s="64">
        <v>6</v>
      </c>
      <c r="F8" s="51">
        <v>37.485198342214325</v>
      </c>
      <c r="G8" s="51">
        <v>0.10314801557701446</v>
      </c>
      <c r="H8" s="13">
        <f>F8*Calculation!I8/Calculation!K7</f>
        <v>38.068846975734708</v>
      </c>
      <c r="I8" s="13">
        <f>G8*Calculation!I8/Calculation!K7</f>
        <v>0.10475404144867341</v>
      </c>
      <c r="J8" s="13">
        <v>1.6429840142095915</v>
      </c>
      <c r="K8" s="13">
        <v>2.2202486678508014E-2</v>
      </c>
      <c r="L8" s="13">
        <f>J8*Calculation!I8/Calculation!K7</f>
        <v>1.6685654548100901</v>
      </c>
      <c r="M8" s="13">
        <f>K8*Calculation!I8/Calculation!K7</f>
        <v>2.2548181821757995E-2</v>
      </c>
      <c r="N8" s="13">
        <v>10.480155426033861</v>
      </c>
      <c r="O8" s="13">
        <v>0.26920578746560425</v>
      </c>
      <c r="P8" s="13">
        <f>N8*Calculation!I8/Calculation!K7</f>
        <v>10.643332590994929</v>
      </c>
      <c r="Q8" s="13">
        <f>O8*Calculation!I8/Calculation!K7</f>
        <v>0.27339735098770879</v>
      </c>
      <c r="R8" s="13">
        <v>0</v>
      </c>
      <c r="S8" s="13">
        <v>0</v>
      </c>
      <c r="T8" s="13">
        <f>R8*Calculation!I8/Calculation!K7</f>
        <v>0</v>
      </c>
      <c r="U8" s="13">
        <f>S8*Calculation!I8/Calculation!K7</f>
        <v>0</v>
      </c>
    </row>
    <row r="9" spans="1:21">
      <c r="A9" s="31" t="s">
        <v>67</v>
      </c>
      <c r="B9" s="31">
        <v>74.08</v>
      </c>
      <c r="D9" s="16">
        <v>5</v>
      </c>
      <c r="E9" s="64">
        <v>7.333333333333333</v>
      </c>
      <c r="F9" s="51">
        <v>15.978389579632916</v>
      </c>
      <c r="G9" s="51">
        <v>0.52731879645740509</v>
      </c>
      <c r="H9" s="13">
        <f>F9*Calculation!I9/Calculation!K8</f>
        <v>16.617361516501191</v>
      </c>
      <c r="I9" s="13">
        <f>G9*Calculation!I9/Calculation!K8</f>
        <v>0.54840614766011475</v>
      </c>
      <c r="J9" s="13">
        <v>3.8484310242747188</v>
      </c>
      <c r="K9" s="13">
        <v>0.15751773722463547</v>
      </c>
      <c r="L9" s="13">
        <f>J9*Calculation!I9/Calculation!K8</f>
        <v>4.0023288506626313</v>
      </c>
      <c r="M9" s="13">
        <f>K9*Calculation!I9/Calculation!K8</f>
        <v>0.16381683345982978</v>
      </c>
      <c r="N9" s="13">
        <v>29.186788787121841</v>
      </c>
      <c r="O9" s="13">
        <v>0.91837277191822697</v>
      </c>
      <c r="P9" s="13">
        <f>N9*Calculation!I9/Calculation!K8</f>
        <v>30.353961415460084</v>
      </c>
      <c r="Q9" s="13">
        <f>O9*Calculation!I9/Calculation!K8</f>
        <v>0.95509827707099071</v>
      </c>
      <c r="R9" s="13">
        <v>0</v>
      </c>
      <c r="S9" s="13">
        <v>0</v>
      </c>
      <c r="T9" s="13">
        <f>R9*Calculation!I9/Calculation!K8</f>
        <v>0</v>
      </c>
      <c r="U9" s="13">
        <f>S9*Calculation!I9/Calculation!K8</f>
        <v>0</v>
      </c>
    </row>
    <row r="10" spans="1:21">
      <c r="A10" s="31" t="s">
        <v>66</v>
      </c>
      <c r="B10" s="31">
        <v>88.11</v>
      </c>
      <c r="D10" s="16">
        <v>6</v>
      </c>
      <c r="E10" s="64">
        <v>8.6666666666666661</v>
      </c>
      <c r="F10" s="51">
        <v>0</v>
      </c>
      <c r="G10" s="51">
        <v>0</v>
      </c>
      <c r="H10" s="13">
        <f>F10*Calculation!I10/Calculation!K9</f>
        <v>0</v>
      </c>
      <c r="I10" s="13">
        <f>G10*Calculation!I10/Calculation!K9</f>
        <v>0</v>
      </c>
      <c r="J10" s="13">
        <v>6.8235642391947895</v>
      </c>
      <c r="K10" s="13">
        <v>1.2818611660515681E-2</v>
      </c>
      <c r="L10" s="13">
        <f>J10*Calculation!I10/Calculation!K9</f>
        <v>7.2482865012143023</v>
      </c>
      <c r="M10" s="13">
        <f>K10*Calculation!I10/Calculation!K9</f>
        <v>1.3616486429413054E-2</v>
      </c>
      <c r="N10" s="13">
        <v>44.129891756869277</v>
      </c>
      <c r="O10" s="13">
        <v>3.3305578684429675E-2</v>
      </c>
      <c r="P10" s="13">
        <f>N10*Calculation!I10/Calculation!K9</f>
        <v>46.876689001334803</v>
      </c>
      <c r="Q10" s="13">
        <f>O10*Calculation!I10/Calculation!K9</f>
        <v>3.5378633208554604E-2</v>
      </c>
      <c r="R10" s="13">
        <v>0</v>
      </c>
      <c r="S10" s="13">
        <v>0</v>
      </c>
      <c r="T10" s="13">
        <f>R10*Calculation!I10/Calculation!K9</f>
        <v>0</v>
      </c>
      <c r="U10" s="13">
        <f>S10*Calculation!I10/Calculation!K9</f>
        <v>0</v>
      </c>
    </row>
    <row r="11" spans="1:21">
      <c r="A11" s="15" t="s">
        <v>42</v>
      </c>
      <c r="B11" s="15">
        <v>90.08</v>
      </c>
      <c r="D11" s="16">
        <v>7</v>
      </c>
      <c r="E11" s="64">
        <v>10</v>
      </c>
      <c r="F11" s="51">
        <v>0</v>
      </c>
      <c r="G11" s="51">
        <v>0</v>
      </c>
      <c r="H11" s="13">
        <f>F11*Calculation!I11/Calculation!K10</f>
        <v>0</v>
      </c>
      <c r="I11" s="13">
        <f>G11*Calculation!I11/Calculation!K10</f>
        <v>0</v>
      </c>
      <c r="J11" s="13">
        <v>6.8605683836589701</v>
      </c>
      <c r="K11" s="13">
        <v>0.23073500988928225</v>
      </c>
      <c r="L11" s="13">
        <f>J11*Calculation!I11/Calculation!K10</f>
        <v>7.3559479671907289</v>
      </c>
      <c r="M11" s="13">
        <f>K11*Calculation!I11/Calculation!K10</f>
        <v>0.2473956430486865</v>
      </c>
      <c r="N11" s="13">
        <v>44.396336386344714</v>
      </c>
      <c r="O11" s="13">
        <v>1.1260044299335201</v>
      </c>
      <c r="P11" s="13">
        <f>N11*Calculation!I11/Calculation!K10</f>
        <v>47.602053084947705</v>
      </c>
      <c r="Q11" s="13">
        <f>O11*Calculation!I11/Calculation!K10</f>
        <v>1.2073095892675474</v>
      </c>
      <c r="R11" s="13">
        <v>0</v>
      </c>
      <c r="S11" s="13">
        <v>0</v>
      </c>
      <c r="T11" s="13">
        <f>R11*Calculation!I11/Calculation!K10</f>
        <v>0</v>
      </c>
      <c r="U11" s="13">
        <f>S11*Calculation!I11/Calculation!K10</f>
        <v>0</v>
      </c>
    </row>
    <row r="12" spans="1:21">
      <c r="A12" s="15" t="s">
        <v>44</v>
      </c>
      <c r="B12" s="15">
        <v>46.07</v>
      </c>
      <c r="D12" s="16">
        <v>8</v>
      </c>
      <c r="E12" s="64">
        <v>11.333333333333334</v>
      </c>
      <c r="F12" s="51">
        <v>0</v>
      </c>
      <c r="G12" s="51">
        <v>0</v>
      </c>
      <c r="H12" s="13">
        <f>F12*Calculation!I12/Calculation!K11</f>
        <v>0</v>
      </c>
      <c r="I12" s="13">
        <f>G12*Calculation!I12/Calculation!K11</f>
        <v>0</v>
      </c>
      <c r="J12" s="13">
        <v>6.7273534635879217</v>
      </c>
      <c r="K12" s="13">
        <v>4.4404973357016028E-2</v>
      </c>
      <c r="L12" s="13">
        <f>J12*Calculation!I12/Calculation!K11</f>
        <v>7.2184531186235903</v>
      </c>
      <c r="M12" s="13">
        <f>K12*Calculation!I12/Calculation!K11</f>
        <v>4.7646555238439581E-2</v>
      </c>
      <c r="N12" s="13">
        <v>43.597002497918403</v>
      </c>
      <c r="O12" s="13">
        <v>0.17306086337074772</v>
      </c>
      <c r="P12" s="13">
        <f>N12*Calculation!I12/Calculation!K11</f>
        <v>46.779602164072699</v>
      </c>
      <c r="Q12" s="13">
        <f>O12*Calculation!I12/Calculation!K11</f>
        <v>0.18569437976936742</v>
      </c>
      <c r="R12" s="13">
        <v>0</v>
      </c>
      <c r="S12" s="13">
        <v>0</v>
      </c>
      <c r="T12" s="13">
        <f>R12*Calculation!I12/Calculation!K11</f>
        <v>0</v>
      </c>
      <c r="U12" s="13">
        <f>S12*Calculation!I12/Calculation!K11</f>
        <v>0</v>
      </c>
    </row>
    <row r="13" spans="1:21">
      <c r="D13" s="16">
        <v>9</v>
      </c>
      <c r="E13" s="64">
        <v>12.666666666666666</v>
      </c>
      <c r="F13" s="51">
        <v>0</v>
      </c>
      <c r="G13" s="51">
        <v>0</v>
      </c>
      <c r="H13" s="13">
        <f>F13*Calculation!I13/Calculation!K12</f>
        <v>0</v>
      </c>
      <c r="I13" s="13">
        <f>G13*Calculation!I13/Calculation!K12</f>
        <v>0</v>
      </c>
      <c r="J13" s="13">
        <v>7.3490230905861456</v>
      </c>
      <c r="K13" s="13">
        <v>0.13865448486674964</v>
      </c>
      <c r="L13" s="13">
        <f>J13*Calculation!I13/Calculation!K12</f>
        <v>7.8976085065311397</v>
      </c>
      <c r="M13" s="13">
        <f>K13*Calculation!I13/Calculation!K12</f>
        <v>0.1490046807112422</v>
      </c>
      <c r="N13" s="13">
        <v>47.460449625312243</v>
      </c>
      <c r="O13" s="13">
        <v>0.83197308887905463</v>
      </c>
      <c r="P13" s="13">
        <f>N13*Calculation!I13/Calculation!K12</f>
        <v>51.003248467785568</v>
      </c>
      <c r="Q13" s="13">
        <f>O13*Calculation!I13/Calculation!K12</f>
        <v>0.89407771113863099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64">
        <v>14</v>
      </c>
      <c r="F14" s="51">
        <v>0</v>
      </c>
      <c r="G14" s="51">
        <v>0</v>
      </c>
      <c r="H14" s="13">
        <f>F14*Calculation!I14/Calculation!K13</f>
        <v>0</v>
      </c>
      <c r="I14" s="13">
        <f>G14*Calculation!I14/Calculation!K13</f>
        <v>0</v>
      </c>
      <c r="J14" s="13">
        <v>7.0973949082297221</v>
      </c>
      <c r="K14" s="13">
        <v>0.10011655756711588</v>
      </c>
      <c r="L14" s="13">
        <f>J14*Calculation!I14/Calculation!K13</f>
        <v>7.6271969363175867</v>
      </c>
      <c r="M14" s="13">
        <f>K14*Calculation!I14/Calculation!K13</f>
        <v>0.10758999760111047</v>
      </c>
      <c r="N14" s="13">
        <v>45.717457674160428</v>
      </c>
      <c r="O14" s="13">
        <v>0.67957528472063922</v>
      </c>
      <c r="P14" s="13">
        <f>N14*Calculation!I14/Calculation!K13</f>
        <v>49.130146711190875</v>
      </c>
      <c r="Q14" s="13">
        <f>O14*Calculation!I14/Calculation!K13</f>
        <v>0.73030380817730933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4">
        <v>15.333333333333334</v>
      </c>
      <c r="F15" s="51">
        <v>0</v>
      </c>
      <c r="G15" s="51">
        <v>0</v>
      </c>
      <c r="H15" s="13">
        <f>F15*Calculation!I15/Calculation!K14</f>
        <v>0</v>
      </c>
      <c r="I15" s="13">
        <f>G15*Calculation!I15/Calculation!K14</f>
        <v>0</v>
      </c>
      <c r="J15" s="13">
        <v>6.8309650680876262</v>
      </c>
      <c r="K15" s="13">
        <v>5.1274446642062724E-2</v>
      </c>
      <c r="L15" s="13">
        <f>J15*Calculation!I15/Calculation!K14</f>
        <v>7.3469256555416864</v>
      </c>
      <c r="M15" s="13">
        <f>K15*Calculation!I15/Calculation!K14</f>
        <v>5.5147339175859122E-2</v>
      </c>
      <c r="N15" s="13">
        <v>44.007771301693033</v>
      </c>
      <c r="O15" s="13">
        <v>0.18938353715495015</v>
      </c>
      <c r="P15" s="13">
        <f>N15*Calculation!I15/Calculation!K14</f>
        <v>47.331792916068274</v>
      </c>
      <c r="Q15" s="13">
        <f>O15*Calculation!I15/Calculation!K14</f>
        <v>0.20368816909357487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4">
        <v>16.666666666666668</v>
      </c>
      <c r="F16" s="51">
        <v>0</v>
      </c>
      <c r="G16" s="51">
        <v>0</v>
      </c>
      <c r="H16" s="13">
        <f>F16*Calculation!I16/Calculation!K15</f>
        <v>0</v>
      </c>
      <c r="I16" s="13">
        <f>G16*Calculation!I16/Calculation!K15</f>
        <v>0</v>
      </c>
      <c r="J16" s="13">
        <v>6.8235642391947895</v>
      </c>
      <c r="K16" s="13">
        <v>5.1274446642062724E-2</v>
      </c>
      <c r="L16" s="13">
        <f>J16*Calculation!I16/Calculation!K15</f>
        <v>7.338965822762118</v>
      </c>
      <c r="M16" s="13">
        <f>K16*Calculation!I16/Calculation!K15</f>
        <v>5.5147339175859122E-2</v>
      </c>
      <c r="N16" s="13">
        <v>44.085484318623372</v>
      </c>
      <c r="O16" s="13">
        <v>0.38601917625786575</v>
      </c>
      <c r="P16" s="13">
        <f>N16*Calculation!I16/Calculation!K15</f>
        <v>47.415375799623391</v>
      </c>
      <c r="Q16" s="13">
        <f>O16*Calculation!I16/Calculation!K15</f>
        <v>0.41517621028824181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4">
        <v>18</v>
      </c>
      <c r="F17" s="51">
        <v>0</v>
      </c>
      <c r="G17" s="51">
        <v>0</v>
      </c>
      <c r="H17" s="13">
        <f>F17*Calculation!I17/Calculation!K16</f>
        <v>0</v>
      </c>
      <c r="I17" s="13">
        <f>G17*Calculation!I17/Calculation!K16</f>
        <v>0</v>
      </c>
      <c r="J17" s="13">
        <v>6.986382474837181</v>
      </c>
      <c r="K17" s="13">
        <v>1.2818611660515681E-2</v>
      </c>
      <c r="L17" s="13">
        <f>J17*Calculation!I17/Calculation!K16</f>
        <v>7.5140821439126233</v>
      </c>
      <c r="M17" s="13">
        <f>K17*Calculation!I17/Calculation!K16</f>
        <v>1.3786834793964782E-2</v>
      </c>
      <c r="N17" s="13">
        <v>44.640577296697202</v>
      </c>
      <c r="O17" s="13">
        <v>6.9331090739920637E-2</v>
      </c>
      <c r="P17" s="13">
        <f>N17*Calculation!I17/Calculation!K16</f>
        <v>48.012396396445652</v>
      </c>
      <c r="Q17" s="13">
        <f>O17*Calculation!I17/Calculation!K16</f>
        <v>7.4567848643151274E-2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4">
        <v>24</v>
      </c>
      <c r="F18" s="51">
        <v>0</v>
      </c>
      <c r="G18" s="51">
        <v>0</v>
      </c>
      <c r="H18" s="13">
        <f>F18*Calculation!I18/Calculation!K17</f>
        <v>0</v>
      </c>
      <c r="I18" s="13">
        <f>G18*Calculation!I18/Calculation!K17</f>
        <v>0</v>
      </c>
      <c r="J18" s="13">
        <v>6.8531675547661335</v>
      </c>
      <c r="K18" s="13">
        <v>0.2014602958676171</v>
      </c>
      <c r="L18" s="13">
        <f>J18*Calculation!I18/Calculation!K17</f>
        <v>7.3776937568279441</v>
      </c>
      <c r="M18" s="13">
        <f>K18*Calculation!I18/Calculation!K17</f>
        <v>0.21687961883225107</v>
      </c>
      <c r="N18" s="13">
        <v>44.207604773799616</v>
      </c>
      <c r="O18" s="13">
        <v>1.059689796223388</v>
      </c>
      <c r="P18" s="13">
        <f>N18*Calculation!I18/Calculation!K17</f>
        <v>47.591156518149454</v>
      </c>
      <c r="Q18" s="13">
        <f>O18*Calculation!I18/Calculation!K17</f>
        <v>1.1407960963006631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4">
        <v>30</v>
      </c>
      <c r="F19" s="51">
        <v>0</v>
      </c>
      <c r="G19" s="51">
        <v>0</v>
      </c>
      <c r="H19" s="13">
        <f>F19*Calculation!I19/Calculation!K18</f>
        <v>0</v>
      </c>
      <c r="I19" s="13">
        <f>G19*Calculation!I19/Calculation!K18</f>
        <v>0</v>
      </c>
      <c r="J19" s="13">
        <v>6.779159265837774</v>
      </c>
      <c r="K19" s="13">
        <v>8.4057257930732363E-2</v>
      </c>
      <c r="L19" s="13">
        <f>J19*Calculation!I19/Calculation!K18</f>
        <v>7.2980210380717034</v>
      </c>
      <c r="M19" s="13">
        <f>K19*Calculation!I19/Calculation!K18</f>
        <v>9.0490813495483421E-2</v>
      </c>
      <c r="N19" s="13">
        <v>43.696919233971691</v>
      </c>
      <c r="O19" s="13">
        <v>0.34772044992208145</v>
      </c>
      <c r="P19" s="13">
        <f>N19*Calculation!I19/Calculation!K18</f>
        <v>47.041384242952354</v>
      </c>
      <c r="Q19" s="13">
        <f>O19*Calculation!I19/Calculation!K18</f>
        <v>0.37433419977123095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4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7.1121965660153945</v>
      </c>
      <c r="K20" s="13">
        <v>0.10011655756711588</v>
      </c>
      <c r="L20" s="13">
        <f>J20*Calculation!I20/Calculation!K19</f>
        <v>7.6565482724747902</v>
      </c>
      <c r="M20" s="13">
        <f>K20*Calculation!I20/Calculation!K19</f>
        <v>0.10777925620749283</v>
      </c>
      <c r="N20" s="13">
        <v>46.983069664168752</v>
      </c>
      <c r="O20" s="13">
        <v>0.67301446866401049</v>
      </c>
      <c r="P20" s="13">
        <f>N20*Calculation!I20/Calculation!K19</f>
        <v>50.579049318133727</v>
      </c>
      <c r="Q20" s="13">
        <f>O20*Calculation!I20/Calculation!K19</f>
        <v>0.72452549919987896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5" t="s">
        <v>4</v>
      </c>
      <c r="E22" s="155" t="s">
        <v>60</v>
      </c>
      <c r="F22" s="127" t="s">
        <v>44</v>
      </c>
      <c r="G22" s="127"/>
      <c r="H22" s="127"/>
      <c r="I22" s="127"/>
      <c r="J22" s="127" t="s">
        <v>66</v>
      </c>
      <c r="K22" s="127"/>
      <c r="L22" s="127"/>
      <c r="M22" s="127"/>
      <c r="N22" s="153" t="s">
        <v>67</v>
      </c>
      <c r="O22" s="125"/>
      <c r="P22" s="125"/>
      <c r="Q22" s="154"/>
    </row>
    <row r="23" spans="4:21">
      <c r="D23" s="155"/>
      <c r="E23" s="155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0.24212159043619716</v>
      </c>
      <c r="K24" s="13">
        <v>9.1736508553566715E-2</v>
      </c>
      <c r="L24" s="13">
        <f>J24*Calculation!I3/Calculation!F22</f>
        <v>0.24228300482982129</v>
      </c>
      <c r="M24" s="13">
        <f>K24*Calculation!I3/Calculation!F22</f>
        <v>9.1797666225935756E-2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4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2.0126357205008891</v>
      </c>
      <c r="K25" s="13">
        <v>3.4673141111155326E-2</v>
      </c>
      <c r="L25" s="13">
        <f>J25*Calculation!I4/Calculation!K3</f>
        <v>2.0163629630961353</v>
      </c>
      <c r="M25" s="13">
        <f>K25*Calculation!I4/Calculation!K3</f>
        <v>3.4737353033434198E-2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4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2.6406385956947753</v>
      </c>
      <c r="K26" s="13">
        <v>0.24899909464539535</v>
      </c>
      <c r="L26" s="13">
        <f>J26*Calculation!I5/Calculation!K4</f>
        <v>2.6489183809550019</v>
      </c>
      <c r="M26" s="13">
        <f>K26*Calculation!I5/Calculation!K4</f>
        <v>0.24977983724190816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4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3.0340861801535963</v>
      </c>
      <c r="K27" s="13">
        <v>0.29624744751563414</v>
      </c>
      <c r="L27" s="13">
        <f>J27*Calculation!I6/Calculation!K5</f>
        <v>3.0456006813893346</v>
      </c>
      <c r="M27" s="13">
        <f>K27*Calculation!I6/Calculation!K5</f>
        <v>0.29737172065685724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4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4.1917300344266639</v>
      </c>
      <c r="K28" s="13">
        <v>5.2420862030609583E-2</v>
      </c>
      <c r="L28" s="13">
        <f>J28*Calculation!I7/Calculation!K6</f>
        <v>4.2189868385798333</v>
      </c>
      <c r="M28" s="13">
        <f>K28*Calculation!I7/Calculation!K6</f>
        <v>5.2761729681477756E-2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4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7.4982030038209819</v>
      </c>
      <c r="K29" s="13">
        <v>1.3105215507652396E-2</v>
      </c>
      <c r="L29" s="13">
        <f>J29*Calculation!I8/Calculation!K7</f>
        <v>7.6149508437839923</v>
      </c>
      <c r="M29" s="13">
        <f>K29*Calculation!I8/Calculation!K7</f>
        <v>1.3309265144877274E-2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4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15.382287292399651</v>
      </c>
      <c r="K30" s="13">
        <v>0.49017710700247397</v>
      </c>
      <c r="L30" s="13">
        <f>J30*Calculation!I9/Calculation!K8</f>
        <v>15.997421242895973</v>
      </c>
      <c r="M30" s="13">
        <f>K30*Calculation!I9/Calculation!K8</f>
        <v>0.5097791710220605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4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21.730412741648696</v>
      </c>
      <c r="K31" s="13">
        <v>9.1736508553566756E-2</v>
      </c>
      <c r="L31" s="13">
        <f>J31*Calculation!I10/Calculation!K9</f>
        <v>23.082988863265129</v>
      </c>
      <c r="M31" s="13">
        <f>K31*Calculation!I10/Calculation!K9</f>
        <v>9.7446506445700742E-2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4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22.161691824613172</v>
      </c>
      <c r="K32" s="13">
        <v>0.6960584500953767</v>
      </c>
      <c r="L32" s="13">
        <f>J32*Calculation!I11/Calculation!K10</f>
        <v>23.761916332627024</v>
      </c>
      <c r="M32" s="13">
        <f>K32*Calculation!I11/Calculation!K10</f>
        <v>0.74631859267238421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4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22.214655922521089</v>
      </c>
      <c r="K33" s="13">
        <v>0.10484172406121917</v>
      </c>
      <c r="L33" s="13">
        <f>J33*Calculation!I12/Calculation!K11</f>
        <v>23.836335223205211</v>
      </c>
      <c r="M33" s="13">
        <f>K33*Calculation!I12/Calculation!K11</f>
        <v>0.11249521436739809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4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24.219725343320849</v>
      </c>
      <c r="K34" s="13">
        <v>0.46904955895521183</v>
      </c>
      <c r="L34" s="13">
        <f>J34*Calculation!I13/Calculation!K12</f>
        <v>26.027664703119413</v>
      </c>
      <c r="M34" s="13">
        <f>K34*Calculation!I13/Calculation!K12</f>
        <v>0.50406288579151903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4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23.69008436424167</v>
      </c>
      <c r="K35" s="13">
        <v>0.30818161925496762</v>
      </c>
      <c r="L35" s="13">
        <f>J35*Calculation!I14/Calculation!K13</f>
        <v>25.458487405644142</v>
      </c>
      <c r="M35" s="13">
        <f>K35*Calculation!I14/Calculation!K13</f>
        <v>0.33118657375050503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4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22.880490296220632</v>
      </c>
      <c r="K36" s="13">
        <v>0.11349449551696753</v>
      </c>
      <c r="L36" s="13">
        <f>J36*Calculation!I15/Calculation!K14</f>
        <v>24.608713335982117</v>
      </c>
      <c r="M36" s="13">
        <f>K36*Calculation!I15/Calculation!K14</f>
        <v>0.12206703043641935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4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22.865357696818371</v>
      </c>
      <c r="K37" s="13">
        <v>0.1610395842605285</v>
      </c>
      <c r="L37" s="13">
        <f>J37*Calculation!I16/Calculation!K15</f>
        <v>24.592437731923933</v>
      </c>
      <c r="M37" s="13">
        <f>K37*Calculation!I16/Calculation!K15</f>
        <v>0.17320332359607185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4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23.569023569023567</v>
      </c>
      <c r="K38" s="13">
        <v>7.9715913841432354E-2</v>
      </c>
      <c r="L38" s="13">
        <f>J38*Calculation!I17/Calculation!K16</f>
        <v>25.349253320629728</v>
      </c>
      <c r="M38" s="13">
        <f>K38*Calculation!I17/Calculation!K16</f>
        <v>8.5737064487804701E-2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4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23.909507055574476</v>
      </c>
      <c r="K39" s="13">
        <v>0.6045468726346066</v>
      </c>
      <c r="L39" s="13">
        <f>J39*Calculation!I18/Calculation!K17</f>
        <v>25.739487546903426</v>
      </c>
      <c r="M39" s="13">
        <f>K39*Calculation!I18/Calculation!K17</f>
        <v>0.6508175456536609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4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24.378617637044602</v>
      </c>
      <c r="K40" s="13">
        <v>0.31778458744750909</v>
      </c>
      <c r="L40" s="13">
        <f>J40*Calculation!I19/Calculation!K18</f>
        <v>26.244502808899629</v>
      </c>
      <c r="M40" s="13">
        <f>K40*Calculation!I19/Calculation!K18</f>
        <v>0.34210711296517238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4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25.86917867816744</v>
      </c>
      <c r="K41" s="13">
        <v>0.42242726447116324</v>
      </c>
      <c r="L41" s="13">
        <f>J41*Calculation!I20/Calculation!K19</f>
        <v>27.849148076855315</v>
      </c>
      <c r="M41" s="13">
        <f>K41*Calculation!I20/Calculation!K19</f>
        <v>0.45475890774556743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F10" sqref="F10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139</v>
      </c>
      <c r="B2" s="17">
        <v>180.16</v>
      </c>
    </row>
    <row r="4" spans="1:8">
      <c r="A4" s="156" t="s">
        <v>140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5</v>
      </c>
      <c r="C6" s="28" t="s">
        <v>19</v>
      </c>
      <c r="D6" s="161"/>
      <c r="E6" s="161"/>
      <c r="F6" s="161"/>
      <c r="G6" s="163"/>
      <c r="H6" s="163"/>
    </row>
    <row r="7" spans="1:8">
      <c r="A7" s="16">
        <v>0</v>
      </c>
      <c r="B7" s="62">
        <v>-0.16666666666666666</v>
      </c>
      <c r="C7" s="16">
        <v>2</v>
      </c>
      <c r="D7" s="19">
        <v>4.4580000000000002</v>
      </c>
      <c r="E7" s="19">
        <v>4.5339999999999998</v>
      </c>
      <c r="F7" s="19">
        <v>4.4939999999999998</v>
      </c>
      <c r="G7" s="19">
        <f>(C7*1000*AVERAGE(D7:F7)/$B$2)</f>
        <v>49.903789224393137</v>
      </c>
      <c r="H7" s="19">
        <f>(C7*1000*STDEV(D7:F7))/$B$2</f>
        <v>0.42204196060933052</v>
      </c>
    </row>
    <row r="8" spans="1:8">
      <c r="A8" s="16">
        <v>0</v>
      </c>
      <c r="B8" s="64">
        <v>0.16666666666666666</v>
      </c>
      <c r="C8" s="16">
        <v>2</v>
      </c>
      <c r="D8" s="19">
        <v>4.3109999999999999</v>
      </c>
      <c r="E8" s="19">
        <v>4.3090000000000002</v>
      </c>
      <c r="F8" s="19">
        <v>4.3</v>
      </c>
      <c r="G8" s="19">
        <f t="shared" ref="G8:G17" si="0">(C8*1000*AVERAGE(D8:F8))/$B$2</f>
        <v>47.809354647720561</v>
      </c>
      <c r="H8" s="19">
        <f t="shared" ref="H8:H17" si="1">(C8*1000*STDEV(D8:F8))/$B$2</f>
        <v>6.5047349878801369E-2</v>
      </c>
    </row>
    <row r="9" spans="1:8">
      <c r="A9" s="16">
        <v>1</v>
      </c>
      <c r="B9" s="64">
        <v>2</v>
      </c>
      <c r="C9" s="16">
        <v>2</v>
      </c>
      <c r="D9" s="19">
        <v>4.3559999999999999</v>
      </c>
      <c r="E9" s="19">
        <v>4.202</v>
      </c>
      <c r="F9" s="19">
        <v>4.1749999999999998</v>
      </c>
      <c r="G9" s="19">
        <f t="shared" si="0"/>
        <v>47.117377146240386</v>
      </c>
      <c r="H9" s="19">
        <f t="shared" si="1"/>
        <v>1.0839688153544369</v>
      </c>
    </row>
    <row r="10" spans="1:8">
      <c r="A10" s="16">
        <v>2</v>
      </c>
      <c r="B10" s="64">
        <v>3.3333333333333335</v>
      </c>
      <c r="C10" s="16">
        <v>2</v>
      </c>
      <c r="D10" s="19">
        <v>4.282</v>
      </c>
      <c r="E10" s="19">
        <v>4.1420000000000003</v>
      </c>
      <c r="F10" s="19">
        <v>3.8769999999999998</v>
      </c>
      <c r="G10" s="19">
        <f t="shared" si="0"/>
        <v>45.518798105387788</v>
      </c>
      <c r="H10" s="19">
        <f t="shared" si="1"/>
        <v>2.2834135883763507</v>
      </c>
    </row>
    <row r="11" spans="1:8">
      <c r="A11" s="16">
        <v>3</v>
      </c>
      <c r="B11" s="64">
        <v>4.666666666666667</v>
      </c>
      <c r="C11" s="16">
        <v>2</v>
      </c>
      <c r="D11" s="19">
        <v>4.0650000000000004</v>
      </c>
      <c r="E11" s="19">
        <v>4.0590000000000002</v>
      </c>
      <c r="F11" s="19">
        <v>3.988</v>
      </c>
      <c r="G11" s="19">
        <f t="shared" si="0"/>
        <v>44.819419775014801</v>
      </c>
      <c r="H11" s="19">
        <f t="shared" si="1"/>
        <v>0.47545645893756994</v>
      </c>
    </row>
    <row r="12" spans="1:8">
      <c r="A12" s="16">
        <v>4</v>
      </c>
      <c r="B12" s="64">
        <v>6</v>
      </c>
      <c r="C12" s="16">
        <v>2</v>
      </c>
      <c r="D12" s="19">
        <v>3.3809999999999998</v>
      </c>
      <c r="E12" s="19">
        <v>3.3660000000000001</v>
      </c>
      <c r="F12" s="19">
        <v>3.383</v>
      </c>
      <c r="G12" s="19">
        <f t="shared" si="0"/>
        <v>37.485198342214325</v>
      </c>
      <c r="H12" s="19">
        <f t="shared" si="1"/>
        <v>0.10314801557701446</v>
      </c>
    </row>
    <row r="13" spans="1:8">
      <c r="A13" s="16">
        <v>5</v>
      </c>
      <c r="B13" s="64">
        <v>7.333333333333333</v>
      </c>
      <c r="C13" s="16">
        <v>2</v>
      </c>
      <c r="D13" s="19">
        <v>1.4870000000000001</v>
      </c>
      <c r="E13" s="19">
        <v>1.3919999999999999</v>
      </c>
      <c r="F13" s="19">
        <v>1.4390000000000001</v>
      </c>
      <c r="G13" s="19">
        <f t="shared" si="0"/>
        <v>15.978389579632916</v>
      </c>
      <c r="H13" s="19">
        <f t="shared" si="1"/>
        <v>0.52731879645740509</v>
      </c>
    </row>
    <row r="14" spans="1:8">
      <c r="A14" s="16">
        <v>6</v>
      </c>
      <c r="B14" s="64">
        <v>8.6666666666666661</v>
      </c>
      <c r="C14" s="16">
        <v>2</v>
      </c>
      <c r="D14" s="73">
        <v>0</v>
      </c>
      <c r="E14" s="73">
        <v>0</v>
      </c>
      <c r="F14" s="73">
        <v>0</v>
      </c>
      <c r="G14" s="19">
        <f t="shared" si="0"/>
        <v>0</v>
      </c>
      <c r="H14" s="19">
        <f t="shared" si="1"/>
        <v>0</v>
      </c>
    </row>
    <row r="15" spans="1:8">
      <c r="A15" s="16">
        <v>7</v>
      </c>
      <c r="B15" s="64">
        <v>10</v>
      </c>
      <c r="C15" s="16">
        <v>2</v>
      </c>
      <c r="D15" s="73">
        <v>0</v>
      </c>
      <c r="E15" s="73">
        <v>0</v>
      </c>
      <c r="F15" s="73">
        <v>0</v>
      </c>
      <c r="G15" s="19">
        <f t="shared" si="0"/>
        <v>0</v>
      </c>
      <c r="H15" s="19">
        <f t="shared" si="1"/>
        <v>0</v>
      </c>
    </row>
    <row r="16" spans="1:8">
      <c r="A16" s="16">
        <v>8</v>
      </c>
      <c r="B16" s="64">
        <v>11.333333333333334</v>
      </c>
      <c r="C16" s="16">
        <v>2</v>
      </c>
      <c r="D16" s="73">
        <v>0</v>
      </c>
      <c r="E16" s="73">
        <v>0</v>
      </c>
      <c r="F16" s="73">
        <v>0</v>
      </c>
      <c r="G16" s="19">
        <f t="shared" si="0"/>
        <v>0</v>
      </c>
      <c r="H16" s="19">
        <f t="shared" si="1"/>
        <v>0</v>
      </c>
    </row>
    <row r="17" spans="1:8">
      <c r="A17" s="16">
        <v>9</v>
      </c>
      <c r="B17" s="64">
        <v>12.666666666666666</v>
      </c>
      <c r="C17" s="16">
        <v>2</v>
      </c>
      <c r="D17" s="73">
        <v>0</v>
      </c>
      <c r="E17" s="73">
        <v>0</v>
      </c>
      <c r="F17" s="73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4">
        <v>14</v>
      </c>
      <c r="C18" s="16">
        <v>2</v>
      </c>
      <c r="D18" s="73">
        <v>0</v>
      </c>
      <c r="E18" s="73">
        <v>0</v>
      </c>
      <c r="F18" s="73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4">
        <v>15.333333333333334</v>
      </c>
      <c r="C19" s="16">
        <v>2</v>
      </c>
      <c r="D19" s="73">
        <v>0</v>
      </c>
      <c r="E19" s="73">
        <v>0</v>
      </c>
      <c r="F19" s="73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4">
        <v>16.666666666666668</v>
      </c>
      <c r="C20" s="16">
        <v>2</v>
      </c>
      <c r="D20" s="73">
        <v>0</v>
      </c>
      <c r="E20" s="73">
        <v>0</v>
      </c>
      <c r="F20" s="73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4">
        <v>18</v>
      </c>
      <c r="C21" s="16">
        <v>2</v>
      </c>
      <c r="D21" s="73">
        <v>0</v>
      </c>
      <c r="E21" s="73">
        <v>0</v>
      </c>
      <c r="F21" s="73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4">
        <v>24</v>
      </c>
      <c r="C22" s="16">
        <v>2</v>
      </c>
      <c r="D22" s="73">
        <v>0</v>
      </c>
      <c r="E22" s="73">
        <v>0</v>
      </c>
      <c r="F22" s="73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4">
        <v>30</v>
      </c>
      <c r="C23" s="16">
        <v>2</v>
      </c>
      <c r="D23" s="73">
        <v>0</v>
      </c>
      <c r="E23" s="73">
        <v>0</v>
      </c>
      <c r="F23" s="73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4">
        <v>48</v>
      </c>
      <c r="C24" s="16">
        <v>2</v>
      </c>
      <c r="D24" s="73">
        <v>0</v>
      </c>
      <c r="E24" s="73">
        <v>0</v>
      </c>
      <c r="F24" s="73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6" t="s">
        <v>65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54">
        <v>2.3E-2</v>
      </c>
      <c r="E8" s="54">
        <v>2.4E-2</v>
      </c>
      <c r="F8" s="54">
        <v>2.3E-2</v>
      </c>
      <c r="G8" s="16">
        <f t="shared" ref="G8:G10" si="1">(C8*1000*AVERAGE(D8:F8))/$B$2</f>
        <v>1.0138315591281049</v>
      </c>
      <c r="H8" s="19">
        <f t="shared" si="0"/>
        <v>2.5085825296094988E-2</v>
      </c>
    </row>
    <row r="9" spans="1:8">
      <c r="A9" s="66">
        <v>1</v>
      </c>
      <c r="B9" s="64">
        <v>2</v>
      </c>
      <c r="C9" s="16">
        <v>2</v>
      </c>
      <c r="D9" s="54">
        <v>1.9E-2</v>
      </c>
      <c r="E9" s="54">
        <v>0.02</v>
      </c>
      <c r="F9" s="54">
        <v>1.9E-2</v>
      </c>
      <c r="G9" s="16">
        <f t="shared" si="1"/>
        <v>0.84003186327757251</v>
      </c>
      <c r="H9" s="19">
        <f t="shared" si="0"/>
        <v>2.5085825296094995E-2</v>
      </c>
    </row>
    <row r="10" spans="1:8">
      <c r="A10" s="66">
        <v>2</v>
      </c>
      <c r="B10" s="64">
        <v>3.3333333333333335</v>
      </c>
      <c r="C10" s="16">
        <v>2</v>
      </c>
      <c r="D10" s="54">
        <v>1.2E-2</v>
      </c>
      <c r="E10" s="54">
        <v>1.2999999999999999E-2</v>
      </c>
      <c r="F10" s="54">
        <v>1.0999999999999999E-2</v>
      </c>
      <c r="G10" s="16">
        <f t="shared" si="1"/>
        <v>0.52139908755159681</v>
      </c>
      <c r="H10" s="19">
        <f t="shared" ref="H10:H23" si="2">(C10*1000*STDEV(D10:F10))/$B$2</f>
        <v>4.3449923962633065E-2</v>
      </c>
    </row>
    <row r="11" spans="1:8">
      <c r="A11" s="66">
        <v>3</v>
      </c>
      <c r="B11" s="64">
        <v>4.666666666666667</v>
      </c>
      <c r="C11" s="16">
        <v>2</v>
      </c>
      <c r="D11" s="54">
        <v>0</v>
      </c>
      <c r="E11" s="54">
        <v>0</v>
      </c>
      <c r="F11" s="54">
        <v>0</v>
      </c>
      <c r="G11" s="16">
        <f t="shared" ref="G11:G23" si="3">(C11*1000*AVERAGE(D11:F11))/$B$2</f>
        <v>0</v>
      </c>
      <c r="H11" s="19">
        <f t="shared" si="2"/>
        <v>0</v>
      </c>
    </row>
    <row r="12" spans="1:8">
      <c r="A12" s="66">
        <v>4</v>
      </c>
      <c r="B12" s="64">
        <v>6</v>
      </c>
      <c r="C12" s="16">
        <v>2</v>
      </c>
      <c r="D12" s="54">
        <v>0</v>
      </c>
      <c r="E12" s="54">
        <v>0</v>
      </c>
      <c r="F12" s="54">
        <v>0</v>
      </c>
      <c r="G12" s="16">
        <f t="shared" si="3"/>
        <v>0</v>
      </c>
      <c r="H12" s="19">
        <f t="shared" si="2"/>
        <v>0</v>
      </c>
    </row>
    <row r="13" spans="1:8">
      <c r="A13" s="66">
        <v>5</v>
      </c>
      <c r="B13" s="64">
        <v>7.333333333333333</v>
      </c>
      <c r="C13" s="16">
        <v>2</v>
      </c>
      <c r="D13" s="54">
        <v>0</v>
      </c>
      <c r="E13" s="54">
        <v>0</v>
      </c>
      <c r="F13" s="54">
        <v>0</v>
      </c>
      <c r="G13" s="16">
        <f t="shared" si="3"/>
        <v>0</v>
      </c>
      <c r="H13" s="19">
        <f t="shared" si="2"/>
        <v>0</v>
      </c>
    </row>
    <row r="14" spans="1:8">
      <c r="A14" s="66">
        <v>6</v>
      </c>
      <c r="B14" s="64">
        <v>8.6666666666666661</v>
      </c>
      <c r="C14" s="16">
        <v>2</v>
      </c>
      <c r="D14" s="54">
        <v>0</v>
      </c>
      <c r="E14" s="54">
        <v>0</v>
      </c>
      <c r="F14" s="54">
        <v>0</v>
      </c>
      <c r="G14" s="16">
        <f t="shared" si="3"/>
        <v>0</v>
      </c>
      <c r="H14" s="19">
        <f t="shared" si="2"/>
        <v>0</v>
      </c>
    </row>
    <row r="15" spans="1:8">
      <c r="A15" s="66">
        <v>7</v>
      </c>
      <c r="B15" s="64">
        <v>10</v>
      </c>
      <c r="C15" s="16">
        <v>2</v>
      </c>
      <c r="D15" s="54">
        <v>0</v>
      </c>
      <c r="E15" s="54">
        <v>0</v>
      </c>
      <c r="F15" s="54">
        <v>0</v>
      </c>
      <c r="G15" s="16">
        <f t="shared" si="3"/>
        <v>0</v>
      </c>
      <c r="H15" s="19">
        <f t="shared" si="2"/>
        <v>0</v>
      </c>
    </row>
    <row r="16" spans="1:8">
      <c r="A16" s="66">
        <v>8</v>
      </c>
      <c r="B16" s="64">
        <v>11.333333333333334</v>
      </c>
      <c r="C16" s="16">
        <v>2</v>
      </c>
      <c r="D16" s="54">
        <v>0</v>
      </c>
      <c r="E16" s="54">
        <v>0</v>
      </c>
      <c r="F16" s="54">
        <v>0</v>
      </c>
      <c r="G16" s="16">
        <f t="shared" si="3"/>
        <v>0</v>
      </c>
      <c r="H16" s="19">
        <f t="shared" si="2"/>
        <v>0</v>
      </c>
    </row>
    <row r="17" spans="1:8">
      <c r="A17" s="66">
        <v>9</v>
      </c>
      <c r="B17" s="64">
        <v>12.666666666666666</v>
      </c>
      <c r="C17" s="16">
        <v>2</v>
      </c>
      <c r="D17" s="54">
        <v>0</v>
      </c>
      <c r="E17" s="54">
        <v>0</v>
      </c>
      <c r="F17" s="54">
        <v>0</v>
      </c>
      <c r="G17" s="16">
        <f t="shared" si="3"/>
        <v>0</v>
      </c>
      <c r="H17" s="19">
        <f t="shared" si="2"/>
        <v>0</v>
      </c>
    </row>
    <row r="18" spans="1:8">
      <c r="A18" s="66">
        <v>10</v>
      </c>
      <c r="B18" s="64">
        <v>14</v>
      </c>
      <c r="C18" s="16">
        <v>2</v>
      </c>
      <c r="D18" s="54">
        <v>0</v>
      </c>
      <c r="E18" s="54">
        <v>0</v>
      </c>
      <c r="F18" s="54">
        <v>0</v>
      </c>
      <c r="G18" s="16">
        <f t="shared" si="3"/>
        <v>0</v>
      </c>
      <c r="H18" s="19">
        <f t="shared" si="2"/>
        <v>0</v>
      </c>
    </row>
    <row r="19" spans="1:8">
      <c r="A19" s="66">
        <v>11</v>
      </c>
      <c r="B19" s="64">
        <v>15.333333333333334</v>
      </c>
      <c r="C19" s="16">
        <v>2</v>
      </c>
      <c r="D19" s="54">
        <v>0</v>
      </c>
      <c r="E19" s="54">
        <v>0</v>
      </c>
      <c r="F19" s="54">
        <v>0</v>
      </c>
      <c r="G19" s="16">
        <f t="shared" si="3"/>
        <v>0</v>
      </c>
      <c r="H19" s="19">
        <f t="shared" si="2"/>
        <v>0</v>
      </c>
    </row>
    <row r="20" spans="1:8">
      <c r="A20" s="66">
        <v>12</v>
      </c>
      <c r="B20" s="64">
        <v>16.666666666666668</v>
      </c>
      <c r="C20" s="16">
        <v>2</v>
      </c>
      <c r="D20" s="54">
        <v>0</v>
      </c>
      <c r="E20" s="54">
        <v>0</v>
      </c>
      <c r="F20" s="54">
        <v>0</v>
      </c>
      <c r="G20" s="16">
        <f t="shared" si="3"/>
        <v>0</v>
      </c>
      <c r="H20" s="19">
        <f t="shared" si="2"/>
        <v>0</v>
      </c>
    </row>
    <row r="21" spans="1:8">
      <c r="A21" s="66">
        <v>13</v>
      </c>
      <c r="B21" s="64">
        <v>18</v>
      </c>
      <c r="C21" s="16">
        <v>2</v>
      </c>
      <c r="D21" s="54">
        <v>0</v>
      </c>
      <c r="E21" s="54">
        <v>0</v>
      </c>
      <c r="F21" s="54">
        <v>0</v>
      </c>
      <c r="G21" s="16">
        <f t="shared" si="3"/>
        <v>0</v>
      </c>
      <c r="H21" s="19">
        <f t="shared" si="2"/>
        <v>0</v>
      </c>
    </row>
    <row r="22" spans="1:8">
      <c r="A22" s="66">
        <v>14</v>
      </c>
      <c r="B22" s="64">
        <v>24</v>
      </c>
      <c r="C22" s="16">
        <v>2</v>
      </c>
      <c r="D22" s="54">
        <v>0</v>
      </c>
      <c r="E22" s="54">
        <v>0</v>
      </c>
      <c r="F22" s="54">
        <v>0</v>
      </c>
      <c r="G22" s="16">
        <f t="shared" si="3"/>
        <v>0</v>
      </c>
      <c r="H22" s="19">
        <f t="shared" si="2"/>
        <v>0</v>
      </c>
    </row>
    <row r="23" spans="1:8">
      <c r="A23" s="66">
        <v>15</v>
      </c>
      <c r="B23" s="64">
        <v>30</v>
      </c>
      <c r="C23" s="16">
        <v>2</v>
      </c>
      <c r="D23" s="54">
        <v>0</v>
      </c>
      <c r="E23" s="54">
        <v>0</v>
      </c>
      <c r="F23" s="54">
        <v>0</v>
      </c>
      <c r="G23" s="16">
        <f t="shared" si="3"/>
        <v>0</v>
      </c>
      <c r="H23" s="19">
        <f t="shared" si="2"/>
        <v>0</v>
      </c>
    </row>
    <row r="24" spans="1:8">
      <c r="A24" s="66">
        <v>16</v>
      </c>
      <c r="B24" s="64">
        <v>48</v>
      </c>
      <c r="C24" s="16">
        <v>2</v>
      </c>
      <c r="D24" s="54">
        <v>0</v>
      </c>
      <c r="E24" s="54">
        <v>0</v>
      </c>
      <c r="F24" s="54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6" t="s">
        <v>43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73">
        <v>3.6999999999999998E-2</v>
      </c>
      <c r="E7" s="73">
        <v>3.1E-2</v>
      </c>
      <c r="F7" s="73">
        <v>3.3000000000000002E-2</v>
      </c>
      <c r="G7" s="16">
        <f>(C7*1000*AVERAGE(D7:F7))/$B$2</f>
        <v>1.1212878157091315</v>
      </c>
      <c r="H7" s="19">
        <f>(C7*1000*STDEV(D7:F7))/$B$2</f>
        <v>0.10175022359047102</v>
      </c>
    </row>
    <row r="8" spans="1:8">
      <c r="A8" s="66">
        <v>0</v>
      </c>
      <c r="B8" s="64">
        <v>0.16666666666666666</v>
      </c>
      <c r="C8" s="16">
        <v>2</v>
      </c>
      <c r="D8" s="73">
        <v>5.7000000000000002E-2</v>
      </c>
      <c r="E8" s="73">
        <v>5.5E-2</v>
      </c>
      <c r="F8" s="73">
        <v>5.6000000000000001E-2</v>
      </c>
      <c r="G8" s="16">
        <f t="shared" ref="G8:G17" si="0">(C8*1000*AVERAGE(D8:F8))/$B$2</f>
        <v>1.86511240632806</v>
      </c>
      <c r="H8" s="19">
        <f t="shared" ref="H8:H17" si="1">(C8*1000*STDEV(D8:F8))/$B$2</f>
        <v>3.3305578684429675E-2</v>
      </c>
    </row>
    <row r="9" spans="1:8">
      <c r="A9" s="66">
        <v>1</v>
      </c>
      <c r="B9" s="64">
        <v>2</v>
      </c>
      <c r="C9" s="16">
        <v>2</v>
      </c>
      <c r="D9" s="73">
        <v>6.9000000000000006E-2</v>
      </c>
      <c r="E9" s="73">
        <v>6.5000000000000002E-2</v>
      </c>
      <c r="F9" s="73">
        <v>6.4000000000000001E-2</v>
      </c>
      <c r="G9" s="16">
        <f t="shared" si="0"/>
        <v>2.1981681931723567</v>
      </c>
      <c r="H9" s="19">
        <f t="shared" si="1"/>
        <v>8.8118278470094694E-2</v>
      </c>
    </row>
    <row r="10" spans="1:8">
      <c r="A10" s="66">
        <v>2</v>
      </c>
      <c r="B10" s="64">
        <v>3.3333333333333335</v>
      </c>
      <c r="C10" s="16">
        <v>2</v>
      </c>
      <c r="D10" s="73">
        <v>9.0999999999999998E-2</v>
      </c>
      <c r="E10" s="73">
        <v>8.7999999999999995E-2</v>
      </c>
      <c r="F10" s="73">
        <v>8.4000000000000005E-2</v>
      </c>
      <c r="G10" s="16">
        <f t="shared" si="0"/>
        <v>2.9197890646683322</v>
      </c>
      <c r="H10" s="19">
        <f t="shared" si="1"/>
        <v>0.11696534835251433</v>
      </c>
    </row>
    <row r="11" spans="1:8">
      <c r="A11" s="66">
        <v>3</v>
      </c>
      <c r="B11" s="64">
        <v>4.666666666666667</v>
      </c>
      <c r="C11" s="16">
        <v>2</v>
      </c>
      <c r="D11" s="73">
        <v>0.151</v>
      </c>
      <c r="E11" s="73">
        <v>0.151</v>
      </c>
      <c r="F11" s="73">
        <v>0.14799999999999999</v>
      </c>
      <c r="G11" s="16">
        <f t="shared" si="0"/>
        <v>4.9958368026644466</v>
      </c>
      <c r="H11" s="19">
        <f t="shared" si="1"/>
        <v>5.7686954456915206E-2</v>
      </c>
    </row>
    <row r="12" spans="1:8">
      <c r="A12" s="66">
        <v>4</v>
      </c>
      <c r="B12" s="64">
        <v>6</v>
      </c>
      <c r="C12" s="16">
        <v>2</v>
      </c>
      <c r="D12" s="73">
        <v>0.31</v>
      </c>
      <c r="E12" s="73">
        <v>0.31</v>
      </c>
      <c r="F12" s="73">
        <v>0.32400000000000001</v>
      </c>
      <c r="G12" s="16">
        <f t="shared" si="0"/>
        <v>10.480155426033861</v>
      </c>
      <c r="H12" s="19">
        <f t="shared" si="1"/>
        <v>0.26920578746560425</v>
      </c>
    </row>
    <row r="13" spans="1:8">
      <c r="A13" s="66">
        <v>5</v>
      </c>
      <c r="B13" s="64">
        <v>7.333333333333333</v>
      </c>
      <c r="C13" s="16">
        <v>2</v>
      </c>
      <c r="D13" s="19">
        <v>0.90500000000000003</v>
      </c>
      <c r="E13" s="19">
        <v>0.85</v>
      </c>
      <c r="F13" s="19">
        <v>0.874</v>
      </c>
      <c r="G13" s="16">
        <f t="shared" si="0"/>
        <v>29.186788787121841</v>
      </c>
      <c r="H13" s="19">
        <f t="shared" si="1"/>
        <v>0.91837277191822697</v>
      </c>
    </row>
    <row r="14" spans="1:8">
      <c r="A14" s="66">
        <v>6</v>
      </c>
      <c r="B14" s="64">
        <v>8.6666666666666661</v>
      </c>
      <c r="C14" s="16">
        <v>2</v>
      </c>
      <c r="D14" s="19">
        <v>1.325</v>
      </c>
      <c r="E14" s="19">
        <v>1.3260000000000001</v>
      </c>
      <c r="F14" s="19">
        <v>1.3240000000000001</v>
      </c>
      <c r="G14" s="16">
        <f t="shared" si="0"/>
        <v>44.129891756869277</v>
      </c>
      <c r="H14" s="19">
        <f t="shared" si="1"/>
        <v>3.3305578684429675E-2</v>
      </c>
    </row>
    <row r="15" spans="1:8">
      <c r="A15" s="66">
        <v>7</v>
      </c>
      <c r="B15" s="64">
        <v>10</v>
      </c>
      <c r="C15" s="16">
        <v>2</v>
      </c>
      <c r="D15" s="19">
        <v>1.3540000000000001</v>
      </c>
      <c r="E15" s="19">
        <v>1.294</v>
      </c>
      <c r="F15" s="19">
        <v>1.351</v>
      </c>
      <c r="G15" s="16">
        <f t="shared" si="0"/>
        <v>44.396336386344714</v>
      </c>
      <c r="H15" s="19">
        <f t="shared" si="1"/>
        <v>1.1260044299335201</v>
      </c>
    </row>
    <row r="16" spans="1:8">
      <c r="A16" s="66">
        <v>8</v>
      </c>
      <c r="B16" s="64">
        <v>11.333333333333334</v>
      </c>
      <c r="C16" s="16">
        <v>2</v>
      </c>
      <c r="D16" s="19">
        <v>1.3120000000000001</v>
      </c>
      <c r="E16" s="19">
        <v>1.3120000000000001</v>
      </c>
      <c r="F16" s="19">
        <v>1.3029999999999999</v>
      </c>
      <c r="G16" s="16">
        <f t="shared" si="0"/>
        <v>43.597002497918403</v>
      </c>
      <c r="H16" s="19">
        <f t="shared" si="1"/>
        <v>0.17306086337074772</v>
      </c>
    </row>
    <row r="17" spans="1:8">
      <c r="A17" s="66">
        <v>9</v>
      </c>
      <c r="B17" s="64">
        <v>12.666666666666666</v>
      </c>
      <c r="C17" s="16">
        <v>2</v>
      </c>
      <c r="D17" s="19">
        <v>1.4530000000000001</v>
      </c>
      <c r="E17" s="19">
        <v>1.405</v>
      </c>
      <c r="F17" s="19">
        <v>1.417</v>
      </c>
      <c r="G17" s="16">
        <f t="shared" si="0"/>
        <v>47.460449625312243</v>
      </c>
      <c r="H17" s="19">
        <f t="shared" si="1"/>
        <v>0.83197308887905463</v>
      </c>
    </row>
    <row r="18" spans="1:8">
      <c r="A18" s="66">
        <v>10</v>
      </c>
      <c r="B18" s="64">
        <v>14</v>
      </c>
      <c r="C18" s="16">
        <v>2</v>
      </c>
      <c r="D18" s="19">
        <v>1.395</v>
      </c>
      <c r="E18" s="19">
        <v>1.3680000000000001</v>
      </c>
      <c r="F18" s="19">
        <v>1.355</v>
      </c>
      <c r="G18" s="16">
        <f t="shared" ref="G18:G23" si="2">(C18*1000*AVERAGE(D18:F18))/$B$2</f>
        <v>45.717457674160428</v>
      </c>
      <c r="H18" s="19">
        <f t="shared" ref="H18:H23" si="3">(C18*1000*STDEV(D18:F18))/$B$2</f>
        <v>0.67957528472063922</v>
      </c>
    </row>
    <row r="19" spans="1:8">
      <c r="A19" s="66">
        <v>11</v>
      </c>
      <c r="B19" s="64">
        <v>15.333333333333334</v>
      </c>
      <c r="C19" s="16">
        <v>2</v>
      </c>
      <c r="D19" s="19">
        <v>1.3149999999999999</v>
      </c>
      <c r="E19" s="19">
        <v>1.3260000000000001</v>
      </c>
      <c r="F19" s="19">
        <v>1.323</v>
      </c>
      <c r="G19" s="16">
        <f t="shared" si="2"/>
        <v>44.007771301693033</v>
      </c>
      <c r="H19" s="19">
        <f t="shared" si="3"/>
        <v>0.18938353715495015</v>
      </c>
    </row>
    <row r="20" spans="1:8">
      <c r="A20" s="66">
        <v>12</v>
      </c>
      <c r="B20" s="64">
        <v>16.666666666666668</v>
      </c>
      <c r="C20" s="16">
        <v>2</v>
      </c>
      <c r="D20" s="19">
        <v>1.337</v>
      </c>
      <c r="E20" s="19">
        <v>1.3180000000000001</v>
      </c>
      <c r="F20" s="19">
        <v>1.3160000000000001</v>
      </c>
      <c r="G20" s="16">
        <f t="shared" si="2"/>
        <v>44.085484318623372</v>
      </c>
      <c r="H20" s="19">
        <f t="shared" si="3"/>
        <v>0.38601917625786575</v>
      </c>
    </row>
    <row r="21" spans="1:8">
      <c r="A21" s="66">
        <v>13</v>
      </c>
      <c r="B21" s="64">
        <v>18</v>
      </c>
      <c r="C21" s="16">
        <v>2</v>
      </c>
      <c r="D21" s="19">
        <v>1.341</v>
      </c>
      <c r="E21" s="19">
        <v>1.3380000000000001</v>
      </c>
      <c r="F21" s="19">
        <v>1.3420000000000001</v>
      </c>
      <c r="G21" s="16">
        <f t="shared" si="2"/>
        <v>44.640577296697202</v>
      </c>
      <c r="H21" s="19">
        <f t="shared" si="3"/>
        <v>6.9331090739920637E-2</v>
      </c>
    </row>
    <row r="22" spans="1:8">
      <c r="A22" s="66">
        <v>14</v>
      </c>
      <c r="B22" s="64">
        <v>24</v>
      </c>
      <c r="C22" s="16">
        <v>2</v>
      </c>
      <c r="D22" s="19">
        <v>1.3069999999999999</v>
      </c>
      <c r="E22" s="19">
        <v>1.3109999999999999</v>
      </c>
      <c r="F22" s="19">
        <v>1.3640000000000001</v>
      </c>
      <c r="G22" s="16">
        <f t="shared" si="2"/>
        <v>44.207604773799616</v>
      </c>
      <c r="H22" s="19">
        <f t="shared" si="3"/>
        <v>1.059689796223388</v>
      </c>
    </row>
    <row r="23" spans="1:8">
      <c r="A23" s="66">
        <v>15</v>
      </c>
      <c r="B23" s="64">
        <v>30</v>
      </c>
      <c r="C23" s="16">
        <v>2</v>
      </c>
      <c r="D23" s="19">
        <v>1.3</v>
      </c>
      <c r="E23" s="19">
        <v>1.319</v>
      </c>
      <c r="F23" s="19">
        <v>1.3169999999999999</v>
      </c>
      <c r="G23" s="16">
        <f t="shared" si="2"/>
        <v>43.696919233971691</v>
      </c>
      <c r="H23" s="19">
        <f t="shared" si="3"/>
        <v>0.34772044992208145</v>
      </c>
    </row>
    <row r="24" spans="1:8">
      <c r="A24" s="66">
        <v>16</v>
      </c>
      <c r="B24" s="64">
        <v>48</v>
      </c>
      <c r="C24" s="16">
        <v>2</v>
      </c>
      <c r="D24" s="19">
        <v>1.4139999999999999</v>
      </c>
      <c r="E24" s="19">
        <v>1.389</v>
      </c>
      <c r="F24" s="19">
        <v>1.429</v>
      </c>
      <c r="G24" s="16">
        <f t="shared" ref="G24" si="4">(C24*1000*AVERAGE(D24:F24))/$B$2</f>
        <v>46.983069664168752</v>
      </c>
      <c r="H24" s="19">
        <f t="shared" ref="H24" si="5">(C24*1000*STDEV(D24:F24))/$B$2</f>
        <v>0.67301446866401049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6" t="s">
        <v>67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6" t="s">
        <v>66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8" t="s">
        <v>4</v>
      </c>
      <c r="B6" s="28" t="s">
        <v>60</v>
      </c>
      <c r="C6" s="28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80">
        <v>1.2999999999999999E-2</v>
      </c>
      <c r="E7" s="81">
        <v>6.0000000000000001E-3</v>
      </c>
      <c r="F7" s="81">
        <v>1.2999999999999999E-2</v>
      </c>
      <c r="G7" s="16">
        <f>(C7*1000*AVERAGE(D7:F7))/$B$2</f>
        <v>0.24212159043619716</v>
      </c>
      <c r="H7" s="19">
        <f>(C7*1000*STDEV(D7:F7))/$B$2</f>
        <v>9.1736508553566715E-2</v>
      </c>
    </row>
    <row r="8" spans="1:8">
      <c r="A8" s="66">
        <v>0</v>
      </c>
      <c r="B8" s="64">
        <v>0.16666666666666666</v>
      </c>
      <c r="C8" s="16">
        <v>2</v>
      </c>
      <c r="D8" s="55">
        <v>8.8999999999999996E-2</v>
      </c>
      <c r="E8" s="56">
        <v>0.09</v>
      </c>
      <c r="F8" s="56">
        <v>8.6999999999999994E-2</v>
      </c>
      <c r="G8" s="16">
        <f>(C8*1000*AVERAGE(D8:F8))/$B$2</f>
        <v>2.0126357205008891</v>
      </c>
      <c r="H8" s="19">
        <f t="shared" ref="H8:H17" si="0">(C8*1000*STDEV(D8:F8))/$B$2</f>
        <v>3.4673141111155326E-2</v>
      </c>
    </row>
    <row r="9" spans="1:8">
      <c r="A9" s="66">
        <v>1</v>
      </c>
      <c r="B9" s="64">
        <v>2</v>
      </c>
      <c r="C9" s="16">
        <v>2</v>
      </c>
      <c r="D9" s="55">
        <v>0.125</v>
      </c>
      <c r="E9" s="56">
        <v>0.12</v>
      </c>
      <c r="F9" s="56">
        <v>0.104</v>
      </c>
      <c r="G9" s="16">
        <f t="shared" ref="G9:G17" si="1">(C9*1000*AVERAGE(D9:F9))/$B$2</f>
        <v>2.6406385956947753</v>
      </c>
      <c r="H9" s="19">
        <f t="shared" si="0"/>
        <v>0.24899909464539535</v>
      </c>
    </row>
    <row r="10" spans="1:8">
      <c r="A10" s="66">
        <v>2</v>
      </c>
      <c r="B10" s="64">
        <v>3.3333333333333335</v>
      </c>
      <c r="C10" s="16">
        <v>2</v>
      </c>
      <c r="D10" s="54">
        <v>0.14399999999999999</v>
      </c>
      <c r="E10" s="54">
        <v>0.13800000000000001</v>
      </c>
      <c r="F10" s="54">
        <v>0.11899999999999999</v>
      </c>
      <c r="G10" s="16">
        <f t="shared" si="1"/>
        <v>3.0340861801535963</v>
      </c>
      <c r="H10" s="19">
        <f t="shared" si="0"/>
        <v>0.29624744751563414</v>
      </c>
    </row>
    <row r="11" spans="1:8">
      <c r="A11" s="66">
        <v>3</v>
      </c>
      <c r="B11" s="64">
        <v>4.666666666666667</v>
      </c>
      <c r="C11" s="16">
        <v>2</v>
      </c>
      <c r="D11" s="54">
        <v>0.186</v>
      </c>
      <c r="E11" s="54">
        <v>0.186</v>
      </c>
      <c r="F11" s="54">
        <v>0.182</v>
      </c>
      <c r="G11" s="16">
        <f t="shared" si="1"/>
        <v>4.1917300344266639</v>
      </c>
      <c r="H11" s="19">
        <f t="shared" si="0"/>
        <v>5.2420862030609583E-2</v>
      </c>
    </row>
    <row r="12" spans="1:8">
      <c r="A12" s="66">
        <v>4</v>
      </c>
      <c r="B12" s="64">
        <v>6</v>
      </c>
      <c r="C12" s="16">
        <v>2</v>
      </c>
      <c r="D12" s="54">
        <v>0.33</v>
      </c>
      <c r="E12" s="54">
        <v>0.33</v>
      </c>
      <c r="F12" s="54">
        <v>0.33100000000000002</v>
      </c>
      <c r="G12" s="16">
        <f t="shared" si="1"/>
        <v>7.4982030038209819</v>
      </c>
      <c r="H12" s="19">
        <f t="shared" si="0"/>
        <v>1.3105215507652396E-2</v>
      </c>
    </row>
    <row r="13" spans="1:8">
      <c r="A13" s="66">
        <v>5</v>
      </c>
      <c r="B13" s="64">
        <v>7.333333333333333</v>
      </c>
      <c r="C13" s="16">
        <v>2</v>
      </c>
      <c r="D13" s="57">
        <v>0.69799999999999995</v>
      </c>
      <c r="E13" s="57">
        <v>0.65500000000000003</v>
      </c>
      <c r="F13" s="57">
        <v>0.68</v>
      </c>
      <c r="G13" s="16">
        <f t="shared" si="1"/>
        <v>15.382287292399651</v>
      </c>
      <c r="H13" s="19">
        <f t="shared" si="0"/>
        <v>0.49017710700247397</v>
      </c>
    </row>
    <row r="14" spans="1:8">
      <c r="A14" s="66">
        <v>6</v>
      </c>
      <c r="B14" s="64">
        <v>8.6666666666666661</v>
      </c>
      <c r="C14" s="16">
        <v>2</v>
      </c>
      <c r="D14" s="57">
        <v>0.95499999999999996</v>
      </c>
      <c r="E14" s="57">
        <v>0.96199999999999997</v>
      </c>
      <c r="F14" s="57">
        <v>0.95499999999999996</v>
      </c>
      <c r="G14" s="16">
        <f t="shared" si="1"/>
        <v>21.730412741648696</v>
      </c>
      <c r="H14" s="19">
        <f t="shared" si="0"/>
        <v>9.1736508553566756E-2</v>
      </c>
    </row>
    <row r="15" spans="1:8">
      <c r="A15" s="66">
        <v>7</v>
      </c>
      <c r="B15" s="64">
        <v>10</v>
      </c>
      <c r="C15" s="16">
        <v>2</v>
      </c>
      <c r="D15" s="57">
        <v>0.996</v>
      </c>
      <c r="E15" s="57">
        <v>0.94099999999999995</v>
      </c>
      <c r="F15" s="57">
        <v>0.99199999999999999</v>
      </c>
      <c r="G15" s="16">
        <f t="shared" si="1"/>
        <v>22.161691824613172</v>
      </c>
      <c r="H15" s="19">
        <f t="shared" si="0"/>
        <v>0.6960584500953767</v>
      </c>
    </row>
    <row r="16" spans="1:8">
      <c r="A16" s="66">
        <v>8</v>
      </c>
      <c r="B16" s="64">
        <v>11.333333333333334</v>
      </c>
      <c r="C16" s="16">
        <v>2</v>
      </c>
      <c r="D16" s="57">
        <v>0.98399999999999999</v>
      </c>
      <c r="E16" s="57">
        <v>0.97599999999999998</v>
      </c>
      <c r="F16" s="57">
        <v>0.97599999999999998</v>
      </c>
      <c r="G16" s="16">
        <f t="shared" si="1"/>
        <v>22.214655922521089</v>
      </c>
      <c r="H16" s="19">
        <f t="shared" si="0"/>
        <v>0.10484172406121917</v>
      </c>
    </row>
    <row r="17" spans="1:8">
      <c r="A17" s="66">
        <v>9</v>
      </c>
      <c r="B17" s="64">
        <v>12.666666666666666</v>
      </c>
      <c r="C17" s="16">
        <v>2</v>
      </c>
      <c r="D17" s="57">
        <v>1.0900000000000001</v>
      </c>
      <c r="E17" s="57">
        <v>1.05</v>
      </c>
      <c r="F17" s="57">
        <v>1.0609999999999999</v>
      </c>
      <c r="G17" s="16">
        <f t="shared" si="1"/>
        <v>24.219725343320849</v>
      </c>
      <c r="H17" s="19">
        <f t="shared" si="0"/>
        <v>0.46904955895521183</v>
      </c>
    </row>
    <row r="18" spans="1:8">
      <c r="A18" s="66">
        <v>10</v>
      </c>
      <c r="B18" s="64">
        <v>14</v>
      </c>
      <c r="C18" s="16">
        <v>2</v>
      </c>
      <c r="D18" s="57">
        <v>1.0580000000000001</v>
      </c>
      <c r="E18" s="57">
        <v>1.042</v>
      </c>
      <c r="F18" s="57">
        <v>1.0309999999999999</v>
      </c>
      <c r="G18" s="16">
        <f t="shared" ref="G18:G23" si="2">(C18*1000*AVERAGE(D18:F18))/$B$2</f>
        <v>23.69008436424167</v>
      </c>
      <c r="H18" s="19">
        <f t="shared" ref="H18:H23" si="3">(C18*1000*STDEV(D18:F18))/$B$2</f>
        <v>0.30818161925496762</v>
      </c>
    </row>
    <row r="19" spans="1:8">
      <c r="A19" s="66">
        <v>11</v>
      </c>
      <c r="B19" s="64">
        <v>15.333333333333334</v>
      </c>
      <c r="C19" s="16">
        <v>2</v>
      </c>
      <c r="D19" s="57">
        <v>1.0029999999999999</v>
      </c>
      <c r="E19" s="57">
        <v>1.0129999999999999</v>
      </c>
      <c r="F19" s="57">
        <v>1.008</v>
      </c>
      <c r="G19" s="16">
        <f t="shared" si="2"/>
        <v>22.880490296220632</v>
      </c>
      <c r="H19" s="19">
        <f t="shared" si="3"/>
        <v>0.11349449551696753</v>
      </c>
    </row>
    <row r="20" spans="1:8">
      <c r="A20" s="66">
        <v>12</v>
      </c>
      <c r="B20" s="64">
        <v>16.666666666666668</v>
      </c>
      <c r="C20" s="16">
        <v>2</v>
      </c>
      <c r="D20" s="57">
        <v>1.0149999999999999</v>
      </c>
      <c r="E20" s="57">
        <v>1.0009999999999999</v>
      </c>
      <c r="F20" s="57">
        <v>1.006</v>
      </c>
      <c r="G20" s="16">
        <f t="shared" si="2"/>
        <v>22.865357696818371</v>
      </c>
      <c r="H20" s="19">
        <f t="shared" si="3"/>
        <v>0.1610395842605285</v>
      </c>
    </row>
    <row r="21" spans="1:8">
      <c r="A21" s="66">
        <v>13</v>
      </c>
      <c r="B21" s="64">
        <v>18</v>
      </c>
      <c r="C21" s="16">
        <v>2</v>
      </c>
      <c r="D21" s="57">
        <v>1.042</v>
      </c>
      <c r="E21" s="57">
        <v>1.038</v>
      </c>
      <c r="F21" s="57">
        <v>1.0349999999999999</v>
      </c>
      <c r="G21" s="16">
        <f t="shared" si="2"/>
        <v>23.569023569023567</v>
      </c>
      <c r="H21" s="19">
        <f t="shared" si="3"/>
        <v>7.9715913841432354E-2</v>
      </c>
    </row>
    <row r="22" spans="1:8">
      <c r="A22" s="66">
        <v>14</v>
      </c>
      <c r="B22" s="64">
        <v>24</v>
      </c>
      <c r="C22" s="16">
        <v>2</v>
      </c>
      <c r="D22" s="57">
        <v>1.036</v>
      </c>
      <c r="E22" s="57">
        <v>1.04</v>
      </c>
      <c r="F22" s="57">
        <v>1.0840000000000001</v>
      </c>
      <c r="G22" s="16">
        <f t="shared" si="2"/>
        <v>23.909507055574476</v>
      </c>
      <c r="H22" s="19">
        <f t="shared" si="3"/>
        <v>0.6045468726346066</v>
      </c>
    </row>
    <row r="23" spans="1:8">
      <c r="A23" s="66">
        <v>15</v>
      </c>
      <c r="B23" s="64">
        <v>30</v>
      </c>
      <c r="C23" s="16">
        <v>2</v>
      </c>
      <c r="D23" s="57">
        <v>1.0580000000000001</v>
      </c>
      <c r="E23" s="57">
        <v>1.0840000000000001</v>
      </c>
      <c r="F23" s="57">
        <v>1.08</v>
      </c>
      <c r="G23" s="16">
        <f t="shared" si="2"/>
        <v>24.378617637044602</v>
      </c>
      <c r="H23" s="19">
        <f t="shared" si="3"/>
        <v>0.31778458744750909</v>
      </c>
    </row>
    <row r="24" spans="1:8">
      <c r="A24" s="66">
        <v>16</v>
      </c>
      <c r="B24" s="64">
        <v>48</v>
      </c>
      <c r="C24" s="16">
        <v>2</v>
      </c>
      <c r="D24" s="57">
        <v>1.1419999999999999</v>
      </c>
      <c r="E24" s="57">
        <v>1.1200000000000001</v>
      </c>
      <c r="F24" s="57">
        <v>1.157</v>
      </c>
      <c r="G24" s="16">
        <f t="shared" ref="G24" si="4">(C24*1000*AVERAGE(D24:F24))/$B$2</f>
        <v>25.86917867816744</v>
      </c>
      <c r="H24" s="19">
        <f t="shared" ref="H24" si="5">(C24*1000*STDEV(D24:F24))/$B$2</f>
        <v>0.42242726447116324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28" t="s">
        <v>4</v>
      </c>
      <c r="B1" s="128" t="s">
        <v>117</v>
      </c>
      <c r="C1" s="128" t="s">
        <v>117</v>
      </c>
      <c r="D1" s="128" t="s">
        <v>5</v>
      </c>
      <c r="E1" s="4" t="s">
        <v>7</v>
      </c>
      <c r="F1" s="4" t="s">
        <v>9</v>
      </c>
      <c r="G1" s="127" t="s">
        <v>11</v>
      </c>
      <c r="H1" s="127" t="s">
        <v>12</v>
      </c>
      <c r="I1" s="4" t="s">
        <v>13</v>
      </c>
      <c r="J1" s="4" t="s">
        <v>16</v>
      </c>
      <c r="K1" s="4" t="s">
        <v>16</v>
      </c>
    </row>
    <row r="2" spans="1:11">
      <c r="A2" s="129"/>
      <c r="B2" s="129"/>
      <c r="C2" s="129"/>
      <c r="D2" s="129"/>
      <c r="E2" s="5" t="s">
        <v>8</v>
      </c>
      <c r="F2" s="5" t="s">
        <v>10</v>
      </c>
      <c r="G2" s="127"/>
      <c r="H2" s="127"/>
      <c r="I2" s="5" t="s">
        <v>14</v>
      </c>
      <c r="J2" s="5" t="s">
        <v>17</v>
      </c>
      <c r="K2" s="5" t="s">
        <v>138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47</v>
      </c>
      <c r="F3" s="1">
        <f>E3</f>
        <v>47</v>
      </c>
      <c r="G3" s="1">
        <v>1</v>
      </c>
      <c r="H3" s="1">
        <v>0</v>
      </c>
      <c r="I3" s="1">
        <f>$F$22+G3+H3</f>
        <v>1501</v>
      </c>
      <c r="J3" s="13">
        <f>F3*1500/I3</f>
        <v>46.968687541638907</v>
      </c>
      <c r="K3" s="13">
        <f>$F$23-J3</f>
        <v>1603.0313124583611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1">
        <v>45</v>
      </c>
      <c r="F4" s="1">
        <f>E4+F3</f>
        <v>92</v>
      </c>
      <c r="G4" s="39">
        <v>3</v>
      </c>
      <c r="H4" s="39">
        <v>0</v>
      </c>
      <c r="I4" s="1">
        <f t="shared" ref="I4:I20" si="1">$F$23-F3+G4+H4</f>
        <v>1606</v>
      </c>
      <c r="J4" s="13">
        <f>E4*K3/I4</f>
        <v>44.916817596903016</v>
      </c>
      <c r="K4" s="13">
        <f>K3-J4</f>
        <v>1558.1144948614581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42</v>
      </c>
      <c r="F5" s="1">
        <f t="shared" ref="F5:F18" si="2">E5+F4</f>
        <v>134</v>
      </c>
      <c r="G5" s="39">
        <v>5</v>
      </c>
      <c r="H5" s="39">
        <v>0</v>
      </c>
      <c r="I5" s="39">
        <f t="shared" si="1"/>
        <v>1563</v>
      </c>
      <c r="J5" s="13">
        <f t="shared" ref="J5:J13" si="3">E5*K4/I5</f>
        <v>41.868719631593883</v>
      </c>
      <c r="K5" s="13">
        <f>K4-J5</f>
        <v>1516.2457752298642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39</v>
      </c>
      <c r="F6" s="1">
        <f t="shared" si="2"/>
        <v>173</v>
      </c>
      <c r="G6" s="39">
        <v>6</v>
      </c>
      <c r="H6" s="39">
        <v>0</v>
      </c>
      <c r="I6" s="39">
        <f t="shared" si="1"/>
        <v>1522</v>
      </c>
      <c r="J6" s="13">
        <f>E6*K5/I6</f>
        <v>38.852552716139755</v>
      </c>
      <c r="K6" s="13">
        <f t="shared" ref="K6:K13" si="4">K5-J6</f>
        <v>1477.3932225137244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44</v>
      </c>
      <c r="F7" s="1">
        <f t="shared" si="2"/>
        <v>217</v>
      </c>
      <c r="G7" s="39">
        <v>10</v>
      </c>
      <c r="H7" s="39">
        <v>0</v>
      </c>
      <c r="I7" s="39">
        <f t="shared" si="1"/>
        <v>1487</v>
      </c>
      <c r="J7" s="13">
        <f>E7*K6/I7</f>
        <v>43.71573758614921</v>
      </c>
      <c r="K7" s="13">
        <f>K6-J7</f>
        <v>1433.6774849275751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42</v>
      </c>
      <c r="F8" s="1">
        <f t="shared" si="2"/>
        <v>259</v>
      </c>
      <c r="G8" s="39">
        <v>23</v>
      </c>
      <c r="H8" s="39">
        <v>0</v>
      </c>
      <c r="I8" s="39">
        <f t="shared" si="1"/>
        <v>1456</v>
      </c>
      <c r="J8" s="13">
        <f t="shared" si="3"/>
        <v>41.356081295987742</v>
      </c>
      <c r="K8" s="13">
        <f t="shared" si="4"/>
        <v>1392.3214036315874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46</v>
      </c>
      <c r="F9" s="1">
        <f t="shared" si="2"/>
        <v>305</v>
      </c>
      <c r="G9" s="39">
        <v>57</v>
      </c>
      <c r="H9" s="39">
        <v>0</v>
      </c>
      <c r="I9" s="39">
        <f t="shared" si="1"/>
        <v>1448</v>
      </c>
      <c r="J9" s="13">
        <f t="shared" si="3"/>
        <v>44.231204811500703</v>
      </c>
      <c r="K9" s="13">
        <f t="shared" si="4"/>
        <v>1348.0901988200867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46</v>
      </c>
      <c r="F10" s="1">
        <f t="shared" si="2"/>
        <v>351</v>
      </c>
      <c r="G10" s="39">
        <v>87</v>
      </c>
      <c r="H10" s="39">
        <v>0</v>
      </c>
      <c r="I10" s="39">
        <f t="shared" si="1"/>
        <v>1432</v>
      </c>
      <c r="J10" s="13">
        <f t="shared" si="3"/>
        <v>43.304573425784909</v>
      </c>
      <c r="K10" s="13">
        <f t="shared" si="4"/>
        <v>1304.7856253943019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48</v>
      </c>
      <c r="F11" s="1">
        <f t="shared" si="2"/>
        <v>399</v>
      </c>
      <c r="G11" s="39">
        <v>87</v>
      </c>
      <c r="H11" s="39">
        <v>13</v>
      </c>
      <c r="I11" s="39">
        <f t="shared" si="1"/>
        <v>1399</v>
      </c>
      <c r="J11" s="13">
        <f t="shared" si="3"/>
        <v>44.767483930612215</v>
      </c>
      <c r="K11" s="13">
        <f t="shared" si="4"/>
        <v>1260.0181414636897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49</v>
      </c>
      <c r="F12" s="1">
        <f t="shared" si="2"/>
        <v>448</v>
      </c>
      <c r="G12" s="39">
        <v>87</v>
      </c>
      <c r="H12" s="39">
        <v>14</v>
      </c>
      <c r="I12" s="39">
        <f t="shared" si="1"/>
        <v>1352</v>
      </c>
      <c r="J12" s="13">
        <f t="shared" si="3"/>
        <v>45.666337967249106</v>
      </c>
      <c r="K12" s="13">
        <f t="shared" si="4"/>
        <v>1214.3518034964407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46</v>
      </c>
      <c r="F13" s="1">
        <f t="shared" si="2"/>
        <v>494</v>
      </c>
      <c r="G13" s="39">
        <v>87</v>
      </c>
      <c r="H13" s="39">
        <v>16</v>
      </c>
      <c r="I13" s="39">
        <f t="shared" si="1"/>
        <v>1305</v>
      </c>
      <c r="J13" s="13">
        <f t="shared" si="3"/>
        <v>42.804737901023962</v>
      </c>
      <c r="K13" s="13">
        <f t="shared" si="4"/>
        <v>1171.5470655954166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45</v>
      </c>
      <c r="F14" s="36">
        <f t="shared" si="2"/>
        <v>539</v>
      </c>
      <c r="G14" s="39">
        <v>87</v>
      </c>
      <c r="H14" s="39">
        <v>16</v>
      </c>
      <c r="I14" s="39">
        <f t="shared" si="1"/>
        <v>1259</v>
      </c>
      <c r="J14" s="13">
        <f t="shared" ref="J14:J19" si="6">E14*K13/I14</f>
        <v>41.874200120566918</v>
      </c>
      <c r="K14" s="13">
        <f t="shared" ref="K14:K19" si="7">K13-J14</f>
        <v>1129.6728654748497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48</v>
      </c>
      <c r="F15" s="36">
        <f t="shared" si="2"/>
        <v>587</v>
      </c>
      <c r="G15" s="39">
        <v>87</v>
      </c>
      <c r="H15" s="39">
        <v>17</v>
      </c>
      <c r="I15" s="39">
        <f t="shared" si="1"/>
        <v>1215</v>
      </c>
      <c r="J15" s="13">
        <f t="shared" si="6"/>
        <v>44.629051475549623</v>
      </c>
      <c r="K15" s="13">
        <f t="shared" si="7"/>
        <v>1085.0438139993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49</v>
      </c>
      <c r="F16" s="36">
        <f t="shared" si="2"/>
        <v>636</v>
      </c>
      <c r="G16" s="39">
        <v>87</v>
      </c>
      <c r="H16" s="39">
        <v>17</v>
      </c>
      <c r="I16" s="39">
        <f t="shared" si="1"/>
        <v>1167</v>
      </c>
      <c r="J16" s="13">
        <f t="shared" si="6"/>
        <v>45.558823381290232</v>
      </c>
      <c r="K16" s="13">
        <f t="shared" si="7"/>
        <v>1039.4849906180098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48</v>
      </c>
      <c r="F17" s="36">
        <f t="shared" si="2"/>
        <v>684</v>
      </c>
      <c r="G17" s="39">
        <v>87</v>
      </c>
      <c r="H17" s="39">
        <v>17</v>
      </c>
      <c r="I17" s="39">
        <f t="shared" si="1"/>
        <v>1118</v>
      </c>
      <c r="J17" s="13">
        <f t="shared" si="6"/>
        <v>44.629051475549616</v>
      </c>
      <c r="K17" s="13">
        <f t="shared" si="7"/>
        <v>994.8559391424601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53</v>
      </c>
      <c r="F18" s="36">
        <f t="shared" si="2"/>
        <v>737</v>
      </c>
      <c r="G18" s="39">
        <v>87</v>
      </c>
      <c r="H18" s="39">
        <v>18</v>
      </c>
      <c r="I18" s="39">
        <f t="shared" si="1"/>
        <v>1071</v>
      </c>
      <c r="J18" s="13">
        <f t="shared" si="6"/>
        <v>49.231899882866841</v>
      </c>
      <c r="K18" s="13">
        <f t="shared" si="7"/>
        <v>945.62403925959325</v>
      </c>
    </row>
    <row r="19" spans="1:11">
      <c r="A19" s="36">
        <v>15</v>
      </c>
      <c r="B19" s="31">
        <v>360</v>
      </c>
      <c r="C19" s="31">
        <f>C18+B19</f>
        <v>1800</v>
      </c>
      <c r="D19" s="13">
        <f t="shared" si="0"/>
        <v>30</v>
      </c>
      <c r="E19" s="36">
        <v>55</v>
      </c>
      <c r="F19" s="36">
        <f>E19+F18</f>
        <v>792</v>
      </c>
      <c r="G19" s="39">
        <v>87</v>
      </c>
      <c r="H19" s="39">
        <v>18</v>
      </c>
      <c r="I19" s="39">
        <f t="shared" si="1"/>
        <v>1018</v>
      </c>
      <c r="J19" s="13">
        <f t="shared" si="6"/>
        <v>51.089707425616531</v>
      </c>
      <c r="K19" s="13">
        <f t="shared" si="7"/>
        <v>894.53433183397669</v>
      </c>
    </row>
    <row r="20" spans="1:11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52</v>
      </c>
      <c r="F20" s="39">
        <f t="shared" ref="F20" si="8">E20+F19</f>
        <v>844</v>
      </c>
      <c r="G20" s="39">
        <v>87</v>
      </c>
      <c r="H20" s="39">
        <v>18</v>
      </c>
      <c r="I20" s="39">
        <f t="shared" si="1"/>
        <v>963</v>
      </c>
      <c r="J20" s="13">
        <f t="shared" ref="J20" si="9">E20*K19/I20</f>
        <v>48.302996111491993</v>
      </c>
      <c r="K20" s="13">
        <f t="shared" ref="K20" si="10">K19-J20</f>
        <v>846.23133572248469</v>
      </c>
    </row>
    <row r="22" spans="1:11">
      <c r="A22" s="124" t="s">
        <v>15</v>
      </c>
      <c r="B22" s="125"/>
      <c r="C22" s="125"/>
      <c r="D22" s="125"/>
      <c r="E22" s="126"/>
      <c r="F22" s="1">
        <v>1500</v>
      </c>
    </row>
    <row r="23" spans="1:11">
      <c r="A23" s="124" t="s">
        <v>15</v>
      </c>
      <c r="B23" s="125"/>
      <c r="C23" s="125"/>
      <c r="D23" s="125"/>
      <c r="E23" s="126"/>
      <c r="F23" s="39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6" t="s">
        <v>42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41">
        <v>1.6E-2</v>
      </c>
      <c r="E7" s="41">
        <v>1.7999999999999999E-2</v>
      </c>
      <c r="F7" s="41">
        <v>1.7000000000000001E-2</v>
      </c>
      <c r="G7" s="16">
        <f>(C7*1000*AVERAGE(D7:F7))/$B$2</f>
        <v>0.37744227353463589</v>
      </c>
      <c r="H7" s="19">
        <f>(C7*1000*STDEV(D7:F7))/$B$2</f>
        <v>2.2202486678507972E-2</v>
      </c>
    </row>
    <row r="8" spans="1:8">
      <c r="A8" s="66">
        <v>0</v>
      </c>
      <c r="B8" s="64">
        <v>0.16666666666666666</v>
      </c>
      <c r="C8" s="16">
        <v>2</v>
      </c>
      <c r="D8" s="41">
        <v>2.5999999999999999E-2</v>
      </c>
      <c r="E8" s="41">
        <v>2.8000000000000001E-2</v>
      </c>
      <c r="F8" s="41">
        <v>2.5999999999999999E-2</v>
      </c>
      <c r="G8" s="16">
        <f t="shared" ref="G8:G23" si="0">(C8*1000*AVERAGE(D8:F8))/$B$2</f>
        <v>0.59206631142687982</v>
      </c>
      <c r="H8" s="19">
        <f t="shared" ref="H8:H23" si="1">(C8*1000*STDEV(D8:F8))/$B$2</f>
        <v>2.5637223321031358E-2</v>
      </c>
    </row>
    <row r="9" spans="1:8">
      <c r="A9" s="66">
        <v>1</v>
      </c>
      <c r="B9" s="64">
        <v>2</v>
      </c>
      <c r="C9" s="16">
        <v>2</v>
      </c>
      <c r="D9" s="41">
        <v>3.1E-2</v>
      </c>
      <c r="E9" s="41">
        <v>2.8000000000000001E-2</v>
      </c>
      <c r="F9" s="41">
        <v>2.7E-2</v>
      </c>
      <c r="G9" s="16">
        <f t="shared" si="0"/>
        <v>0.63647128478389581</v>
      </c>
      <c r="H9" s="19">
        <f t="shared" si="1"/>
        <v>4.6218161622249836E-2</v>
      </c>
    </row>
    <row r="10" spans="1:8">
      <c r="A10" s="66">
        <v>2</v>
      </c>
      <c r="B10" s="64">
        <v>3.3333333333333335</v>
      </c>
      <c r="C10" s="16">
        <v>2</v>
      </c>
      <c r="D10" s="54">
        <v>3.2000000000000001E-2</v>
      </c>
      <c r="E10" s="54">
        <v>0.03</v>
      </c>
      <c r="F10" s="54">
        <v>2.5999999999999999E-2</v>
      </c>
      <c r="G10" s="16">
        <f t="shared" si="0"/>
        <v>0.6512729425695678</v>
      </c>
      <c r="H10" s="19">
        <f t="shared" si="1"/>
        <v>6.7829717213674381E-2</v>
      </c>
    </row>
    <row r="11" spans="1:8">
      <c r="A11" s="66">
        <v>3</v>
      </c>
      <c r="B11" s="64">
        <v>4.666666666666667</v>
      </c>
      <c r="C11" s="16">
        <v>2</v>
      </c>
      <c r="D11" s="54">
        <v>3.9E-2</v>
      </c>
      <c r="E11" s="54">
        <v>3.9E-2</v>
      </c>
      <c r="F11" s="54">
        <v>3.6999999999999998E-2</v>
      </c>
      <c r="G11" s="16">
        <f t="shared" si="0"/>
        <v>0.85109532267613963</v>
      </c>
      <c r="H11" s="19">
        <f t="shared" si="1"/>
        <v>2.5637223321031362E-2</v>
      </c>
    </row>
    <row r="12" spans="1:8">
      <c r="A12" s="66">
        <v>4</v>
      </c>
      <c r="B12" s="64">
        <v>6</v>
      </c>
      <c r="C12" s="16">
        <v>2</v>
      </c>
      <c r="D12" s="54">
        <v>7.3999999999999996E-2</v>
      </c>
      <c r="E12" s="54">
        <v>7.4999999999999997E-2</v>
      </c>
      <c r="F12" s="54">
        <v>7.2999999999999995E-2</v>
      </c>
      <c r="G12" s="16">
        <f t="shared" si="0"/>
        <v>1.6429840142095915</v>
      </c>
      <c r="H12" s="19">
        <f t="shared" si="1"/>
        <v>2.2202486678508014E-2</v>
      </c>
    </row>
    <row r="13" spans="1:8">
      <c r="A13" s="66">
        <v>5</v>
      </c>
      <c r="B13" s="64">
        <v>7.333333333333333</v>
      </c>
      <c r="C13" s="16">
        <v>2</v>
      </c>
      <c r="D13" s="54">
        <v>0.18099999999999999</v>
      </c>
      <c r="E13" s="54">
        <v>0.16700000000000001</v>
      </c>
      <c r="F13" s="54">
        <v>0.17199999999999999</v>
      </c>
      <c r="G13" s="16">
        <f t="shared" si="0"/>
        <v>3.8484310242747188</v>
      </c>
      <c r="H13" s="19">
        <f t="shared" si="1"/>
        <v>0.15751773722463547</v>
      </c>
    </row>
    <row r="14" spans="1:8">
      <c r="A14" s="66">
        <v>6</v>
      </c>
      <c r="B14" s="64">
        <v>8.6666666666666661</v>
      </c>
      <c r="C14" s="16">
        <v>2</v>
      </c>
      <c r="D14" s="54">
        <v>0.307</v>
      </c>
      <c r="E14" s="54">
        <v>0.308</v>
      </c>
      <c r="F14" s="54">
        <v>0.307</v>
      </c>
      <c r="G14" s="16">
        <f t="shared" si="0"/>
        <v>6.8235642391947895</v>
      </c>
      <c r="H14" s="19">
        <f t="shared" si="1"/>
        <v>1.2818611660515681E-2</v>
      </c>
    </row>
    <row r="15" spans="1:8">
      <c r="A15" s="66">
        <v>7</v>
      </c>
      <c r="B15" s="64">
        <v>10</v>
      </c>
      <c r="C15" s="16">
        <v>2</v>
      </c>
      <c r="D15" s="54">
        <v>0.315</v>
      </c>
      <c r="E15" s="54">
        <v>0.29699999999999999</v>
      </c>
      <c r="F15" s="54">
        <v>0.315</v>
      </c>
      <c r="G15" s="16">
        <f t="shared" si="0"/>
        <v>6.8605683836589701</v>
      </c>
      <c r="H15" s="19">
        <f t="shared" si="1"/>
        <v>0.23073500988928225</v>
      </c>
    </row>
    <row r="16" spans="1:8">
      <c r="A16" s="66">
        <v>8</v>
      </c>
      <c r="B16" s="64">
        <v>11.333333333333334</v>
      </c>
      <c r="C16" s="16">
        <v>2</v>
      </c>
      <c r="D16" s="54">
        <v>0.30499999999999999</v>
      </c>
      <c r="E16" s="54">
        <v>0.30099999999999999</v>
      </c>
      <c r="F16" s="54">
        <v>0.30299999999999999</v>
      </c>
      <c r="G16" s="16">
        <f t="shared" si="0"/>
        <v>6.7273534635879217</v>
      </c>
      <c r="H16" s="19">
        <f t="shared" si="1"/>
        <v>4.4404973357016028E-2</v>
      </c>
    </row>
    <row r="17" spans="1:8">
      <c r="A17" s="66">
        <v>9</v>
      </c>
      <c r="B17" s="64">
        <v>12.666666666666666</v>
      </c>
      <c r="C17" s="16">
        <v>2</v>
      </c>
      <c r="D17" s="54">
        <v>0.33800000000000002</v>
      </c>
      <c r="E17" s="54">
        <v>0.32600000000000001</v>
      </c>
      <c r="F17" s="54">
        <v>0.32900000000000001</v>
      </c>
      <c r="G17" s="16">
        <f t="shared" si="0"/>
        <v>7.3490230905861456</v>
      </c>
      <c r="H17" s="19">
        <f t="shared" si="1"/>
        <v>0.13865448486674964</v>
      </c>
    </row>
    <row r="18" spans="1:8">
      <c r="A18" s="66">
        <v>10</v>
      </c>
      <c r="B18" s="64">
        <v>14</v>
      </c>
      <c r="C18" s="16">
        <v>2</v>
      </c>
      <c r="D18" s="41">
        <v>0.32400000000000001</v>
      </c>
      <c r="E18" s="41">
        <v>0.32</v>
      </c>
      <c r="F18" s="41">
        <v>0.315</v>
      </c>
      <c r="G18" s="16">
        <f t="shared" si="0"/>
        <v>7.0973949082297221</v>
      </c>
      <c r="H18" s="19">
        <f t="shared" si="1"/>
        <v>0.10011655756711588</v>
      </c>
    </row>
    <row r="19" spans="1:8">
      <c r="A19" s="66">
        <v>11</v>
      </c>
      <c r="B19" s="64">
        <v>15.333333333333334</v>
      </c>
      <c r="C19" s="16">
        <v>2</v>
      </c>
      <c r="D19" s="54">
        <v>0.30499999999999999</v>
      </c>
      <c r="E19" s="54">
        <v>0.309</v>
      </c>
      <c r="F19" s="54">
        <v>0.309</v>
      </c>
      <c r="G19" s="16">
        <f t="shared" si="0"/>
        <v>6.8309650680876262</v>
      </c>
      <c r="H19" s="19">
        <f t="shared" si="1"/>
        <v>5.1274446642062724E-2</v>
      </c>
    </row>
    <row r="20" spans="1:8">
      <c r="A20" s="66">
        <v>12</v>
      </c>
      <c r="B20" s="64">
        <v>16.666666666666668</v>
      </c>
      <c r="C20" s="16">
        <v>2</v>
      </c>
      <c r="D20" s="54">
        <v>0.31</v>
      </c>
      <c r="E20" s="54">
        <v>0.30599999999999999</v>
      </c>
      <c r="F20" s="54">
        <v>0.30599999999999999</v>
      </c>
      <c r="G20" s="16">
        <f t="shared" si="0"/>
        <v>6.8235642391947895</v>
      </c>
      <c r="H20" s="19">
        <f t="shared" si="1"/>
        <v>5.1274446642062724E-2</v>
      </c>
    </row>
    <row r="21" spans="1:8">
      <c r="A21" s="66">
        <v>13</v>
      </c>
      <c r="B21" s="64">
        <v>18</v>
      </c>
      <c r="C21" s="16">
        <v>2</v>
      </c>
      <c r="D21" s="54">
        <v>0.314</v>
      </c>
      <c r="E21" s="54">
        <v>0.315</v>
      </c>
      <c r="F21" s="54">
        <v>0.315</v>
      </c>
      <c r="G21" s="16">
        <f t="shared" si="0"/>
        <v>6.986382474837181</v>
      </c>
      <c r="H21" s="19">
        <f t="shared" si="1"/>
        <v>1.2818611660515681E-2</v>
      </c>
    </row>
    <row r="22" spans="1:8">
      <c r="A22" s="66">
        <v>14</v>
      </c>
      <c r="B22" s="64">
        <v>24</v>
      </c>
      <c r="C22" s="16">
        <v>2</v>
      </c>
      <c r="D22" s="54">
        <v>0.30199999999999999</v>
      </c>
      <c r="E22" s="54">
        <v>0.30499999999999999</v>
      </c>
      <c r="F22" s="54">
        <v>0.31900000000000001</v>
      </c>
      <c r="G22" s="16">
        <f t="shared" si="0"/>
        <v>6.8531675547661335</v>
      </c>
      <c r="H22" s="19">
        <f t="shared" si="1"/>
        <v>0.2014602958676171</v>
      </c>
    </row>
    <row r="23" spans="1:8">
      <c r="A23" s="66">
        <v>15</v>
      </c>
      <c r="B23" s="64">
        <v>30</v>
      </c>
      <c r="C23" s="16">
        <v>2</v>
      </c>
      <c r="D23" s="54">
        <v>0.30099999999999999</v>
      </c>
      <c r="E23" s="54">
        <v>0.308</v>
      </c>
      <c r="F23" s="54">
        <v>0.307</v>
      </c>
      <c r="G23" s="16">
        <f t="shared" si="0"/>
        <v>6.779159265837774</v>
      </c>
      <c r="H23" s="19">
        <f t="shared" si="1"/>
        <v>8.4057257930732363E-2</v>
      </c>
    </row>
    <row r="24" spans="1:8">
      <c r="A24" s="66">
        <v>16</v>
      </c>
      <c r="B24" s="64">
        <v>48</v>
      </c>
      <c r="C24" s="16">
        <v>2</v>
      </c>
      <c r="D24" s="54">
        <v>0.32</v>
      </c>
      <c r="E24" s="54">
        <v>0.316</v>
      </c>
      <c r="F24" s="54">
        <v>0.32500000000000001</v>
      </c>
      <c r="G24" s="16">
        <f t="shared" ref="G24" si="2">(C24*1000*AVERAGE(D24:F24))/$B$2</f>
        <v>7.1121965660153945</v>
      </c>
      <c r="H24" s="19">
        <f t="shared" ref="H24" si="3">(C24*1000*STDEV(D24:F24))/$B$2</f>
        <v>0.10011655756711588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6" t="s">
        <v>44</v>
      </c>
      <c r="B4" s="157"/>
      <c r="C4" s="157"/>
      <c r="D4" s="157"/>
      <c r="E4" s="157"/>
      <c r="F4" s="157"/>
      <c r="G4" s="157"/>
      <c r="H4" s="158"/>
    </row>
    <row r="5" spans="1:8">
      <c r="A5" s="159" t="s">
        <v>62</v>
      </c>
      <c r="B5" s="157"/>
      <c r="C5" s="158"/>
      <c r="D5" s="160" t="s">
        <v>45</v>
      </c>
      <c r="E5" s="160" t="s">
        <v>46</v>
      </c>
      <c r="F5" s="160" t="s">
        <v>47</v>
      </c>
      <c r="G5" s="162" t="s">
        <v>63</v>
      </c>
      <c r="H5" s="162" t="s">
        <v>64</v>
      </c>
    </row>
    <row r="6" spans="1:8">
      <c r="A6" s="22" t="s">
        <v>4</v>
      </c>
      <c r="B6" s="22" t="s">
        <v>60</v>
      </c>
      <c r="C6" s="22" t="s">
        <v>19</v>
      </c>
      <c r="D6" s="161"/>
      <c r="E6" s="161"/>
      <c r="F6" s="161"/>
      <c r="G6" s="163"/>
      <c r="H6" s="163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141</v>
      </c>
      <c r="B2" s="75">
        <f>Metabolites!H4-Metabolites!H20</f>
        <v>47.897893801268864</v>
      </c>
      <c r="C2" s="75">
        <f>Metabolites!I4+Metabolites!I20</f>
        <v>6.516781243976387E-2</v>
      </c>
    </row>
    <row r="3" spans="1:5">
      <c r="A3" s="30" t="s">
        <v>183</v>
      </c>
      <c r="B3" s="75">
        <f>Metabolites!P20-Metabolites!P4</f>
        <v>48.710482870751456</v>
      </c>
      <c r="C3" s="75">
        <f>Metabolites!Q4+Metabolites!Q20</f>
        <v>0.75789275718884819</v>
      </c>
    </row>
    <row r="4" spans="1:5">
      <c r="A4" s="30" t="s">
        <v>184</v>
      </c>
      <c r="B4" s="75">
        <f>Metabolites!T4-Metabolites!T20</f>
        <v>1.0157090952033598</v>
      </c>
      <c r="C4" s="75">
        <f>Metabolites!U4+Metabolites!U20</f>
        <v>2.5132282265743346E-2</v>
      </c>
    </row>
    <row r="5" spans="1:5">
      <c r="A5" s="30" t="s">
        <v>123</v>
      </c>
      <c r="B5" s="75">
        <f>Metabolites!L20-Metabolites!L4</f>
        <v>7.063385500942049</v>
      </c>
      <c r="C5" s="75">
        <f>Metabolites!M20+Metabolites!M4</f>
        <v>0.1334639576438198</v>
      </c>
    </row>
    <row r="6" spans="1:5">
      <c r="A6" s="30" t="s">
        <v>124</v>
      </c>
      <c r="B6" s="75">
        <f>Metabolites!L41-Metabolites!L25</f>
        <v>25.832785113759179</v>
      </c>
      <c r="C6" s="75">
        <f>Metabolites!M41+Metabolites!M25</f>
        <v>0.48949626077900166</v>
      </c>
    </row>
    <row r="7" spans="1:5">
      <c r="A7" s="30" t="s">
        <v>80</v>
      </c>
      <c r="B7" s="75">
        <f>'H2'!G101</f>
        <v>35.35449635996526</v>
      </c>
      <c r="C7" s="75"/>
    </row>
    <row r="8" spans="1:5">
      <c r="A8" s="30" t="s">
        <v>81</v>
      </c>
      <c r="B8" s="75">
        <f>'CO2'!G101</f>
        <v>44.625725680126195</v>
      </c>
      <c r="C8" s="75"/>
    </row>
    <row r="9" spans="1:5">
      <c r="A9" s="30" t="s">
        <v>125</v>
      </c>
      <c r="B9" s="75">
        <f>Calculation!G20*1.5/1000</f>
        <v>0.1305</v>
      </c>
      <c r="C9" s="75"/>
    </row>
    <row r="10" spans="1:5" ht="16">
      <c r="A10" s="30" t="s">
        <v>126</v>
      </c>
      <c r="B10" s="75">
        <f>Calculation!H20*1.5/1000</f>
        <v>2.7E-2</v>
      </c>
      <c r="C10" s="75"/>
    </row>
    <row r="12" spans="1:5">
      <c r="A12" s="30" t="s">
        <v>82</v>
      </c>
      <c r="B12" s="67">
        <f>((4*$B$6)+(3*$B$5)+(2*$B$3)+(B8))/((6*$B$2)+($B$4))</f>
        <v>0.92428969851374421</v>
      </c>
    </row>
    <row r="14" spans="1:5">
      <c r="A14" s="60"/>
      <c r="B14" s="60"/>
      <c r="C14" s="60" t="s">
        <v>127</v>
      </c>
      <c r="D14" s="60" t="s">
        <v>128</v>
      </c>
    </row>
    <row r="15" spans="1:5">
      <c r="A15" s="60" t="s">
        <v>182</v>
      </c>
      <c r="B15" s="60" t="s">
        <v>129</v>
      </c>
      <c r="C15" s="76">
        <f>B2</f>
        <v>47.897893801268864</v>
      </c>
      <c r="D15" s="76">
        <f>B2</f>
        <v>47.897893801268864</v>
      </c>
      <c r="E15" s="60"/>
    </row>
    <row r="16" spans="1:5">
      <c r="A16" s="60" t="s">
        <v>156</v>
      </c>
      <c r="B16" s="60" t="s">
        <v>130</v>
      </c>
      <c r="C16" s="76">
        <f>2*C15</f>
        <v>95.795787602537729</v>
      </c>
      <c r="D16" s="76">
        <f>2*B2</f>
        <v>95.795787602537729</v>
      </c>
      <c r="E16" s="60"/>
    </row>
    <row r="17" spans="1:5">
      <c r="A17" s="60" t="s">
        <v>157</v>
      </c>
      <c r="B17" s="60" t="s">
        <v>131</v>
      </c>
      <c r="C17" s="76">
        <f>B5</f>
        <v>7.063385500942049</v>
      </c>
      <c r="D17" s="76">
        <f>B5</f>
        <v>7.063385500942049</v>
      </c>
      <c r="E17" s="60"/>
    </row>
    <row r="18" spans="1:5">
      <c r="A18" s="60" t="s">
        <v>158</v>
      </c>
      <c r="B18" s="60" t="s">
        <v>132</v>
      </c>
      <c r="C18" s="76">
        <f>B4</f>
        <v>1.0157090952033598</v>
      </c>
      <c r="D18" s="76">
        <f>B4</f>
        <v>1.0157090952033598</v>
      </c>
      <c r="E18" s="60"/>
    </row>
    <row r="19" spans="1:5">
      <c r="A19" s="60" t="s">
        <v>159</v>
      </c>
      <c r="B19" s="60" t="s">
        <v>133</v>
      </c>
      <c r="C19" s="79">
        <f>C16-C17-C18</f>
        <v>87.716693006392319</v>
      </c>
      <c r="D19" s="79">
        <f>B8</f>
        <v>44.625725680126195</v>
      </c>
      <c r="E19" s="60"/>
    </row>
    <row r="20" spans="1:5">
      <c r="A20" s="60" t="s">
        <v>153</v>
      </c>
      <c r="B20" s="60" t="s">
        <v>153</v>
      </c>
      <c r="C20" s="77">
        <f>C16-C17</f>
        <v>88.732402101595682</v>
      </c>
      <c r="D20" s="77"/>
      <c r="E20" s="60"/>
    </row>
    <row r="21" spans="1:5">
      <c r="A21" s="60" t="s">
        <v>160</v>
      </c>
      <c r="B21" s="60" t="s">
        <v>134</v>
      </c>
      <c r="C21" s="76">
        <f>B3</f>
        <v>48.710482870751456</v>
      </c>
      <c r="D21" s="76">
        <f>B3</f>
        <v>48.710482870751456</v>
      </c>
      <c r="E21" s="60"/>
    </row>
    <row r="22" spans="1:5">
      <c r="A22" s="60" t="s">
        <v>161</v>
      </c>
      <c r="B22" s="60" t="s">
        <v>136</v>
      </c>
      <c r="C22" s="76">
        <f>C16-C17+C21</f>
        <v>137.44288497234714</v>
      </c>
      <c r="D22" s="76">
        <f>B6</f>
        <v>25.832785113759179</v>
      </c>
      <c r="E22" s="60"/>
    </row>
    <row r="23" spans="1:5">
      <c r="A23" s="60" t="s">
        <v>162</v>
      </c>
      <c r="B23" s="60" t="s">
        <v>137</v>
      </c>
      <c r="C23" s="79">
        <f>C22/2</f>
        <v>68.721442486173572</v>
      </c>
      <c r="D23" s="79">
        <f>B6</f>
        <v>25.832785113759179</v>
      </c>
      <c r="E23" s="60"/>
    </row>
    <row r="24" spans="1:5">
      <c r="A24" t="s">
        <v>150</v>
      </c>
      <c r="B24" t="s">
        <v>151</v>
      </c>
      <c r="C24" s="75">
        <f>C20-C21</f>
        <v>40.021919230844226</v>
      </c>
      <c r="D24" s="75"/>
      <c r="E24" s="60"/>
    </row>
    <row r="25" spans="1:5">
      <c r="A25" t="s">
        <v>163</v>
      </c>
      <c r="B25" t="s">
        <v>152</v>
      </c>
      <c r="C25" s="78">
        <f>C24-C18</f>
        <v>39.006210135640863</v>
      </c>
      <c r="D25" s="78">
        <f>B7</f>
        <v>35.35449635996526</v>
      </c>
      <c r="E25" s="60"/>
    </row>
    <row r="26" spans="1:5">
      <c r="A26" s="60"/>
      <c r="B26" s="60"/>
      <c r="C26" s="60"/>
      <c r="D26" s="60"/>
      <c r="E26" s="60"/>
    </row>
    <row r="27" spans="1:5">
      <c r="A27" s="60"/>
      <c r="B27" s="60"/>
      <c r="C27" s="60"/>
      <c r="D27" s="60"/>
      <c r="E27" s="60"/>
    </row>
    <row r="28" spans="1:5">
      <c r="A28" s="60"/>
      <c r="B28" s="60"/>
      <c r="C28" s="60"/>
      <c r="D28" s="60"/>
      <c r="E28" s="60"/>
    </row>
    <row r="29" spans="1:5">
      <c r="C29" s="60"/>
      <c r="D29" s="60"/>
      <c r="E29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8" t="s">
        <v>4</v>
      </c>
      <c r="B1" s="128" t="s">
        <v>117</v>
      </c>
      <c r="C1" s="128" t="s">
        <v>117</v>
      </c>
      <c r="D1" s="128" t="s">
        <v>5</v>
      </c>
      <c r="E1" s="133" t="s">
        <v>18</v>
      </c>
      <c r="F1" s="133"/>
      <c r="G1" s="133"/>
      <c r="H1" s="133"/>
      <c r="I1" s="133" t="s">
        <v>20</v>
      </c>
      <c r="J1" s="133"/>
      <c r="K1" s="133"/>
      <c r="L1" s="133"/>
      <c r="M1" s="133" t="s">
        <v>21</v>
      </c>
      <c r="N1" s="133"/>
      <c r="O1" s="133"/>
      <c r="P1" s="133"/>
      <c r="Q1" s="37" t="s">
        <v>22</v>
      </c>
      <c r="R1" s="37" t="s">
        <v>22</v>
      </c>
      <c r="S1" s="37" t="s">
        <v>22</v>
      </c>
    </row>
    <row r="2" spans="1:19">
      <c r="A2" s="129"/>
      <c r="B2" s="129"/>
      <c r="C2" s="129"/>
      <c r="D2" s="129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Q3" s="130"/>
      <c r="R3" s="131"/>
      <c r="S3" s="132"/>
    </row>
    <row r="4" spans="1:19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63">
        <v>1</v>
      </c>
      <c r="B5" s="31">
        <v>110</v>
      </c>
      <c r="C5" s="31">
        <f>C4+B5</f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63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63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63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63">
        <v>7</v>
      </c>
      <c r="B11" s="31">
        <v>80</v>
      </c>
      <c r="C11" s="31">
        <f t="shared" si="2"/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63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63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63">
        <v>10</v>
      </c>
      <c r="B14" s="31">
        <v>80</v>
      </c>
      <c r="C14" s="31">
        <f t="shared" si="2"/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63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63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63">
        <v>13</v>
      </c>
      <c r="B17" s="31">
        <v>80</v>
      </c>
      <c r="C17" s="31">
        <f t="shared" si="2"/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63">
        <v>14</v>
      </c>
      <c r="B18" s="31">
        <v>360</v>
      </c>
      <c r="C18" s="31">
        <f t="shared" si="2"/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G1" workbookViewId="0">
      <selection activeCell="O22" sqref="O22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28" t="s">
        <v>4</v>
      </c>
      <c r="B1" s="128" t="s">
        <v>117</v>
      </c>
      <c r="C1" s="128" t="s">
        <v>117</v>
      </c>
      <c r="D1" s="128" t="s">
        <v>5</v>
      </c>
      <c r="E1" s="127" t="s">
        <v>119</v>
      </c>
      <c r="F1" s="127"/>
      <c r="G1" s="127"/>
      <c r="H1" s="127"/>
      <c r="I1" s="127" t="s">
        <v>120</v>
      </c>
      <c r="J1" s="127"/>
      <c r="K1" s="127"/>
      <c r="L1" s="127"/>
      <c r="M1" s="127" t="s">
        <v>121</v>
      </c>
      <c r="N1" s="127"/>
      <c r="O1" s="127"/>
      <c r="P1" s="127"/>
      <c r="Q1" s="24" t="s">
        <v>122</v>
      </c>
      <c r="R1" s="24" t="s">
        <v>122</v>
      </c>
      <c r="S1" s="24" t="s">
        <v>122</v>
      </c>
      <c r="T1" s="58" t="s">
        <v>122</v>
      </c>
      <c r="U1" s="71" t="s">
        <v>119</v>
      </c>
      <c r="V1" s="71" t="s">
        <v>120</v>
      </c>
      <c r="W1" s="71" t="s">
        <v>121</v>
      </c>
      <c r="X1" s="71" t="s">
        <v>122</v>
      </c>
    </row>
    <row r="2" spans="1:24">
      <c r="A2" s="129"/>
      <c r="B2" s="129"/>
      <c r="C2" s="129"/>
      <c r="D2" s="129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9" t="s">
        <v>135</v>
      </c>
      <c r="U2" s="72" t="s">
        <v>145</v>
      </c>
      <c r="V2" s="72" t="s">
        <v>145</v>
      </c>
      <c r="W2" s="72" t="s">
        <v>145</v>
      </c>
      <c r="X2" s="72" t="s">
        <v>146</v>
      </c>
    </row>
    <row r="3" spans="1:24">
      <c r="A3" s="61" t="s">
        <v>6</v>
      </c>
      <c r="B3" s="31">
        <v>-10</v>
      </c>
      <c r="C3" s="31">
        <f>B3</f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42" t="s">
        <v>101</v>
      </c>
      <c r="N3" s="42" t="s">
        <v>101</v>
      </c>
      <c r="O3" s="42" t="s">
        <v>101</v>
      </c>
      <c r="P3" s="43" t="s">
        <v>101</v>
      </c>
      <c r="Q3" s="134" t="s">
        <v>101</v>
      </c>
      <c r="R3" s="135"/>
      <c r="S3" s="136"/>
      <c r="T3" s="70"/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63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1">
        <v>2</v>
      </c>
      <c r="F4" s="31">
        <v>8596</v>
      </c>
      <c r="G4" s="31">
        <v>7</v>
      </c>
      <c r="H4" s="43">
        <f>('Flow cytometer'!F4/'Flow cytometer'!G4)*POWER(10,'Flow cytometer'!E4+2)*10.2</f>
        <v>125255999.99999999</v>
      </c>
      <c r="I4" s="31">
        <v>2</v>
      </c>
      <c r="J4" s="31">
        <v>9409</v>
      </c>
      <c r="K4" s="31">
        <v>7</v>
      </c>
      <c r="L4" s="43">
        <f>('Flow cytometer'!J4/'Flow cytometer'!K4)*POWER(10,'Flow cytometer'!I4+2)*10.2</f>
        <v>137102571.4285714</v>
      </c>
      <c r="M4" s="31">
        <v>2</v>
      </c>
      <c r="N4" s="31">
        <v>9939</v>
      </c>
      <c r="O4" s="31">
        <v>7</v>
      </c>
      <c r="P4" s="43">
        <f>('Flow cytometer'!N4/'Flow cytometer'!O4)*POWER(10,'Flow cytometer'!M4+2)*10.2</f>
        <v>144825428.57142857</v>
      </c>
      <c r="Q4" s="46">
        <f>AVERAGE(H4,L4,P4)*Calculation!I4/Calculation!K3</f>
        <v>135979357.54961246</v>
      </c>
      <c r="R4" s="47">
        <f>STDEV(H4,L4,P4)*Calculation!I4/Calculation!K3</f>
        <v>9875115.6290653627</v>
      </c>
      <c r="S4" s="48">
        <f>LOG(Q4)</f>
        <v>8.1334729849678364</v>
      </c>
      <c r="T4" s="69">
        <f>LN(Q4)</f>
        <v>18.728013649456724</v>
      </c>
      <c r="U4" s="48">
        <f>LOG(H4)</f>
        <v>8.0977985385670657</v>
      </c>
      <c r="V4" s="48">
        <f>LOG(L4)</f>
        <v>8.1370456002801497</v>
      </c>
      <c r="W4" s="48">
        <f>LOG(P4)</f>
        <v>8.1608448223492829</v>
      </c>
      <c r="X4" s="48">
        <f xml:space="preserve"> STDEV(U4:W4)*Calculation!I4/Calculation!K3</f>
        <v>3.1895963045191648E-2</v>
      </c>
    </row>
    <row r="5" spans="1:24">
      <c r="A5" s="63">
        <v>1</v>
      </c>
      <c r="B5" s="31">
        <v>110</v>
      </c>
      <c r="C5" s="31">
        <f>C4+B5</f>
        <v>120</v>
      </c>
      <c r="D5" s="13">
        <f t="shared" si="0"/>
        <v>2</v>
      </c>
      <c r="E5" s="31">
        <v>2</v>
      </c>
      <c r="F5" s="31">
        <v>9579</v>
      </c>
      <c r="G5" s="31">
        <v>7</v>
      </c>
      <c r="H5" s="43">
        <f>('Flow cytometer'!F5/'Flow cytometer'!G5)*POWER(10,'Flow cytometer'!E5+2)*10.2</f>
        <v>139579714.28571427</v>
      </c>
      <c r="I5" s="31">
        <v>2</v>
      </c>
      <c r="J5" s="31">
        <v>10629</v>
      </c>
      <c r="K5" s="31">
        <v>7</v>
      </c>
      <c r="L5" s="43">
        <f>('Flow cytometer'!J5/'Flow cytometer'!K5)*POWER(10,'Flow cytometer'!I5+2)*10.2</f>
        <v>154879714.28571427</v>
      </c>
      <c r="M5" s="31">
        <v>2</v>
      </c>
      <c r="N5" s="31">
        <v>10834</v>
      </c>
      <c r="O5" s="31">
        <v>7</v>
      </c>
      <c r="P5" s="43">
        <f>('Flow cytometer'!N5/'Flow cytometer'!O5)*POWER(10,'Flow cytometer'!M5+2)*10.2</f>
        <v>157866857.14285713</v>
      </c>
      <c r="Q5" s="46">
        <f>AVERAGE(H5,L5,P5)*Calculation!I5/Calculation!K4</f>
        <v>151248188.52166384</v>
      </c>
      <c r="R5" s="47">
        <f>STDEV(H5,L5,P5)*Calculation!I5/Calculation!K4</f>
        <v>9840895.9689127263</v>
      </c>
      <c r="S5" s="48">
        <f t="shared" ref="S5:S19" si="1">LOG(Q5)</f>
        <v>8.1796901818715693</v>
      </c>
      <c r="T5" s="48">
        <f t="shared" ref="T5:T19" si="2">LN(Q5)</f>
        <v>18.834432678087232</v>
      </c>
      <c r="U5" s="48">
        <f t="shared" ref="U5:U20" si="3">LOG(H5)</f>
        <v>8.1448223050067678</v>
      </c>
      <c r="V5" s="48">
        <f t="shared" ref="V5:V20" si="4">LOG(L5)</f>
        <v>8.1899945388004998</v>
      </c>
      <c r="W5" s="48">
        <f t="shared" ref="W5:W20" si="5">LOG(P5)</f>
        <v>8.1982909629988452</v>
      </c>
      <c r="X5" s="48">
        <f xml:space="preserve"> STDEV(U5:W5)*Calculation!I5/Calculation!K4</f>
        <v>2.8865965486513441E-2</v>
      </c>
    </row>
    <row r="6" spans="1:24">
      <c r="A6" s="63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2</v>
      </c>
      <c r="F6" s="31">
        <v>18570</v>
      </c>
      <c r="G6" s="31">
        <v>7</v>
      </c>
      <c r="H6" s="43">
        <f>('Flow cytometer'!F6/'Flow cytometer'!G6)*POWER(10,'Flow cytometer'!E6+2)*10.2</f>
        <v>270591428.57142854</v>
      </c>
      <c r="I6" s="31">
        <v>2</v>
      </c>
      <c r="J6" s="31">
        <v>18290</v>
      </c>
      <c r="K6" s="31">
        <v>7</v>
      </c>
      <c r="L6" s="43">
        <f>('Flow cytometer'!J6/'Flow cytometer'!K6)*POWER(10,'Flow cytometer'!I6+2)*10.2</f>
        <v>266511428.57142851</v>
      </c>
      <c r="M6" s="31">
        <v>2</v>
      </c>
      <c r="N6" s="31">
        <v>20273</v>
      </c>
      <c r="O6" s="31">
        <v>7</v>
      </c>
      <c r="P6" s="43">
        <f>('Flow cytometer'!N6/'Flow cytometer'!O6)*POWER(10,'Flow cytometer'!M6+2)*10.2</f>
        <v>295406571.42857146</v>
      </c>
      <c r="Q6" s="46">
        <f>AVERAGE(H6,L6,P6)*Calculation!I6/Calculation!K5</f>
        <v>278556280.47144353</v>
      </c>
      <c r="R6" s="47">
        <f>STDEV(H6,L6,P6)*Calculation!I6/Calculation!K5</f>
        <v>15697800.187176285</v>
      </c>
      <c r="S6" s="48">
        <f t="shared" si="1"/>
        <v>8.4449129547299187</v>
      </c>
      <c r="T6" s="48">
        <f t="shared" si="2"/>
        <v>19.445130681193408</v>
      </c>
      <c r="U6" s="48">
        <f t="shared" si="3"/>
        <v>8.4323140354874404</v>
      </c>
      <c r="V6" s="48">
        <f t="shared" si="4"/>
        <v>8.425715837224077</v>
      </c>
      <c r="W6" s="48">
        <f t="shared" si="5"/>
        <v>8.4704201521249605</v>
      </c>
      <c r="X6" s="48">
        <f xml:space="preserve"> STDEV(U6:W6)*Calculation!I6/Calculation!K5</f>
        <v>2.4223469681154415E-2</v>
      </c>
    </row>
    <row r="7" spans="1:24">
      <c r="A7" s="63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3</v>
      </c>
      <c r="F7" s="31">
        <v>4039</v>
      </c>
      <c r="G7" s="31">
        <v>7</v>
      </c>
      <c r="H7" s="43">
        <f>('Flow cytometer'!F7/'Flow cytometer'!G7)*POWER(10,'Flow cytometer'!E7+2)*10.2</f>
        <v>588540000</v>
      </c>
      <c r="I7" s="31">
        <v>3</v>
      </c>
      <c r="J7" s="31">
        <v>3747</v>
      </c>
      <c r="K7" s="31">
        <v>7</v>
      </c>
      <c r="L7" s="43">
        <f>('Flow cytometer'!J7/'Flow cytometer'!K7)*POWER(10,'Flow cytometer'!I7+2)*10.2</f>
        <v>545991428.57142854</v>
      </c>
      <c r="M7" s="31">
        <v>3</v>
      </c>
      <c r="N7" s="31">
        <v>4047</v>
      </c>
      <c r="O7" s="31">
        <v>7</v>
      </c>
      <c r="P7" s="43">
        <f>('Flow cytometer'!N7/'Flow cytometer'!O7)*POWER(10,'Flow cytometer'!M7+2)*10.2</f>
        <v>589705714.28571415</v>
      </c>
      <c r="Q7" s="46">
        <f>AVERAGE(H7,L7,P7)*Calculation!I7/Calculation!K6</f>
        <v>578483009.2077384</v>
      </c>
      <c r="R7" s="47">
        <f>STDEV(H7,L7,P7)*Calculation!I7/Calculation!K6</f>
        <v>25070731.865238078</v>
      </c>
      <c r="S7" s="48">
        <f t="shared" si="1"/>
        <v>8.7622906076858893</v>
      </c>
      <c r="T7" s="48">
        <f t="shared" si="2"/>
        <v>20.175919733739267</v>
      </c>
      <c r="U7" s="48">
        <f t="shared" si="3"/>
        <v>8.7697759849176489</v>
      </c>
      <c r="V7" s="48">
        <f t="shared" si="4"/>
        <v>8.7371858248414593</v>
      </c>
      <c r="W7" s="48">
        <f t="shared" si="5"/>
        <v>8.7706353361392271</v>
      </c>
      <c r="X7" s="48">
        <f xml:space="preserve"> STDEV(U7:W7)*Calculation!I7/Calculation!K6</f>
        <v>1.9192848121138553E-2</v>
      </c>
    </row>
    <row r="8" spans="1:24">
      <c r="A8" s="63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3</v>
      </c>
      <c r="F8" s="31">
        <v>13757</v>
      </c>
      <c r="G8" s="31">
        <v>7</v>
      </c>
      <c r="H8" s="43">
        <f>('Flow cytometer'!F8/'Flow cytometer'!G8)*POWER(10,'Flow cytometer'!E8+2)*10.2</f>
        <v>2004591428.5714285</v>
      </c>
      <c r="I8" s="31">
        <v>3</v>
      </c>
      <c r="J8" s="31">
        <v>13005</v>
      </c>
      <c r="K8" s="31">
        <v>7</v>
      </c>
      <c r="L8" s="43">
        <f>('Flow cytometer'!J8/'Flow cytometer'!K8)*POWER(10,'Flow cytometer'!I8+2)*10.2</f>
        <v>1895014285.7142856</v>
      </c>
      <c r="M8" s="31">
        <v>3</v>
      </c>
      <c r="N8" s="31">
        <v>12554</v>
      </c>
      <c r="O8" s="31">
        <v>7</v>
      </c>
      <c r="P8" s="43">
        <f>('Flow cytometer'!N8/'Flow cytometer'!O8)*POWER(10,'Flow cytometer'!M8+2)*10.2</f>
        <v>1829297142.8571427</v>
      </c>
      <c r="Q8" s="46">
        <f>AVERAGE(H8,L8,P8)*Calculation!I8/Calculation!K7</f>
        <v>1939367500.1741822</v>
      </c>
      <c r="R8" s="47">
        <f>STDEV(H8,L8,P8)*Calculation!I8/Calculation!K7</f>
        <v>89935771.648493737</v>
      </c>
      <c r="S8" s="48">
        <f t="shared" si="1"/>
        <v>9.2876601134494052</v>
      </c>
      <c r="T8" s="48">
        <f t="shared" si="2"/>
        <v>21.385627726023991</v>
      </c>
      <c r="U8" s="48">
        <f t="shared" si="3"/>
        <v>9.3020258690268189</v>
      </c>
      <c r="V8" s="48">
        <f t="shared" si="4"/>
        <v>9.2776124882795514</v>
      </c>
      <c r="W8" s="48">
        <f t="shared" si="5"/>
        <v>9.2622842560623528</v>
      </c>
      <c r="X8" s="48">
        <f xml:space="preserve"> STDEV(U8:W8)*Calculation!I8/Calculation!K7</f>
        <v>2.0355209222524793E-2</v>
      </c>
    </row>
    <row r="9" spans="1:24">
      <c r="A9" s="63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3</v>
      </c>
      <c r="F9" s="31">
        <v>33687</v>
      </c>
      <c r="G9" s="31">
        <v>7</v>
      </c>
      <c r="H9" s="43">
        <f>('Flow cytometer'!F9/'Flow cytometer'!G9)*POWER(10,'Flow cytometer'!E9+2)*10.2</f>
        <v>4908677142.8571424</v>
      </c>
      <c r="I9" s="31">
        <v>3</v>
      </c>
      <c r="J9" s="31">
        <v>35943</v>
      </c>
      <c r="K9" s="31">
        <v>7</v>
      </c>
      <c r="L9" s="43">
        <f>('Flow cytometer'!J9/'Flow cytometer'!K9)*POWER(10,'Flow cytometer'!I9+2)*10.2</f>
        <v>5237408571.4285707</v>
      </c>
      <c r="M9" s="31">
        <v>3</v>
      </c>
      <c r="N9" s="31">
        <v>33367</v>
      </c>
      <c r="O9" s="31">
        <v>7</v>
      </c>
      <c r="P9" s="43">
        <f>('Flow cytometer'!N9/'Flow cytometer'!O9)*POWER(10,'Flow cytometer'!M9+2)*10.2</f>
        <v>4862048571.4285707</v>
      </c>
      <c r="Q9" s="46">
        <f>AVERAGE(H9,L9,P9)*Calculation!I9/Calculation!K8</f>
        <v>5202768649.3054819</v>
      </c>
      <c r="R9" s="47">
        <f>STDEV(H9,L9,P9)*Calculation!I9/Calculation!K8</f>
        <v>212767817.87582403</v>
      </c>
      <c r="S9" s="48">
        <f t="shared" si="1"/>
        <v>9.7162345146210285</v>
      </c>
      <c r="T9" s="48">
        <f t="shared" si="2"/>
        <v>22.372456753400616</v>
      </c>
      <c r="U9" s="48">
        <f t="shared" si="3"/>
        <v>9.6909644683014076</v>
      </c>
      <c r="V9" s="48">
        <f t="shared" si="4"/>
        <v>9.7191164546338964</v>
      </c>
      <c r="W9" s="48">
        <f t="shared" si="5"/>
        <v>9.6868192930918582</v>
      </c>
      <c r="X9" s="48">
        <f xml:space="preserve"> STDEV(U9:W9)*Calculation!I9/Calculation!K8</f>
        <v>1.8275550057908305E-2</v>
      </c>
    </row>
    <row r="10" spans="1:24">
      <c r="A10" s="63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4</v>
      </c>
      <c r="F10" s="31">
        <v>5245</v>
      </c>
      <c r="G10" s="31">
        <v>7</v>
      </c>
      <c r="H10" s="43">
        <f>('Flow cytometer'!F10/'Flow cytometer'!G10)*POWER(10,'Flow cytometer'!E10+2)*10.2</f>
        <v>7642714285.7142859</v>
      </c>
      <c r="I10" s="31">
        <v>4</v>
      </c>
      <c r="J10" s="31">
        <v>5194</v>
      </c>
      <c r="K10" s="31">
        <v>7</v>
      </c>
      <c r="L10" s="43">
        <f>('Flow cytometer'!J10/'Flow cytometer'!K10)*POWER(10,'Flow cytometer'!I10+2)*10.2</f>
        <v>7568399999.999999</v>
      </c>
      <c r="M10" s="31">
        <v>4</v>
      </c>
      <c r="N10" s="31">
        <v>4771</v>
      </c>
      <c r="O10" s="31">
        <v>7</v>
      </c>
      <c r="P10" s="43">
        <f>('Flow cytometer'!N10/'Flow cytometer'!O10)*POWER(10,'Flow cytometer'!M10+2)*10.2</f>
        <v>6952028571.4285707</v>
      </c>
      <c r="Q10" s="46">
        <f>AVERAGE(H10,L10,P10)*Calculation!I10/Calculation!K9</f>
        <v>7847551199.7656298</v>
      </c>
      <c r="R10" s="47">
        <f>STDEV(H10,L10,P10)*Calculation!I10/Calculation!K9</f>
        <v>402739049.09988439</v>
      </c>
      <c r="S10" s="48">
        <f t="shared" si="1"/>
        <v>9.8947341578481112</v>
      </c>
      <c r="T10" s="48">
        <f t="shared" si="2"/>
        <v>22.783467371000054</v>
      </c>
      <c r="U10" s="48">
        <f t="shared" si="3"/>
        <v>9.8832476242772369</v>
      </c>
      <c r="V10" s="48">
        <f t="shared" si="4"/>
        <v>9.8790040770409444</v>
      </c>
      <c r="W10" s="48">
        <f t="shared" si="5"/>
        <v>9.8421115483065869</v>
      </c>
      <c r="X10" s="48">
        <f xml:space="preserve"> STDEV(U10:W10)*Calculation!I10/Calculation!K9</f>
        <v>2.403286459538731E-2</v>
      </c>
    </row>
    <row r="11" spans="1:24">
      <c r="A11" s="63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4</v>
      </c>
      <c r="F11" s="31">
        <v>5216</v>
      </c>
      <c r="G11" s="31">
        <v>7</v>
      </c>
      <c r="H11" s="43">
        <f>('Flow cytometer'!F11/'Flow cytometer'!G11)*POWER(10,'Flow cytometer'!E11+2)*10.2</f>
        <v>7600457142.8571415</v>
      </c>
      <c r="I11" s="31">
        <v>4</v>
      </c>
      <c r="J11" s="31">
        <v>5528</v>
      </c>
      <c r="K11" s="31">
        <v>7</v>
      </c>
      <c r="L11" s="43">
        <f>('Flow cytometer'!J11/'Flow cytometer'!K11)*POWER(10,'Flow cytometer'!I11+2)*10.2</f>
        <v>8055085714.2857122</v>
      </c>
      <c r="M11" s="31">
        <v>4</v>
      </c>
      <c r="N11" s="31">
        <v>4922</v>
      </c>
      <c r="O11" s="31">
        <v>7</v>
      </c>
      <c r="P11" s="43">
        <f>('Flow cytometer'!N11/'Flow cytometer'!O11)*POWER(10,'Flow cytometer'!M11+2)*10.2</f>
        <v>7172057142.8571415</v>
      </c>
      <c r="Q11" s="46">
        <f>AVERAGE(H11,L11,P11)*Calculation!I11/Calculation!K10</f>
        <v>8158635865.3997517</v>
      </c>
      <c r="R11" s="47">
        <f>STDEV(H11,L11,P11)*Calculation!I11/Calculation!K10</f>
        <v>473464217.55508047</v>
      </c>
      <c r="S11" s="48">
        <f t="shared" si="1"/>
        <v>9.9116175502177395</v>
      </c>
      <c r="T11" s="48">
        <f t="shared" si="2"/>
        <v>22.822342818589529</v>
      </c>
      <c r="U11" s="48">
        <f t="shared" si="3"/>
        <v>9.8808397144715236</v>
      </c>
      <c r="V11" s="48">
        <f t="shared" si="4"/>
        <v>9.9060701661138033</v>
      </c>
      <c r="W11" s="48">
        <f t="shared" si="5"/>
        <v>9.8556437411144451</v>
      </c>
      <c r="X11" s="48">
        <f xml:space="preserve"> STDEV(U11:W11)*Calculation!I11/Calculation!K10</f>
        <v>2.7033779610137951E-2</v>
      </c>
    </row>
    <row r="12" spans="1:24">
      <c r="A12" s="63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4</v>
      </c>
      <c r="F12" s="31">
        <v>4850</v>
      </c>
      <c r="G12" s="31">
        <v>7</v>
      </c>
      <c r="H12" s="43">
        <f>('Flow cytometer'!F12/'Flow cytometer'!G12)*POWER(10,'Flow cytometer'!E12+2)*10.2</f>
        <v>7067142857.1428576</v>
      </c>
      <c r="I12" s="31">
        <v>4</v>
      </c>
      <c r="J12" s="31">
        <v>5038</v>
      </c>
      <c r="K12" s="31">
        <v>7</v>
      </c>
      <c r="L12" s="43">
        <f>('Flow cytometer'!J12/'Flow cytometer'!K12)*POWER(10,'Flow cytometer'!I12+2)*10.2</f>
        <v>7341085714.2857132</v>
      </c>
      <c r="M12" s="31">
        <v>4</v>
      </c>
      <c r="N12" s="31">
        <v>5291</v>
      </c>
      <c r="O12" s="31">
        <v>7</v>
      </c>
      <c r="P12" s="43">
        <f>('Flow cytometer'!N12/'Flow cytometer'!O12)*POWER(10,'Flow cytometer'!M12+2)*10.2</f>
        <v>7709742857.1428576</v>
      </c>
      <c r="Q12" s="46">
        <f>AVERAGE(H12,L12,P12)*Calculation!I12/Calculation!K11</f>
        <v>7910864240.0686445</v>
      </c>
      <c r="R12" s="47">
        <f>STDEV(H12,L12,P12)*Calculation!I12/Calculation!K11</f>
        <v>346001055.59286577</v>
      </c>
      <c r="S12" s="48">
        <f t="shared" si="1"/>
        <v>9.8982239315621481</v>
      </c>
      <c r="T12" s="48">
        <f t="shared" si="2"/>
        <v>22.791502871931915</v>
      </c>
      <c r="U12" s="48">
        <f t="shared" si="3"/>
        <v>9.849243870349925</v>
      </c>
      <c r="V12" s="48">
        <f t="shared" si="4"/>
        <v>9.8657602949097551</v>
      </c>
      <c r="W12" s="48">
        <f t="shared" si="5"/>
        <v>9.8870398932797183</v>
      </c>
      <c r="X12" s="48">
        <f xml:space="preserve"> STDEV(U12:W12)*Calculation!I12/Calculation!K11</f>
        <v>2.0331177642446904E-2</v>
      </c>
    </row>
    <row r="13" spans="1:24">
      <c r="A13" s="63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4</v>
      </c>
      <c r="F13" s="31">
        <v>4392</v>
      </c>
      <c r="G13" s="31">
        <v>7</v>
      </c>
      <c r="H13" s="43">
        <f>('Flow cytometer'!F13/'Flow cytometer'!G13)*POWER(10,'Flow cytometer'!E13+2)*10.2</f>
        <v>6399771428.5714283</v>
      </c>
      <c r="I13" s="31">
        <v>4</v>
      </c>
      <c r="J13" s="31">
        <v>5020</v>
      </c>
      <c r="K13" s="31">
        <v>7</v>
      </c>
      <c r="L13" s="43">
        <f>('Flow cytometer'!J13/'Flow cytometer'!K13)*POWER(10,'Flow cytometer'!I13+2)*10.2</f>
        <v>7314857142.8571415</v>
      </c>
      <c r="M13" s="31">
        <v>4</v>
      </c>
      <c r="N13" s="31">
        <v>5201</v>
      </c>
      <c r="O13" s="31">
        <v>7</v>
      </c>
      <c r="P13" s="43">
        <f>('Flow cytometer'!N13/'Flow cytometer'!O13)*POWER(10,'Flow cytometer'!M13+2)*10.2</f>
        <v>7578599999.999999</v>
      </c>
      <c r="Q13" s="46">
        <f>AVERAGE(H13,L13,P13)*Calculation!I13/Calculation!K12</f>
        <v>7627570858.7100372</v>
      </c>
      <c r="R13" s="47">
        <f>STDEV(H13,L13,P13)*Calculation!I13/Calculation!K12</f>
        <v>664861301.18033063</v>
      </c>
      <c r="S13" s="48">
        <f t="shared" si="1"/>
        <v>9.882386250847885</v>
      </c>
      <c r="T13" s="48">
        <f t="shared" si="2"/>
        <v>22.755035264411656</v>
      </c>
      <c r="U13" s="48">
        <f t="shared" si="3"/>
        <v>9.8061644631896954</v>
      </c>
      <c r="V13" s="48">
        <f t="shared" si="4"/>
        <v>9.8642058488926807</v>
      </c>
      <c r="W13" s="48">
        <f t="shared" si="5"/>
        <v>9.8795889855224921</v>
      </c>
      <c r="X13" s="48">
        <f xml:space="preserve"> STDEV(U13:W13)*Calculation!I13/Calculation!K12</f>
        <v>4.1613060946415731E-2</v>
      </c>
    </row>
    <row r="14" spans="1:24">
      <c r="A14" s="63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4</v>
      </c>
      <c r="F14" s="31">
        <v>5059</v>
      </c>
      <c r="G14" s="31">
        <v>7</v>
      </c>
      <c r="H14" s="43">
        <f>('Flow cytometer'!F14/'Flow cytometer'!G14)*POWER(10,'Flow cytometer'!E14+2)*10.2</f>
        <v>7371685714.2857132</v>
      </c>
      <c r="I14" s="31">
        <v>4</v>
      </c>
      <c r="J14" s="31">
        <v>4922</v>
      </c>
      <c r="K14" s="31">
        <v>7</v>
      </c>
      <c r="L14" s="43">
        <f>('Flow cytometer'!J14/'Flow cytometer'!K14)*POWER(10,'Flow cytometer'!I14+2)*10.2</f>
        <v>7172057142.8571415</v>
      </c>
      <c r="M14" s="31">
        <v>4</v>
      </c>
      <c r="N14" s="31">
        <v>5573</v>
      </c>
      <c r="O14" s="31">
        <v>7</v>
      </c>
      <c r="P14" s="43">
        <f>('Flow cytometer'!N14/'Flow cytometer'!O14)*POWER(10,'Flow cytometer'!M14+2)*10.2</f>
        <v>8120657142.8571415</v>
      </c>
      <c r="Q14" s="46">
        <f>AVERAGE(H14,L14,P14)*Calculation!I14/Calculation!K13</f>
        <v>8118746125.804141</v>
      </c>
      <c r="R14" s="47">
        <f>STDEV(H14,L14,P14)*Calculation!I14/Calculation!K13</f>
        <v>537440413.4164747</v>
      </c>
      <c r="S14" s="48">
        <f t="shared" si="1"/>
        <v>9.9094889611755583</v>
      </c>
      <c r="T14" s="48">
        <f t="shared" si="2"/>
        <v>22.817441561191895</v>
      </c>
      <c r="U14" s="48">
        <f t="shared" si="3"/>
        <v>9.8675668111562285</v>
      </c>
      <c r="V14" s="48">
        <f t="shared" si="4"/>
        <v>9.8556437411144451</v>
      </c>
      <c r="W14" s="48">
        <f t="shared" si="5"/>
        <v>9.909591174803861</v>
      </c>
      <c r="X14" s="48">
        <f xml:space="preserve"> STDEV(U14:W14)*Calculation!I14/Calculation!K13</f>
        <v>3.045423912317614E-2</v>
      </c>
    </row>
    <row r="15" spans="1:24">
      <c r="A15" s="63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4</v>
      </c>
      <c r="F15" s="31">
        <v>4873</v>
      </c>
      <c r="G15" s="31">
        <v>7</v>
      </c>
      <c r="H15" s="43">
        <f>('Flow cytometer'!F15/'Flow cytometer'!G15)*POWER(10,'Flow cytometer'!E15+2)*10.2</f>
        <v>7100657142.8571415</v>
      </c>
      <c r="I15" s="31">
        <v>4</v>
      </c>
      <c r="J15" s="31">
        <v>5508</v>
      </c>
      <c r="K15" s="31">
        <v>7</v>
      </c>
      <c r="L15" s="43">
        <f>('Flow cytometer'!J15/'Flow cytometer'!K15)*POWER(10,'Flow cytometer'!I15+2)*10.2</f>
        <v>8025942857.1428576</v>
      </c>
      <c r="M15" s="31">
        <v>4</v>
      </c>
      <c r="N15" s="31">
        <v>5065</v>
      </c>
      <c r="O15" s="31">
        <v>7</v>
      </c>
      <c r="P15" s="43">
        <f>('Flow cytometer'!N15/'Flow cytometer'!O15)*POWER(10,'Flow cytometer'!M15+2)*10.2</f>
        <v>7380428571.4285707</v>
      </c>
      <c r="Q15" s="46">
        <f>AVERAGE(H15,L15,P15)*Calculation!I15/Calculation!K14</f>
        <v>8069014358.0610847</v>
      </c>
      <c r="R15" s="47">
        <f>STDEV(H15,L15,P15)*Calculation!I15/Calculation!K14</f>
        <v>510380433.68022126</v>
      </c>
      <c r="S15" s="48">
        <f t="shared" si="1"/>
        <v>9.9068204882538993</v>
      </c>
      <c r="T15" s="48">
        <f t="shared" si="2"/>
        <v>22.811297175221419</v>
      </c>
      <c r="U15" s="48">
        <f t="shared" si="3"/>
        <v>9.851298543128955</v>
      </c>
      <c r="V15" s="48">
        <f t="shared" si="4"/>
        <v>9.9044960633325463</v>
      </c>
      <c r="W15" s="48">
        <f t="shared" si="5"/>
        <v>9.8680815814439597</v>
      </c>
      <c r="X15" s="48">
        <f xml:space="preserve"> STDEV(U15:W15)*Calculation!I15/Calculation!K14</f>
        <v>2.9249942587222862E-2</v>
      </c>
    </row>
    <row r="16" spans="1:24">
      <c r="A16" s="63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4</v>
      </c>
      <c r="F16" s="31">
        <v>4859</v>
      </c>
      <c r="G16" s="31">
        <v>7</v>
      </c>
      <c r="H16" s="43">
        <f>('Flow cytometer'!F16/'Flow cytometer'!G16)*POWER(10,'Flow cytometer'!E16+2)*10.2</f>
        <v>7080257142.8571415</v>
      </c>
      <c r="I16" s="31">
        <v>4</v>
      </c>
      <c r="J16" s="31">
        <v>4421</v>
      </c>
      <c r="K16" s="31">
        <v>7</v>
      </c>
      <c r="L16" s="43">
        <f>('Flow cytometer'!J16/'Flow cytometer'!K16)*POWER(10,'Flow cytometer'!I16+2)*10.2</f>
        <v>6442028571.4285707</v>
      </c>
      <c r="M16" s="31">
        <v>4</v>
      </c>
      <c r="N16" s="31">
        <v>4398</v>
      </c>
      <c r="O16" s="31">
        <v>7</v>
      </c>
      <c r="P16" s="43">
        <f>('Flow cytometer'!N16/'Flow cytometer'!O16)*POWER(10,'Flow cytometer'!M16+2)*10.2</f>
        <v>6408514285.7142859</v>
      </c>
      <c r="Q16" s="46">
        <f>AVERAGE(H16,L16,P16)*Calculation!I16/Calculation!K15</f>
        <v>7145408415.7425566</v>
      </c>
      <c r="R16" s="47">
        <f>STDEV(H16,L16,P16)*Calculation!I16/Calculation!K15</f>
        <v>407118425.10810745</v>
      </c>
      <c r="S16" s="48">
        <f t="shared" si="1"/>
        <v>9.8540270571485564</v>
      </c>
      <c r="T16" s="48">
        <f t="shared" si="2"/>
        <v>22.689735807750253</v>
      </c>
      <c r="U16" s="48">
        <f t="shared" si="3"/>
        <v>9.8500490308106663</v>
      </c>
      <c r="V16" s="48">
        <f t="shared" si="4"/>
        <v>9.8090226466535348</v>
      </c>
      <c r="W16" s="48">
        <f t="shared" si="5"/>
        <v>9.8067573567724331</v>
      </c>
      <c r="X16" s="48">
        <f xml:space="preserve"> STDEV(U16:W16)*Calculation!I16/Calculation!K15</f>
        <v>2.6207358222721164E-2</v>
      </c>
    </row>
    <row r="17" spans="1:24">
      <c r="A17" s="63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4</v>
      </c>
      <c r="F17" s="31">
        <v>8056</v>
      </c>
      <c r="G17" s="31">
        <v>7</v>
      </c>
      <c r="H17" s="43">
        <f>('Flow cytometer'!F17/'Flow cytometer'!G17)*POWER(10,'Flow cytometer'!E17+2)*10.2</f>
        <v>11738742857.142857</v>
      </c>
      <c r="I17" s="31">
        <v>4</v>
      </c>
      <c r="J17" s="31">
        <v>7054</v>
      </c>
      <c r="K17" s="31">
        <v>7</v>
      </c>
      <c r="L17" s="43">
        <f>('Flow cytometer'!J17/'Flow cytometer'!K17)*POWER(10,'Flow cytometer'!I17+2)*10.2</f>
        <v>10278685714.285713</v>
      </c>
      <c r="M17" s="31">
        <v>4</v>
      </c>
      <c r="N17" s="31">
        <v>8217</v>
      </c>
      <c r="O17" s="31">
        <v>7</v>
      </c>
      <c r="P17" s="43">
        <f>('Flow cytometer'!N17/'Flow cytometer'!O17)*POWER(10,'Flow cytometer'!M17+2)*10.2</f>
        <v>11973342857.142857</v>
      </c>
      <c r="Q17" s="46">
        <f>AVERAGE(H17,L17,P17)*Calculation!I17/Calculation!K16</f>
        <v>12186060982.16308</v>
      </c>
      <c r="R17" s="47">
        <f>STDEV(H17,L17,P17)*Calculation!I17/Calculation!K16</f>
        <v>987565694.12046254</v>
      </c>
      <c r="S17" s="48">
        <f t="shared" si="1"/>
        <v>10.085863347114453</v>
      </c>
      <c r="T17" s="48">
        <f t="shared" si="2"/>
        <v>23.223558593040767</v>
      </c>
      <c r="U17" s="48">
        <f t="shared" si="3"/>
        <v>10.069621589293222</v>
      </c>
      <c r="V17" s="48">
        <f t="shared" si="4"/>
        <v>10.011937587079132</v>
      </c>
      <c r="W17" s="48">
        <f t="shared" si="5"/>
        <v>10.078215418721285</v>
      </c>
      <c r="X17" s="48">
        <f xml:space="preserve"> STDEV(U17:W17)*Calculation!I17/Calculation!K16</f>
        <v>3.8764083550400542E-2</v>
      </c>
    </row>
    <row r="18" spans="1:24">
      <c r="A18" s="63">
        <v>14</v>
      </c>
      <c r="B18" s="31">
        <v>360</v>
      </c>
      <c r="C18" s="31">
        <f t="shared" si="6"/>
        <v>1440</v>
      </c>
      <c r="D18" s="13">
        <f t="shared" si="0"/>
        <v>24</v>
      </c>
      <c r="E18" s="31">
        <v>4</v>
      </c>
      <c r="F18" s="31">
        <v>7134</v>
      </c>
      <c r="G18" s="31">
        <v>7</v>
      </c>
      <c r="H18" s="43">
        <f>('Flow cytometer'!F18/'Flow cytometer'!G18)*POWER(10,'Flow cytometer'!E18+2)*10.2</f>
        <v>10395257142.857141</v>
      </c>
      <c r="I18" s="31">
        <v>4</v>
      </c>
      <c r="J18" s="31">
        <v>8153</v>
      </c>
      <c r="K18" s="31">
        <v>7</v>
      </c>
      <c r="L18" s="43">
        <f>('Flow cytometer'!J18/'Flow cytometer'!K18)*POWER(10,'Flow cytometer'!I18+2)*10.2</f>
        <v>11880085714.285715</v>
      </c>
      <c r="M18" s="31">
        <v>4</v>
      </c>
      <c r="N18" s="31">
        <v>7780</v>
      </c>
      <c r="O18" s="31">
        <v>7</v>
      </c>
      <c r="P18" s="43">
        <f>('Flow cytometer'!N18/'Flow cytometer'!O18)*POWER(10,'Flow cytometer'!M18+2)*10.2</f>
        <v>11336571428.571426</v>
      </c>
      <c r="Q18" s="46">
        <f>AVERAGE(H18,L18,P18)*Calculation!I18/Calculation!K17</f>
        <v>12061498482.225695</v>
      </c>
      <c r="R18" s="47">
        <f>STDEV(H18,L18,P18)*Calculation!I18/Calculation!K17</f>
        <v>808741465.88328493</v>
      </c>
      <c r="S18" s="48">
        <f t="shared" si="1"/>
        <v>10.081401266521761</v>
      </c>
      <c r="T18" s="48">
        <f t="shared" si="2"/>
        <v>23.2132842727843</v>
      </c>
      <c r="U18" s="48">
        <f t="shared" si="3"/>
        <v>10.016835236749996</v>
      </c>
      <c r="V18" s="48">
        <f t="shared" si="4"/>
        <v>10.074819574071691</v>
      </c>
      <c r="W18" s="48">
        <f t="shared" si="5"/>
        <v>10.05448172873735</v>
      </c>
      <c r="X18" s="48">
        <f xml:space="preserve"> STDEV(U18:W18)*Calculation!I18/Calculation!K17</f>
        <v>3.167128788408613E-2</v>
      </c>
    </row>
    <row r="19" spans="1:24">
      <c r="A19" s="63">
        <v>15</v>
      </c>
      <c r="B19" s="31">
        <v>360</v>
      </c>
      <c r="C19" s="31">
        <f>C18+B19</f>
        <v>1800</v>
      </c>
      <c r="D19" s="13">
        <f t="shared" si="0"/>
        <v>30</v>
      </c>
      <c r="E19" s="31">
        <v>4</v>
      </c>
      <c r="F19" s="31">
        <v>3676</v>
      </c>
      <c r="G19" s="31">
        <v>7</v>
      </c>
      <c r="H19" s="43">
        <f>('Flow cytometer'!F19/'Flow cytometer'!G19)*POWER(10,'Flow cytometer'!E19+2)*10.2</f>
        <v>5356457142.8571424</v>
      </c>
      <c r="I19" s="31">
        <v>4</v>
      </c>
      <c r="J19" s="31">
        <v>3141</v>
      </c>
      <c r="K19" s="31">
        <v>7</v>
      </c>
      <c r="L19" s="43">
        <f>('Flow cytometer'!J19/'Flow cytometer'!K19)*POWER(10,'Flow cytometer'!I19+2)*10.2</f>
        <v>4576885714.2857141</v>
      </c>
      <c r="M19" s="31">
        <v>4</v>
      </c>
      <c r="N19" s="31">
        <v>2812</v>
      </c>
      <c r="O19" s="31">
        <v>7</v>
      </c>
      <c r="P19" s="43">
        <f>('Flow cytometer'!N19/'Flow cytometer'!O19)*POWER(10,'Flow cytometer'!M19+2)*10.2</f>
        <v>4097485714.2857141</v>
      </c>
      <c r="Q19" s="46">
        <f>AVERAGE(H19,L19,P19)*Calculation!I19/Calculation!K18</f>
        <v>5034905661.1328382</v>
      </c>
      <c r="R19" s="47">
        <f>STDEV(H19,L19,P19)*Calculation!I19/Calculation!K18</f>
        <v>684055549.64690673</v>
      </c>
      <c r="S19" s="48">
        <f t="shared" si="1"/>
        <v>9.7019913376039817</v>
      </c>
      <c r="T19" s="48">
        <f t="shared" si="2"/>
        <v>22.339660626324292</v>
      </c>
      <c r="U19" s="48">
        <f t="shared" si="3"/>
        <v>9.7288776344617336</v>
      </c>
      <c r="V19" s="48">
        <f t="shared" si="4"/>
        <v>9.6605700681461659</v>
      </c>
      <c r="W19" s="48">
        <f t="shared" si="5"/>
        <v>9.6125174480954474</v>
      </c>
      <c r="X19" s="48">
        <f xml:space="preserve"> STDEV(U19:W19)*Calculation!I19/Calculation!K18</f>
        <v>6.2948578252305654E-2</v>
      </c>
    </row>
    <row r="20" spans="1:24">
      <c r="A20" s="63">
        <v>16</v>
      </c>
      <c r="B20" s="31">
        <v>1080</v>
      </c>
      <c r="C20" s="31">
        <f>C19+B20</f>
        <v>2880</v>
      </c>
      <c r="D20" s="13">
        <f t="shared" si="0"/>
        <v>48</v>
      </c>
      <c r="E20" s="31">
        <v>4</v>
      </c>
      <c r="F20" s="31">
        <v>7044</v>
      </c>
      <c r="G20" s="31">
        <v>7</v>
      </c>
      <c r="H20" s="43">
        <f>('Flow cytometer'!F20/'Flow cytometer'!G20)*POWER(10,'Flow cytometer'!E20+2)*10.2</f>
        <v>10264114285.714287</v>
      </c>
      <c r="I20" s="31">
        <v>4</v>
      </c>
      <c r="J20" s="31">
        <v>6990</v>
      </c>
      <c r="K20" s="31">
        <v>7</v>
      </c>
      <c r="L20" s="43">
        <f>('Flow cytometer'!J20/'Flow cytometer'!K20)*POWER(10,'Flow cytometer'!I20+2)*10.2</f>
        <v>10185428571.42857</v>
      </c>
      <c r="M20" s="31">
        <v>4</v>
      </c>
      <c r="N20" s="31">
        <v>6973</v>
      </c>
      <c r="O20" s="31">
        <v>7</v>
      </c>
      <c r="P20" s="43">
        <f>('Flow cytometer'!N20/'Flow cytometer'!O20)*POWER(10,'Flow cytometer'!M20+2)*10.2</f>
        <v>10160657142.857141</v>
      </c>
      <c r="Q20" s="46">
        <f>AVERAGE(H20,L20,P20)*Calculation!I20/Calculation!K19</f>
        <v>10984345541.948029</v>
      </c>
      <c r="R20" s="47">
        <f>STDEV(H20,L20,P20)*Calculation!I20/Calculation!K19</f>
        <v>58153712.579806268</v>
      </c>
      <c r="S20" s="48">
        <f t="shared" ref="S20" si="7">LOG(Q20)</f>
        <v>10.040774186337302</v>
      </c>
      <c r="T20" s="48">
        <f t="shared" ref="T20" si="8">LN(Q20)</f>
        <v>23.119736963579687</v>
      </c>
      <c r="U20" s="48">
        <f t="shared" si="3"/>
        <v>10.0113214790429</v>
      </c>
      <c r="V20" s="48">
        <f t="shared" si="4"/>
        <v>10.007979307493342</v>
      </c>
      <c r="W20" s="48">
        <f t="shared" si="5"/>
        <v>10.006921796952579</v>
      </c>
      <c r="X20" s="48">
        <f xml:space="preserve"> STDEV(U20:W20)*Calculation!I20/Calculation!K19</f>
        <v>2.4723537005165641E-3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3" workbookViewId="0">
      <selection activeCell="K43" sqref="K43"/>
    </sheetView>
  </sheetViews>
  <sheetFormatPr baseColWidth="10" defaultColWidth="8.83203125" defaultRowHeight="14" x14ac:dyDescent="0"/>
  <cols>
    <col min="1" max="2" width="8.83203125" style="83"/>
    <col min="3" max="3" width="9.83203125" style="83" customWidth="1"/>
    <col min="4" max="17" width="8.83203125" style="83"/>
    <col min="18" max="18" width="13.83203125" style="83" bestFit="1" customWidth="1"/>
    <col min="19" max="16384" width="8.83203125" style="83"/>
  </cols>
  <sheetData>
    <row r="1" spans="2:18">
      <c r="B1" s="140" t="s">
        <v>4</v>
      </c>
      <c r="C1" s="142" t="s">
        <v>185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82" t="s">
        <v>22</v>
      </c>
      <c r="Q1" s="82" t="s">
        <v>22</v>
      </c>
      <c r="R1" s="82" t="s">
        <v>22</v>
      </c>
    </row>
    <row r="2" spans="2:18">
      <c r="B2" s="141"/>
      <c r="C2" s="141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</row>
    <row r="3" spans="2:18"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37"/>
      <c r="Q3" s="138"/>
      <c r="R3" s="139"/>
    </row>
    <row r="4" spans="2:18">
      <c r="B4" s="89" t="s">
        <v>186</v>
      </c>
      <c r="C4" s="90">
        <v>500</v>
      </c>
      <c r="D4" s="90">
        <v>3</v>
      </c>
      <c r="E4" s="90">
        <v>14133</v>
      </c>
      <c r="F4" s="90">
        <v>7</v>
      </c>
      <c r="G4" s="88">
        <f>(E4/F4)*(10.2)*POWER(10,D4+2)</f>
        <v>2059380000</v>
      </c>
      <c r="H4" s="90">
        <v>3</v>
      </c>
      <c r="I4" s="90">
        <v>15082</v>
      </c>
      <c r="J4" s="90">
        <v>7</v>
      </c>
      <c r="K4" s="88">
        <f t="shared" ref="K4:K18" si="0">(I4/J4)*(10.2)*POWER(10,H4+2)</f>
        <v>2197662857.1428571</v>
      </c>
      <c r="L4" s="90">
        <v>3</v>
      </c>
      <c r="M4" s="90">
        <v>15922</v>
      </c>
      <c r="N4" s="90">
        <v>7</v>
      </c>
      <c r="O4" s="88">
        <f t="shared" ref="O4:O19" si="1">(M4/N4)*(10.2)*POWER(10,L4+2)</f>
        <v>2320062857.1428571</v>
      </c>
      <c r="P4" s="91">
        <f t="shared" ref="P4:P19" si="2">AVERAGE(O4,K4,G4)</f>
        <v>2192368571.4285712</v>
      </c>
      <c r="Q4" s="91">
        <f t="shared" ref="Q4:Q19" si="3">STDEV(O4,K4,G4)</f>
        <v>130422046.05801573</v>
      </c>
      <c r="R4" s="92">
        <f>LOG(P4)</f>
        <v>9.3409135676416426</v>
      </c>
    </row>
    <row r="5" spans="2:18">
      <c r="B5" s="89" t="s">
        <v>187</v>
      </c>
      <c r="C5" s="90">
        <v>500</v>
      </c>
      <c r="D5" s="90">
        <v>2</v>
      </c>
      <c r="E5" s="90">
        <v>16544</v>
      </c>
      <c r="F5" s="90">
        <v>7</v>
      </c>
      <c r="G5" s="88">
        <f t="shared" ref="G5:G19" si="4">(E5/F5)*(10.2)*POWER(10,D5+2)</f>
        <v>241069714.2857143</v>
      </c>
      <c r="H5" s="90">
        <v>2</v>
      </c>
      <c r="I5" s="90">
        <v>15924</v>
      </c>
      <c r="J5" s="90">
        <v>7</v>
      </c>
      <c r="K5" s="88">
        <f t="shared" si="0"/>
        <v>232035428.57142854</v>
      </c>
      <c r="L5" s="90">
        <v>2</v>
      </c>
      <c r="M5" s="90">
        <v>15173</v>
      </c>
      <c r="N5" s="90">
        <v>7</v>
      </c>
      <c r="O5" s="88">
        <f t="shared" si="1"/>
        <v>221092285.71428567</v>
      </c>
      <c r="P5" s="91">
        <f t="shared" si="2"/>
        <v>231399142.85714284</v>
      </c>
      <c r="Q5" s="91">
        <f t="shared" si="3"/>
        <v>10003902.124385577</v>
      </c>
      <c r="R5" s="92">
        <f t="shared" ref="R5:R19" si="5">LOG(P5)</f>
        <v>8.3643617459160655</v>
      </c>
    </row>
    <row r="6" spans="2:18">
      <c r="B6" s="89" t="s">
        <v>188</v>
      </c>
      <c r="C6" s="90">
        <v>500</v>
      </c>
      <c r="D6" s="90">
        <v>1</v>
      </c>
      <c r="E6" s="90">
        <v>18107</v>
      </c>
      <c r="F6" s="90">
        <v>7</v>
      </c>
      <c r="G6" s="88">
        <f t="shared" si="4"/>
        <v>26384485.714285713</v>
      </c>
      <c r="H6" s="90">
        <v>1</v>
      </c>
      <c r="I6" s="90">
        <v>18423</v>
      </c>
      <c r="J6" s="90">
        <v>7</v>
      </c>
      <c r="K6" s="88">
        <f t="shared" si="0"/>
        <v>26844942.857142854</v>
      </c>
      <c r="L6" s="90">
        <v>1</v>
      </c>
      <c r="M6" s="90">
        <v>17005</v>
      </c>
      <c r="N6" s="90">
        <v>7</v>
      </c>
      <c r="O6" s="88">
        <f t="shared" si="1"/>
        <v>24778714.285714284</v>
      </c>
      <c r="P6" s="91">
        <f t="shared" si="2"/>
        <v>26002714.285714284</v>
      </c>
      <c r="Q6" s="91">
        <f t="shared" si="3"/>
        <v>1084729.0883451225</v>
      </c>
      <c r="R6" s="92">
        <f t="shared" si="5"/>
        <v>7.4150186840393397</v>
      </c>
    </row>
    <row r="7" spans="2:18">
      <c r="B7" s="89" t="s">
        <v>189</v>
      </c>
      <c r="C7" s="90">
        <v>500</v>
      </c>
      <c r="D7" s="90">
        <v>1</v>
      </c>
      <c r="E7" s="90">
        <v>1825</v>
      </c>
      <c r="F7" s="90">
        <v>7</v>
      </c>
      <c r="G7" s="88">
        <f t="shared" si="4"/>
        <v>2659285.7142857141</v>
      </c>
      <c r="H7" s="90">
        <v>1</v>
      </c>
      <c r="I7" s="90">
        <v>1808</v>
      </c>
      <c r="J7" s="90">
        <v>7</v>
      </c>
      <c r="K7" s="88">
        <f t="shared" si="0"/>
        <v>2634514.2857142854</v>
      </c>
      <c r="L7" s="90">
        <v>1</v>
      </c>
      <c r="M7" s="90">
        <v>1822</v>
      </c>
      <c r="N7" s="90">
        <v>7</v>
      </c>
      <c r="O7" s="88">
        <f t="shared" si="1"/>
        <v>2654914.2857142854</v>
      </c>
      <c r="P7" s="91">
        <f t="shared" si="2"/>
        <v>2649571.4285714286</v>
      </c>
      <c r="Q7" s="91">
        <f t="shared" si="3"/>
        <v>13221.78165770719</v>
      </c>
      <c r="R7" s="92">
        <f t="shared" si="5"/>
        <v>6.4231756319523594</v>
      </c>
    </row>
    <row r="8" spans="2:18">
      <c r="B8" s="89" t="s">
        <v>190</v>
      </c>
      <c r="C8" s="90">
        <v>500</v>
      </c>
      <c r="D8" s="90">
        <v>0</v>
      </c>
      <c r="E8" s="90">
        <v>2306</v>
      </c>
      <c r="F8" s="90">
        <v>7</v>
      </c>
      <c r="G8" s="88">
        <f t="shared" si="4"/>
        <v>336017.14285714284</v>
      </c>
      <c r="H8" s="90">
        <v>0</v>
      </c>
      <c r="I8" s="90">
        <v>2052</v>
      </c>
      <c r="J8" s="90">
        <v>7</v>
      </c>
      <c r="K8" s="88">
        <f t="shared" si="0"/>
        <v>299005.71428571432</v>
      </c>
      <c r="L8" s="90">
        <v>0</v>
      </c>
      <c r="M8" s="90">
        <v>2049</v>
      </c>
      <c r="N8" s="90">
        <v>7</v>
      </c>
      <c r="O8" s="88">
        <f t="shared" si="1"/>
        <v>298568.57142857142</v>
      </c>
      <c r="P8" s="91">
        <f t="shared" si="2"/>
        <v>311197.14285714284</v>
      </c>
      <c r="Q8" s="91">
        <f t="shared" si="3"/>
        <v>21495.861775453133</v>
      </c>
      <c r="R8" s="92">
        <f t="shared" si="5"/>
        <v>5.4930356010198587</v>
      </c>
    </row>
    <row r="9" spans="2:18">
      <c r="B9" s="89" t="s">
        <v>191</v>
      </c>
      <c r="C9" s="90">
        <v>1000</v>
      </c>
      <c r="D9" s="90">
        <v>3</v>
      </c>
      <c r="E9" s="90">
        <v>13995</v>
      </c>
      <c r="F9" s="90">
        <v>7</v>
      </c>
      <c r="G9" s="88">
        <f t="shared" si="4"/>
        <v>2039271428.5714283</v>
      </c>
      <c r="H9" s="90">
        <v>3</v>
      </c>
      <c r="I9" s="90">
        <v>13769</v>
      </c>
      <c r="J9" s="90">
        <v>7</v>
      </c>
      <c r="K9" s="88">
        <f t="shared" si="0"/>
        <v>2006339999.9999998</v>
      </c>
      <c r="L9" s="90">
        <v>3</v>
      </c>
      <c r="M9" s="90">
        <v>15093</v>
      </c>
      <c r="N9" s="90">
        <v>7</v>
      </c>
      <c r="O9" s="88">
        <f t="shared" si="1"/>
        <v>2199265714.2857146</v>
      </c>
      <c r="P9" s="91">
        <f t="shared" si="2"/>
        <v>2081625714.2857141</v>
      </c>
      <c r="Q9" s="91">
        <f t="shared" si="3"/>
        <v>103201244.89045103</v>
      </c>
      <c r="R9" s="92">
        <f t="shared" si="5"/>
        <v>9.3184026440827186</v>
      </c>
    </row>
    <row r="10" spans="2:18">
      <c r="B10" s="89" t="s">
        <v>192</v>
      </c>
      <c r="C10" s="90">
        <v>900</v>
      </c>
      <c r="D10" s="90">
        <v>3</v>
      </c>
      <c r="E10" s="90">
        <v>6387</v>
      </c>
      <c r="F10" s="90">
        <v>7</v>
      </c>
      <c r="G10" s="88">
        <f t="shared" si="4"/>
        <v>930677142.85714281</v>
      </c>
      <c r="H10" s="90">
        <v>3</v>
      </c>
      <c r="I10" s="90">
        <v>7378</v>
      </c>
      <c r="J10" s="90">
        <v>7</v>
      </c>
      <c r="K10" s="88">
        <f t="shared" si="0"/>
        <v>1075080000</v>
      </c>
      <c r="L10" s="90">
        <v>3</v>
      </c>
      <c r="M10" s="90">
        <v>6564</v>
      </c>
      <c r="N10" s="90">
        <v>7</v>
      </c>
      <c r="O10" s="88">
        <f t="shared" si="1"/>
        <v>956468571.42857134</v>
      </c>
      <c r="P10" s="91">
        <f t="shared" si="2"/>
        <v>987408571.42857134</v>
      </c>
      <c r="Q10" s="91">
        <f t="shared" si="3"/>
        <v>77013044.270143658</v>
      </c>
      <c r="R10" s="92">
        <f t="shared" si="5"/>
        <v>8.9944968928936131</v>
      </c>
    </row>
    <row r="11" spans="2:18">
      <c r="B11" s="89" t="s">
        <v>193</v>
      </c>
      <c r="C11" s="90">
        <v>900</v>
      </c>
      <c r="D11" s="90">
        <v>3</v>
      </c>
      <c r="E11" s="90">
        <v>3341</v>
      </c>
      <c r="F11" s="90">
        <v>7</v>
      </c>
      <c r="G11" s="88">
        <f t="shared" si="4"/>
        <v>486831428.5714286</v>
      </c>
      <c r="H11" s="90">
        <v>3</v>
      </c>
      <c r="I11" s="90">
        <v>3712</v>
      </c>
      <c r="J11" s="90">
        <v>7</v>
      </c>
      <c r="K11" s="88">
        <f t="shared" si="0"/>
        <v>540891428.57142866</v>
      </c>
      <c r="L11" s="90">
        <v>3</v>
      </c>
      <c r="M11" s="90">
        <v>3690</v>
      </c>
      <c r="N11" s="90">
        <v>7</v>
      </c>
      <c r="O11" s="88">
        <f t="shared" si="1"/>
        <v>537685714.28571427</v>
      </c>
      <c r="P11" s="91">
        <f t="shared" si="2"/>
        <v>521802857.14285713</v>
      </c>
      <c r="Q11" s="91">
        <f t="shared" si="3"/>
        <v>30328530.516088422</v>
      </c>
      <c r="R11" s="92">
        <f t="shared" si="5"/>
        <v>8.7175064527595634</v>
      </c>
    </row>
    <row r="12" spans="2:18">
      <c r="B12" s="89" t="s">
        <v>194</v>
      </c>
      <c r="C12" s="90">
        <v>900</v>
      </c>
      <c r="D12" s="90">
        <v>2</v>
      </c>
      <c r="E12" s="90">
        <v>19134</v>
      </c>
      <c r="F12" s="90">
        <v>7</v>
      </c>
      <c r="G12" s="88">
        <f>(E12/F12)*(10.2)*POWER(10,D12+2)</f>
        <v>278809714.28571427</v>
      </c>
      <c r="H12" s="90">
        <v>2</v>
      </c>
      <c r="I12" s="90">
        <v>18838</v>
      </c>
      <c r="J12" s="90">
        <v>7</v>
      </c>
      <c r="K12" s="88">
        <f t="shared" si="0"/>
        <v>274496571.42857146</v>
      </c>
      <c r="L12" s="90">
        <v>2</v>
      </c>
      <c r="M12" s="90">
        <v>18096</v>
      </c>
      <c r="N12" s="90">
        <v>7</v>
      </c>
      <c r="O12" s="88">
        <f t="shared" si="1"/>
        <v>263684571.42857143</v>
      </c>
      <c r="P12" s="91">
        <f t="shared" si="2"/>
        <v>272330285.71428573</v>
      </c>
      <c r="Q12" s="91">
        <f t="shared" si="3"/>
        <v>7791795.8109272597</v>
      </c>
      <c r="R12" s="92">
        <f t="shared" si="5"/>
        <v>8.4350959416969342</v>
      </c>
    </row>
    <row r="13" spans="2:18">
      <c r="B13" s="89" t="s">
        <v>195</v>
      </c>
      <c r="C13" s="90">
        <v>900</v>
      </c>
      <c r="D13" s="90">
        <v>2</v>
      </c>
      <c r="E13" s="90">
        <v>9224</v>
      </c>
      <c r="F13" s="90">
        <v>7</v>
      </c>
      <c r="G13" s="88">
        <f t="shared" si="4"/>
        <v>134406857.14285713</v>
      </c>
      <c r="H13" s="90">
        <v>2</v>
      </c>
      <c r="I13" s="90">
        <v>9341</v>
      </c>
      <c r="J13" s="90">
        <v>7</v>
      </c>
      <c r="K13" s="88">
        <f t="shared" si="0"/>
        <v>136111714.28571427</v>
      </c>
      <c r="L13" s="90">
        <v>2</v>
      </c>
      <c r="M13" s="90">
        <v>9173</v>
      </c>
      <c r="N13" s="90">
        <v>7</v>
      </c>
      <c r="O13" s="88">
        <f t="shared" si="1"/>
        <v>133663714.28571427</v>
      </c>
      <c r="P13" s="91">
        <f t="shared" si="2"/>
        <v>134727428.57142857</v>
      </c>
      <c r="Q13" s="91">
        <f t="shared" si="3"/>
        <v>1255089.8496172463</v>
      </c>
      <c r="R13" s="92">
        <f t="shared" si="5"/>
        <v>8.1294560208497231</v>
      </c>
    </row>
    <row r="14" spans="2:18">
      <c r="B14" s="89" t="s">
        <v>196</v>
      </c>
      <c r="C14" s="90">
        <v>900</v>
      </c>
      <c r="D14" s="90">
        <v>2</v>
      </c>
      <c r="E14" s="90">
        <v>4238</v>
      </c>
      <c r="F14" s="90">
        <v>7</v>
      </c>
      <c r="G14" s="88">
        <f t="shared" si="4"/>
        <v>61753714.285714284</v>
      </c>
      <c r="H14" s="90">
        <v>2</v>
      </c>
      <c r="I14" s="90">
        <v>4832</v>
      </c>
      <c r="J14" s="90">
        <v>7</v>
      </c>
      <c r="K14" s="88">
        <f t="shared" si="0"/>
        <v>70409142.857142866</v>
      </c>
      <c r="L14" s="90">
        <v>2</v>
      </c>
      <c r="M14" s="90">
        <v>4770</v>
      </c>
      <c r="N14" s="90">
        <v>7</v>
      </c>
      <c r="O14" s="88">
        <f t="shared" si="1"/>
        <v>69505714.285714284</v>
      </c>
      <c r="P14" s="91">
        <f t="shared" si="2"/>
        <v>67222857.142857134</v>
      </c>
      <c r="Q14" s="91">
        <f t="shared" si="3"/>
        <v>4757907.9950957391</v>
      </c>
      <c r="R14" s="92">
        <f t="shared" si="5"/>
        <v>7.8275169671487372</v>
      </c>
    </row>
    <row r="15" spans="2:18">
      <c r="B15" s="89" t="s">
        <v>197</v>
      </c>
      <c r="C15" s="90">
        <v>900</v>
      </c>
      <c r="D15" s="90">
        <v>1</v>
      </c>
      <c r="E15" s="90">
        <v>22411</v>
      </c>
      <c r="F15" s="90">
        <v>7</v>
      </c>
      <c r="G15" s="88">
        <f t="shared" si="4"/>
        <v>32656028.571428567</v>
      </c>
      <c r="H15" s="90">
        <v>1</v>
      </c>
      <c r="I15" s="90">
        <v>23826</v>
      </c>
      <c r="J15" s="90">
        <v>7</v>
      </c>
      <c r="K15" s="88">
        <f t="shared" si="0"/>
        <v>34717885.714285716</v>
      </c>
      <c r="L15" s="90">
        <v>1</v>
      </c>
      <c r="M15" s="90">
        <v>24471</v>
      </c>
      <c r="N15" s="90">
        <v>7</v>
      </c>
      <c r="O15" s="88">
        <f t="shared" si="1"/>
        <v>35657742.857142851</v>
      </c>
      <c r="P15" s="91">
        <f t="shared" si="2"/>
        <v>34343885.714285709</v>
      </c>
      <c r="Q15" s="91">
        <f t="shared" si="3"/>
        <v>1535408.4678890193</v>
      </c>
      <c r="R15" s="92">
        <f t="shared" si="5"/>
        <v>7.5358494302775298</v>
      </c>
    </row>
    <row r="16" spans="2:18">
      <c r="B16" s="89" t="s">
        <v>198</v>
      </c>
      <c r="C16" s="90">
        <v>900</v>
      </c>
      <c r="D16" s="90">
        <v>1</v>
      </c>
      <c r="E16" s="90">
        <v>12012</v>
      </c>
      <c r="F16" s="90">
        <v>7</v>
      </c>
      <c r="G16" s="88">
        <f t="shared" si="4"/>
        <v>17503199.999999996</v>
      </c>
      <c r="H16" s="90">
        <v>1</v>
      </c>
      <c r="I16" s="90">
        <v>12668</v>
      </c>
      <c r="J16" s="90">
        <v>7</v>
      </c>
      <c r="K16" s="88">
        <f t="shared" si="0"/>
        <v>18459085.714285713</v>
      </c>
      <c r="L16" s="90">
        <v>1</v>
      </c>
      <c r="M16" s="90">
        <v>11470</v>
      </c>
      <c r="N16" s="90">
        <v>7</v>
      </c>
      <c r="O16" s="88">
        <f t="shared" si="1"/>
        <v>16713428.571428573</v>
      </c>
      <c r="P16" s="91">
        <f t="shared" si="2"/>
        <v>17558571.428571429</v>
      </c>
      <c r="Q16" s="91">
        <f t="shared" si="3"/>
        <v>874144.84579420183</v>
      </c>
      <c r="R16" s="92">
        <f t="shared" si="5"/>
        <v>7.2444891786585481</v>
      </c>
    </row>
    <row r="17" spans="2:18">
      <c r="B17" s="89" t="s">
        <v>199</v>
      </c>
      <c r="C17" s="90">
        <v>900</v>
      </c>
      <c r="D17" s="90">
        <v>1</v>
      </c>
      <c r="E17" s="90">
        <v>5750</v>
      </c>
      <c r="F17" s="90">
        <v>7</v>
      </c>
      <c r="G17" s="88">
        <f t="shared" si="4"/>
        <v>8378571.4285714272</v>
      </c>
      <c r="H17" s="90">
        <v>1</v>
      </c>
      <c r="I17" s="90">
        <v>5481</v>
      </c>
      <c r="J17" s="90">
        <v>7</v>
      </c>
      <c r="K17" s="88">
        <f t="shared" si="0"/>
        <v>7986599.9999999991</v>
      </c>
      <c r="L17" s="90">
        <v>1</v>
      </c>
      <c r="M17" s="90">
        <v>5831</v>
      </c>
      <c r="N17" s="90">
        <v>7</v>
      </c>
      <c r="O17" s="88">
        <f t="shared" si="1"/>
        <v>8496599.9999999981</v>
      </c>
      <c r="P17" s="91">
        <f t="shared" si="2"/>
        <v>8287257.1428571418</v>
      </c>
      <c r="Q17" s="91">
        <f t="shared" si="3"/>
        <v>266980.75601367303</v>
      </c>
      <c r="R17" s="92">
        <f t="shared" si="5"/>
        <v>6.9184108146481318</v>
      </c>
    </row>
    <row r="18" spans="2:18">
      <c r="B18" s="89" t="s">
        <v>200</v>
      </c>
      <c r="C18" s="90">
        <v>900</v>
      </c>
      <c r="D18" s="90">
        <v>1</v>
      </c>
      <c r="E18" s="90">
        <v>2868</v>
      </c>
      <c r="F18" s="90">
        <v>7</v>
      </c>
      <c r="G18" s="88">
        <f t="shared" si="4"/>
        <v>4179085.7142857141</v>
      </c>
      <c r="H18" s="90">
        <v>1</v>
      </c>
      <c r="I18" s="90">
        <v>2835</v>
      </c>
      <c r="J18" s="90">
        <v>7</v>
      </c>
      <c r="K18" s="88">
        <f t="shared" si="0"/>
        <v>4131000</v>
      </c>
      <c r="L18" s="90">
        <v>1</v>
      </c>
      <c r="M18" s="90">
        <v>2976</v>
      </c>
      <c r="N18" s="90">
        <v>7</v>
      </c>
      <c r="O18" s="88">
        <f t="shared" si="1"/>
        <v>4336457.1428571427</v>
      </c>
      <c r="P18" s="91">
        <f t="shared" si="2"/>
        <v>4215514.2857142854</v>
      </c>
      <c r="Q18" s="91">
        <f t="shared" si="3"/>
        <v>107463.6682790979</v>
      </c>
      <c r="R18" s="92">
        <f t="shared" si="5"/>
        <v>6.6248505653956435</v>
      </c>
    </row>
    <row r="19" spans="2:18">
      <c r="B19" s="89" t="s">
        <v>201</v>
      </c>
      <c r="C19" s="90">
        <v>900</v>
      </c>
      <c r="D19" s="90">
        <v>0</v>
      </c>
      <c r="E19" s="90">
        <v>10096</v>
      </c>
      <c r="F19" s="90">
        <v>7</v>
      </c>
      <c r="G19" s="88">
        <f t="shared" si="4"/>
        <v>1471131.4285714284</v>
      </c>
      <c r="H19" s="90">
        <v>0</v>
      </c>
      <c r="I19" s="90">
        <v>8923</v>
      </c>
      <c r="J19" s="90">
        <v>7</v>
      </c>
      <c r="K19" s="88">
        <f>(I19/J19)*(10.2)*POWER(10,H19+2)</f>
        <v>1300208.5714285716</v>
      </c>
      <c r="L19" s="90">
        <v>0</v>
      </c>
      <c r="M19" s="90">
        <v>8050</v>
      </c>
      <c r="N19" s="90">
        <v>7</v>
      </c>
      <c r="O19" s="88">
        <f t="shared" si="1"/>
        <v>1173000</v>
      </c>
      <c r="P19" s="91">
        <f t="shared" si="2"/>
        <v>1314780</v>
      </c>
      <c r="Q19" s="91">
        <f t="shared" si="3"/>
        <v>149598.9039848533</v>
      </c>
      <c r="R19" s="92">
        <f t="shared" si="5"/>
        <v>6.118853089115321</v>
      </c>
    </row>
    <row r="20" spans="2:18" ht="15" thickBot="1">
      <c r="H20" s="90"/>
      <c r="I20" s="90"/>
      <c r="J20" s="90"/>
    </row>
    <row r="21" spans="2:18" ht="55" customHeight="1" thickBot="1"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208</v>
      </c>
      <c r="J21" s="95" t="s">
        <v>209</v>
      </c>
      <c r="K21" s="95" t="s">
        <v>210</v>
      </c>
      <c r="L21" s="95" t="s">
        <v>211</v>
      </c>
      <c r="M21" s="96" t="s">
        <v>212</v>
      </c>
    </row>
    <row r="23" spans="2:18">
      <c r="B23" s="89" t="s">
        <v>186</v>
      </c>
      <c r="C23" s="97">
        <v>16.382114410400391</v>
      </c>
      <c r="D23" s="97">
        <v>16.2430419921875</v>
      </c>
      <c r="E23" s="97">
        <v>16.416009902954102</v>
      </c>
      <c r="F23" s="97">
        <f>AVERAGE(C23:E23)</f>
        <v>16.347055435180664</v>
      </c>
      <c r="G23" s="83">
        <f>15*180/4*1000/900</f>
        <v>750</v>
      </c>
      <c r="H23" s="83">
        <f>LOG(G23)/LOG(2)</f>
        <v>9.5507467853832431</v>
      </c>
      <c r="I23" s="90">
        <f>C23-H23</f>
        <v>6.8313676250171476</v>
      </c>
      <c r="J23" s="90">
        <f>D23-H23</f>
        <v>6.6922952068042569</v>
      </c>
      <c r="K23" s="90">
        <f>E23-H23</f>
        <v>6.8652631175708585</v>
      </c>
      <c r="L23" s="98">
        <f>AVERAGE(I23:K23)</f>
        <v>6.796308649797421</v>
      </c>
    </row>
    <row r="24" spans="2:18">
      <c r="B24" s="89" t="s">
        <v>187</v>
      </c>
      <c r="C24" s="97">
        <v>20.246736526489258</v>
      </c>
      <c r="D24" s="97">
        <v>20.337041854858398</v>
      </c>
      <c r="E24" s="97">
        <v>20.223323822021484</v>
      </c>
      <c r="F24" s="97">
        <f t="shared" ref="F24:F38" si="6">AVERAGE(C24:E24)</f>
        <v>20.269034067789715</v>
      </c>
      <c r="G24" s="83">
        <f t="shared" ref="G24:G26" si="7">15*180/4*1000/900</f>
        <v>750</v>
      </c>
      <c r="H24" s="83">
        <f t="shared" ref="H24:H37" si="8">LOG(G24)/LOG(2)</f>
        <v>9.5507467853832431</v>
      </c>
      <c r="I24" s="90">
        <f t="shared" ref="I24:I38" si="9">C24-H24</f>
        <v>10.695989741106015</v>
      </c>
      <c r="J24" s="90">
        <f t="shared" ref="J24:J38" si="10">D24-H24</f>
        <v>10.786295069475155</v>
      </c>
      <c r="K24" s="90">
        <f t="shared" ref="K24:K38" si="11">E24-H24</f>
        <v>10.672577036638241</v>
      </c>
      <c r="L24" s="98">
        <f t="shared" ref="L24:L38" si="12">AVERAGE(I24:K24)</f>
        <v>10.71828728240647</v>
      </c>
    </row>
    <row r="25" spans="2:18">
      <c r="B25" s="89" t="s">
        <v>188</v>
      </c>
      <c r="C25" s="97">
        <v>23.471084594726562</v>
      </c>
      <c r="D25" s="97">
        <v>23.434993743896484</v>
      </c>
      <c r="E25" s="97">
        <v>23.65556526184082</v>
      </c>
      <c r="F25" s="97">
        <f t="shared" si="6"/>
        <v>23.520547866821289</v>
      </c>
      <c r="G25" s="83">
        <f t="shared" si="7"/>
        <v>750</v>
      </c>
      <c r="H25" s="83">
        <f t="shared" si="8"/>
        <v>9.5507467853832431</v>
      </c>
      <c r="I25" s="90">
        <f t="shared" si="9"/>
        <v>13.920337809343319</v>
      </c>
      <c r="J25" s="90">
        <f t="shared" si="10"/>
        <v>13.884246958513241</v>
      </c>
      <c r="K25" s="90">
        <f t="shared" si="11"/>
        <v>14.104818476457577</v>
      </c>
      <c r="L25" s="98">
        <f t="shared" si="12"/>
        <v>13.969801081438044</v>
      </c>
    </row>
    <row r="26" spans="2:18">
      <c r="B26" s="89" t="s">
        <v>189</v>
      </c>
      <c r="C26" s="97">
        <v>27.687118530273438</v>
      </c>
      <c r="D26" s="97">
        <v>27.683933258056641</v>
      </c>
      <c r="E26" s="97">
        <v>27.721792221069336</v>
      </c>
      <c r="F26" s="97">
        <f t="shared" si="6"/>
        <v>27.697614669799805</v>
      </c>
      <c r="G26" s="83">
        <f t="shared" si="7"/>
        <v>750</v>
      </c>
      <c r="H26" s="83">
        <f t="shared" si="8"/>
        <v>9.5507467853832431</v>
      </c>
      <c r="I26" s="90">
        <f t="shared" si="9"/>
        <v>18.136371744890194</v>
      </c>
      <c r="J26" s="90">
        <f t="shared" si="10"/>
        <v>18.133186472673398</v>
      </c>
      <c r="K26" s="90">
        <f t="shared" si="11"/>
        <v>18.171045435686093</v>
      </c>
      <c r="L26" s="98">
        <f t="shared" si="12"/>
        <v>18.146867884416562</v>
      </c>
    </row>
    <row r="27" spans="2:18">
      <c r="B27" s="89" t="s">
        <v>190</v>
      </c>
      <c r="C27" s="97">
        <v>31.580327987670898</v>
      </c>
      <c r="D27" s="97">
        <v>31.876550674438477</v>
      </c>
      <c r="E27" s="97">
        <v>31.972114562988281</v>
      </c>
      <c r="F27" s="97">
        <f t="shared" si="6"/>
        <v>31.809664408365887</v>
      </c>
      <c r="G27" s="83">
        <f>15*180/4*1000/900</f>
        <v>750</v>
      </c>
      <c r="H27" s="83">
        <f>LOG(G27)/LOG(2)</f>
        <v>9.5507467853832431</v>
      </c>
      <c r="I27" s="90">
        <f t="shared" si="9"/>
        <v>22.029581202287655</v>
      </c>
      <c r="J27" s="90">
        <f t="shared" si="10"/>
        <v>22.325803889055233</v>
      </c>
      <c r="K27" s="90">
        <f t="shared" si="11"/>
        <v>22.421367777605038</v>
      </c>
      <c r="L27" s="98">
        <f t="shared" si="12"/>
        <v>22.25891762298264</v>
      </c>
    </row>
    <row r="28" spans="2:18">
      <c r="B28" s="89" t="s">
        <v>191</v>
      </c>
      <c r="C28" s="97">
        <v>16.648801803588867</v>
      </c>
      <c r="D28" s="97">
        <v>17.485513687133789</v>
      </c>
      <c r="E28" s="97">
        <v>16.725131988525391</v>
      </c>
      <c r="F28" s="97">
        <f t="shared" si="6"/>
        <v>16.953149159749348</v>
      </c>
      <c r="G28" s="83">
        <f>15*180/4*1000/1000</f>
        <v>675</v>
      </c>
      <c r="H28" s="83">
        <f t="shared" ref="H28:H36" si="13">LOG(G28)/LOG(2)</f>
        <v>9.3987436919381935</v>
      </c>
      <c r="I28" s="90">
        <f t="shared" si="9"/>
        <v>7.2500581116506737</v>
      </c>
      <c r="J28" s="90">
        <f t="shared" si="10"/>
        <v>8.0867699951955956</v>
      </c>
      <c r="K28" s="90">
        <f t="shared" si="11"/>
        <v>7.3263882965871971</v>
      </c>
      <c r="L28" s="98">
        <f t="shared" si="12"/>
        <v>7.5544054678111552</v>
      </c>
    </row>
    <row r="29" spans="2:18">
      <c r="B29" s="89" t="s">
        <v>192</v>
      </c>
      <c r="C29" s="97">
        <v>19.15205192565918</v>
      </c>
      <c r="D29" s="97">
        <v>18.957448959350586</v>
      </c>
      <c r="E29" s="97">
        <v>18.855649948120117</v>
      </c>
      <c r="F29" s="97">
        <f t="shared" si="6"/>
        <v>18.988383611043293</v>
      </c>
      <c r="G29" s="83">
        <f>15*180/4*1000/500</f>
        <v>1350</v>
      </c>
      <c r="H29" s="83">
        <f t="shared" si="13"/>
        <v>10.398743691938193</v>
      </c>
      <c r="I29" s="90">
        <f t="shared" si="9"/>
        <v>8.7533082337209862</v>
      </c>
      <c r="J29" s="90">
        <f t="shared" si="10"/>
        <v>8.5587052674123925</v>
      </c>
      <c r="K29" s="90">
        <f t="shared" si="11"/>
        <v>8.4569062561819237</v>
      </c>
      <c r="L29" s="98">
        <f t="shared" si="12"/>
        <v>8.5896399191051014</v>
      </c>
    </row>
    <row r="30" spans="2:18">
      <c r="B30" s="89" t="s">
        <v>193</v>
      </c>
      <c r="C30" s="97">
        <v>19.934587478637695</v>
      </c>
      <c r="D30" s="97">
        <v>19.768661499023438</v>
      </c>
      <c r="E30" s="97">
        <v>19.823604583740234</v>
      </c>
      <c r="F30" s="97">
        <f t="shared" si="6"/>
        <v>19.842284520467121</v>
      </c>
      <c r="G30" s="83">
        <f t="shared" ref="G30:G38" si="14">15*180/4*1000/500</f>
        <v>1350</v>
      </c>
      <c r="H30" s="83">
        <f t="shared" si="13"/>
        <v>10.398743691938193</v>
      </c>
      <c r="I30" s="90">
        <f t="shared" si="9"/>
        <v>9.5358437866995018</v>
      </c>
      <c r="J30" s="90">
        <f t="shared" si="10"/>
        <v>9.369917807085244</v>
      </c>
      <c r="K30" s="90">
        <f t="shared" si="11"/>
        <v>9.4248608918020409</v>
      </c>
      <c r="L30" s="98">
        <f t="shared" si="12"/>
        <v>9.4435408285289295</v>
      </c>
    </row>
    <row r="31" spans="2:18">
      <c r="B31" s="89" t="s">
        <v>194</v>
      </c>
      <c r="C31" s="97">
        <v>20.650510787963867</v>
      </c>
      <c r="D31" s="97">
        <v>20.447122573852539</v>
      </c>
      <c r="E31" s="97">
        <v>20.447004318237305</v>
      </c>
      <c r="F31" s="97">
        <f t="shared" si="6"/>
        <v>20.51487922668457</v>
      </c>
      <c r="G31" s="83">
        <f t="shared" si="14"/>
        <v>1350</v>
      </c>
      <c r="H31" s="83">
        <f t="shared" si="13"/>
        <v>10.398743691938193</v>
      </c>
      <c r="I31" s="90">
        <f t="shared" si="9"/>
        <v>10.251767096025674</v>
      </c>
      <c r="J31" s="90">
        <f t="shared" si="10"/>
        <v>10.048378881914346</v>
      </c>
      <c r="K31" s="90">
        <f t="shared" si="11"/>
        <v>10.048260626299111</v>
      </c>
      <c r="L31" s="98">
        <f t="shared" si="12"/>
        <v>10.116135534746377</v>
      </c>
    </row>
    <row r="32" spans="2:18">
      <c r="B32" s="89" t="s">
        <v>195</v>
      </c>
      <c r="C32" s="97">
        <v>21.825428009033203</v>
      </c>
      <c r="D32" s="97">
        <v>21.617404937744141</v>
      </c>
      <c r="E32" s="97">
        <v>21.863065719604492</v>
      </c>
      <c r="F32" s="97">
        <f t="shared" si="6"/>
        <v>21.768632888793945</v>
      </c>
      <c r="G32" s="83">
        <f t="shared" si="14"/>
        <v>1350</v>
      </c>
      <c r="H32" s="83">
        <f t="shared" si="13"/>
        <v>10.398743691938193</v>
      </c>
      <c r="I32" s="90">
        <f t="shared" si="9"/>
        <v>11.42668431709501</v>
      </c>
      <c r="J32" s="90">
        <f t="shared" si="10"/>
        <v>11.218661245805947</v>
      </c>
      <c r="K32" s="90">
        <f t="shared" si="11"/>
        <v>11.464322027666299</v>
      </c>
      <c r="L32" s="98">
        <f t="shared" si="12"/>
        <v>11.369889196855752</v>
      </c>
    </row>
    <row r="33" spans="2:12">
      <c r="B33" s="89" t="s">
        <v>196</v>
      </c>
      <c r="C33" s="97">
        <v>22.909189224243164</v>
      </c>
      <c r="D33" s="97">
        <v>22.986705780029297</v>
      </c>
      <c r="E33" s="97">
        <v>23.151363372802734</v>
      </c>
      <c r="F33" s="97">
        <f t="shared" si="6"/>
        <v>23.015752792358398</v>
      </c>
      <c r="G33" s="83">
        <f>15*180/4*1000/500</f>
        <v>1350</v>
      </c>
      <c r="H33" s="83">
        <f t="shared" si="13"/>
        <v>10.398743691938193</v>
      </c>
      <c r="I33" s="90">
        <f t="shared" si="9"/>
        <v>12.510445532304971</v>
      </c>
      <c r="J33" s="90">
        <f t="shared" si="10"/>
        <v>12.587962088091103</v>
      </c>
      <c r="K33" s="90">
        <f t="shared" si="11"/>
        <v>12.752619680864541</v>
      </c>
      <c r="L33" s="98">
        <f t="shared" si="12"/>
        <v>12.617009100420205</v>
      </c>
    </row>
    <row r="34" spans="2:12">
      <c r="B34" s="89" t="s">
        <v>197</v>
      </c>
      <c r="C34" s="97">
        <v>24.431295394897461</v>
      </c>
      <c r="D34" s="97">
        <v>24.009675979614258</v>
      </c>
      <c r="E34" s="97">
        <v>23.951196670532227</v>
      </c>
      <c r="F34" s="97">
        <f t="shared" si="6"/>
        <v>24.130722681681316</v>
      </c>
      <c r="G34" s="83">
        <f t="shared" si="14"/>
        <v>1350</v>
      </c>
      <c r="H34" s="83">
        <f t="shared" si="13"/>
        <v>10.398743691938193</v>
      </c>
      <c r="I34" s="90">
        <f t="shared" si="9"/>
        <v>14.032551702959267</v>
      </c>
      <c r="J34" s="90">
        <f t="shared" si="10"/>
        <v>13.610932287676064</v>
      </c>
      <c r="K34" s="90">
        <f t="shared" si="11"/>
        <v>13.552452978594033</v>
      </c>
      <c r="L34" s="98">
        <f t="shared" si="12"/>
        <v>13.731978989743121</v>
      </c>
    </row>
    <row r="35" spans="2:12">
      <c r="B35" s="89" t="s">
        <v>198</v>
      </c>
      <c r="C35" s="97">
        <v>25.132335662841797</v>
      </c>
      <c r="D35" s="97">
        <v>24.967596054077148</v>
      </c>
      <c r="E35" s="97">
        <v>25.03386116027832</v>
      </c>
      <c r="F35" s="97">
        <f t="shared" si="6"/>
        <v>25.044597625732422</v>
      </c>
      <c r="G35" s="83">
        <f t="shared" si="14"/>
        <v>1350</v>
      </c>
      <c r="H35" s="83">
        <f t="shared" si="13"/>
        <v>10.398743691938193</v>
      </c>
      <c r="I35" s="90">
        <f t="shared" si="9"/>
        <v>14.733591970903603</v>
      </c>
      <c r="J35" s="90">
        <f t="shared" si="10"/>
        <v>14.568852362138955</v>
      </c>
      <c r="K35" s="90">
        <f t="shared" si="11"/>
        <v>14.635117468340127</v>
      </c>
      <c r="L35" s="98">
        <f t="shared" si="12"/>
        <v>14.645853933794228</v>
      </c>
    </row>
    <row r="36" spans="2:12">
      <c r="B36" s="89" t="s">
        <v>198</v>
      </c>
      <c r="C36" s="97">
        <v>25.132335662841797</v>
      </c>
      <c r="D36" s="97">
        <v>26.763067245483398</v>
      </c>
      <c r="E36" s="97"/>
      <c r="F36" s="97">
        <f t="shared" si="6"/>
        <v>25.947701454162598</v>
      </c>
      <c r="G36" s="83">
        <f t="shared" si="14"/>
        <v>1350</v>
      </c>
      <c r="H36" s="83">
        <f t="shared" si="13"/>
        <v>10.398743691938193</v>
      </c>
      <c r="I36" s="90">
        <f t="shared" si="9"/>
        <v>14.733591970903603</v>
      </c>
      <c r="J36" s="90">
        <f t="shared" si="10"/>
        <v>16.364323553545205</v>
      </c>
      <c r="K36" s="90"/>
      <c r="L36" s="98">
        <f t="shared" si="12"/>
        <v>15.548957762224404</v>
      </c>
    </row>
    <row r="37" spans="2:12">
      <c r="B37" s="89" t="s">
        <v>200</v>
      </c>
      <c r="C37" s="97">
        <v>27.613700866699219</v>
      </c>
      <c r="D37" s="97">
        <v>27.812423706054688</v>
      </c>
      <c r="E37" s="97">
        <v>27.789873123168945</v>
      </c>
      <c r="F37" s="97">
        <f t="shared" si="6"/>
        <v>27.738665898640949</v>
      </c>
      <c r="G37" s="83">
        <f t="shared" si="14"/>
        <v>1350</v>
      </c>
      <c r="H37" s="83">
        <f t="shared" si="8"/>
        <v>10.398743691938193</v>
      </c>
      <c r="I37" s="90">
        <f t="shared" si="9"/>
        <v>17.214957174761025</v>
      </c>
      <c r="J37" s="90">
        <f t="shared" si="10"/>
        <v>17.413680014116494</v>
      </c>
      <c r="K37" s="90">
        <f t="shared" si="11"/>
        <v>17.391129431230752</v>
      </c>
      <c r="L37" s="98">
        <f t="shared" si="12"/>
        <v>17.339922206702756</v>
      </c>
    </row>
    <row r="38" spans="2:12">
      <c r="B38" s="89" t="s">
        <v>201</v>
      </c>
      <c r="C38" s="97">
        <v>29.07282829284668</v>
      </c>
      <c r="D38" s="97">
        <v>28.964012145996094</v>
      </c>
      <c r="E38" s="97">
        <v>29.311826705932617</v>
      </c>
      <c r="F38" s="97">
        <f t="shared" si="6"/>
        <v>29.116222381591797</v>
      </c>
      <c r="G38" s="83">
        <f t="shared" si="14"/>
        <v>1350</v>
      </c>
      <c r="H38" s="83">
        <f>AVERAGE(H27:H36)</f>
        <v>10.213944001282698</v>
      </c>
      <c r="I38" s="90">
        <f t="shared" si="9"/>
        <v>18.858884291563982</v>
      </c>
      <c r="J38" s="90">
        <f t="shared" si="10"/>
        <v>18.750068144713396</v>
      </c>
      <c r="K38" s="90">
        <f t="shared" si="11"/>
        <v>19.097882704649919</v>
      </c>
      <c r="L38" s="98">
        <f t="shared" si="12"/>
        <v>18.902278380309099</v>
      </c>
    </row>
    <row r="40" spans="2:12">
      <c r="B40" s="89" t="s">
        <v>213</v>
      </c>
      <c r="C40" s="97">
        <v>15.713388442993164</v>
      </c>
      <c r="D40" s="97">
        <v>15.726656913757324</v>
      </c>
      <c r="E40" s="97">
        <v>15.612536430358887</v>
      </c>
      <c r="F40" s="97">
        <f>AVERAGE(C40:E40)</f>
        <v>15.684193929036459</v>
      </c>
    </row>
    <row r="42" spans="2:12">
      <c r="B42" s="99" t="s">
        <v>214</v>
      </c>
      <c r="C42" s="83" t="s">
        <v>215</v>
      </c>
    </row>
    <row r="43" spans="2:12">
      <c r="B43" s="96" t="s">
        <v>216</v>
      </c>
      <c r="C43" s="83" t="s">
        <v>215</v>
      </c>
    </row>
    <row r="44" spans="2:12">
      <c r="C44" s="100" t="s">
        <v>217</v>
      </c>
      <c r="D44" s="98">
        <v>-3.6977000000000002</v>
      </c>
    </row>
    <row r="45" spans="2:12">
      <c r="C45" s="100" t="s">
        <v>218</v>
      </c>
      <c r="D45" s="98">
        <v>41.616</v>
      </c>
    </row>
    <row r="48" spans="2:12">
      <c r="B48" s="96" t="s">
        <v>219</v>
      </c>
      <c r="D48" s="83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2"/>
  <sheetViews>
    <sheetView topLeftCell="A44" workbookViewId="0">
      <selection activeCell="H73" sqref="H73"/>
    </sheetView>
  </sheetViews>
  <sheetFormatPr baseColWidth="10" defaultColWidth="8.83203125" defaultRowHeight="14" x14ac:dyDescent="0"/>
  <cols>
    <col min="1" max="1" width="13.33203125" style="83" bestFit="1" customWidth="1"/>
    <col min="2" max="4" width="8.83203125" style="83"/>
    <col min="5" max="6" width="13.33203125" style="83" bestFit="1" customWidth="1"/>
    <col min="7" max="10" width="13.6640625" style="83" customWidth="1"/>
    <col min="11" max="11" width="16.5" style="83" bestFit="1" customWidth="1"/>
    <col min="12" max="12" width="17" style="83" customWidth="1"/>
    <col min="13" max="13" width="19.1640625" style="83" customWidth="1"/>
    <col min="14" max="14" width="17" style="83" customWidth="1"/>
    <col min="15" max="15" width="18.83203125" style="83" customWidth="1"/>
    <col min="16" max="16" width="18" style="83" customWidth="1"/>
    <col min="17" max="17" width="23.5" style="83" customWidth="1"/>
    <col min="18" max="18" width="18.5" style="83" customWidth="1"/>
    <col min="19" max="19" width="23.5" style="83" customWidth="1"/>
    <col min="20" max="16384" width="8.83203125" style="83"/>
  </cols>
  <sheetData>
    <row r="1" spans="1:19">
      <c r="A1" s="101" t="s">
        <v>220</v>
      </c>
    </row>
    <row r="2" spans="1:19">
      <c r="A2" s="128" t="s">
        <v>4</v>
      </c>
      <c r="B2" s="128" t="s">
        <v>117</v>
      </c>
      <c r="C2" s="128" t="s">
        <v>117</v>
      </c>
      <c r="D2" s="128" t="s">
        <v>5</v>
      </c>
      <c r="E2" s="140" t="s">
        <v>221</v>
      </c>
      <c r="F2" s="140" t="s">
        <v>222</v>
      </c>
      <c r="G2" s="140" t="s">
        <v>223</v>
      </c>
      <c r="H2" s="142" t="s">
        <v>224</v>
      </c>
      <c r="I2" s="142" t="s">
        <v>225</v>
      </c>
      <c r="J2" s="142" t="s">
        <v>226</v>
      </c>
      <c r="K2" s="140" t="s">
        <v>227</v>
      </c>
      <c r="L2" s="140" t="s">
        <v>228</v>
      </c>
      <c r="M2" s="140" t="s">
        <v>229</v>
      </c>
      <c r="N2" s="140" t="s">
        <v>230</v>
      </c>
      <c r="O2" s="140" t="s">
        <v>231</v>
      </c>
      <c r="P2" s="142" t="s">
        <v>232</v>
      </c>
      <c r="Q2" s="142" t="s">
        <v>233</v>
      </c>
      <c r="R2" s="145" t="s">
        <v>234</v>
      </c>
      <c r="S2" s="142" t="s">
        <v>235</v>
      </c>
    </row>
    <row r="3" spans="1:19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6"/>
      <c r="S3" s="141"/>
    </row>
    <row r="4" spans="1:1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7">
        <v>24.268558502197266</v>
      </c>
      <c r="F4" s="97">
        <v>24.532552719116211</v>
      </c>
      <c r="G4" s="97">
        <v>24.178050994873047</v>
      </c>
      <c r="H4" s="97">
        <f>E4-$H$66+$H$72</f>
        <v>24.559096300963198</v>
      </c>
      <c r="I4" s="97">
        <f t="shared" ref="I4:J4" si="1">F4-$H$66+$H$72</f>
        <v>24.823090517882143</v>
      </c>
      <c r="J4" s="97">
        <f t="shared" si="1"/>
        <v>24.468588793638979</v>
      </c>
      <c r="K4" s="102">
        <f>((H4-'Calibration R. intestinalis '!$D$45)/('Calibration R. intestinalis '!$D$44))+$B$24</f>
        <v>8.2660539284484642</v>
      </c>
      <c r="L4" s="102">
        <f>((I4-'Calibration R. intestinalis '!$D$45)/('Calibration R. intestinalis '!$D$44))+$B$24</f>
        <v>8.1946597599331863</v>
      </c>
      <c r="M4" s="102">
        <f>((J4-'Calibration R. intestinalis '!$D$45)/('Calibration R. intestinalis '!$D$44))+$B$24</f>
        <v>8.2905306321627243</v>
      </c>
      <c r="N4" s="103">
        <f>AVERAGE(K4:M4)</f>
        <v>8.2504147735147928</v>
      </c>
      <c r="O4" s="103">
        <f>STDEV(K4:M4)</f>
        <v>4.9812080972316992E-2</v>
      </c>
      <c r="P4" s="98">
        <f>(AVERAGE(POWER(10,K4),POWER(10,L4),POWER(10,M4)))*Calculation!$I4/Calculation!$K3</f>
        <v>179097630.65991583</v>
      </c>
      <c r="Q4" s="104">
        <f>(STDEV(POWER(10,K4),POWER(10,L4),POWER(10,M4)))*Calculation!$I4/Calculation!$K3</f>
        <v>20004840.598392263</v>
      </c>
      <c r="R4" s="103">
        <f>LOG(P4)</f>
        <v>8.253089840465833</v>
      </c>
      <c r="S4" s="103">
        <f>O4*Calculation!$I4/Calculation!$K3</f>
        <v>4.9904329017040991E-2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105">
        <v>23.882007598876953</v>
      </c>
      <c r="F5" s="97">
        <v>24.057624816894531</v>
      </c>
      <c r="G5" s="97">
        <v>23.867902755737305</v>
      </c>
      <c r="H5" s="97">
        <f t="shared" ref="H5:H20" si="2">E5-$H$66+$H$72</f>
        <v>24.172545397642885</v>
      </c>
      <c r="I5" s="97">
        <f t="shared" ref="I5:I20" si="3">F5-$H$66+$H$72</f>
        <v>24.348162615660463</v>
      </c>
      <c r="J5" s="97">
        <f t="shared" ref="J5:J20" si="4">G5-$H$66+$H$72</f>
        <v>24.158440554503237</v>
      </c>
      <c r="K5" s="102">
        <f>((H5-'Calibration R. intestinalis '!$D$45)/('Calibration R. intestinalis '!$D$44))+$B$24</f>
        <v>8.370592128767667</v>
      </c>
      <c r="L5" s="102">
        <f>((I5-'Calibration R. intestinalis '!$D$45)/('Calibration R. intestinalis '!$D$44))+$B$24</f>
        <v>8.323098492718886</v>
      </c>
      <c r="M5" s="102">
        <f>((J5-'Calibration R. intestinalis '!$D$45)/('Calibration R. intestinalis '!$D$44))+$B$24</f>
        <v>8.3744066197051819</v>
      </c>
      <c r="N5" s="103">
        <f t="shared" ref="N5:N20" si="5">AVERAGE(K5:M5)</f>
        <v>8.3560324137305795</v>
      </c>
      <c r="O5" s="103">
        <f t="shared" ref="O5:O20" si="6">STDEV(K5:M5)</f>
        <v>2.8585310041722219E-2</v>
      </c>
      <c r="P5" s="98">
        <f>(AVERAGE(POWER(10,K5),POWER(10,L5),POWER(10,M5)))*Calculation!$I5/Calculation!$K4</f>
        <v>228040079.29408425</v>
      </c>
      <c r="Q5" s="104">
        <f>(STDEV(POWER(10,K5),POWER(10,L5),POWER(10,M5)))*Calculation!$I5/Calculation!$K4</f>
        <v>14719914.071635716</v>
      </c>
      <c r="R5" s="103">
        <f t="shared" ref="R5:R20" si="7">LOG(P5)</f>
        <v>8.3580111833449742</v>
      </c>
      <c r="S5" s="103">
        <f>O5*Calculation!$I5/Calculation!$K4</f>
        <v>2.8674939962730087E-2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7">
        <v>23.54655647277832</v>
      </c>
      <c r="F6" s="97">
        <v>23.264993667602539</v>
      </c>
      <c r="G6" s="97">
        <v>23.75007438659668</v>
      </c>
      <c r="H6" s="97">
        <f t="shared" si="2"/>
        <v>23.837094271544252</v>
      </c>
      <c r="I6" s="97">
        <f t="shared" si="3"/>
        <v>23.555531466368471</v>
      </c>
      <c r="J6" s="97">
        <f t="shared" si="4"/>
        <v>24.040612185362612</v>
      </c>
      <c r="K6" s="102">
        <f>((H6-'Calibration R. intestinalis '!$D$45)/('Calibration R. intestinalis '!$D$44))+$B$24</f>
        <v>8.4613109880852519</v>
      </c>
      <c r="L6" s="102">
        <f>((I6-'Calibration R. intestinalis '!$D$45)/('Calibration R. intestinalis '!$D$44))+$B$24</f>
        <v>8.5374563771583993</v>
      </c>
      <c r="M6" s="102">
        <f>((J6-'Calibration R. intestinalis '!$D$45)/('Calibration R. intestinalis '!$D$44))+$B$24</f>
        <v>8.4062719330460762</v>
      </c>
      <c r="N6" s="103">
        <f t="shared" si="5"/>
        <v>8.4683464327632425</v>
      </c>
      <c r="O6" s="103">
        <f t="shared" si="6"/>
        <v>6.587459833370983E-2</v>
      </c>
      <c r="P6" s="98">
        <f>(AVERAGE(POWER(10,K6),POWER(10,L6),POWER(10,M6)))*Calculation!$I6/Calculation!$K5</f>
        <v>297400910.83821386</v>
      </c>
      <c r="Q6" s="104">
        <f>(STDEV(POWER(10,K6),POWER(10,L6),POWER(10,M6)))*Calculation!$I6/Calculation!$K5</f>
        <v>45514045.492638402</v>
      </c>
      <c r="R6" s="103">
        <f t="shared" si="7"/>
        <v>8.4733422942848069</v>
      </c>
      <c r="S6" s="103">
        <f>O6*Calculation!$I6/Calculation!$K5</f>
        <v>6.6124595564796676E-2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7">
        <v>22.930553436279297</v>
      </c>
      <c r="F7" s="97">
        <v>22.976051330566406</v>
      </c>
      <c r="G7" s="97">
        <v>23.462804794311523</v>
      </c>
      <c r="H7" s="97">
        <f t="shared" si="2"/>
        <v>23.221091235045229</v>
      </c>
      <c r="I7" s="97">
        <f t="shared" si="3"/>
        <v>23.266589129332338</v>
      </c>
      <c r="J7" s="97">
        <f t="shared" si="4"/>
        <v>23.753342593077456</v>
      </c>
      <c r="K7" s="102">
        <f>((H7-'Calibration R. intestinalis '!$D$45)/('Calibration R. intestinalis '!$D$44))+$B$24</f>
        <v>8.6279018517299555</v>
      </c>
      <c r="L7" s="102">
        <f>((I7-'Calibration R. intestinalis '!$D$45)/('Calibration R. intestinalis '!$D$44))+$B$24</f>
        <v>8.6155974748775588</v>
      </c>
      <c r="M7" s="102">
        <f>((J7-'Calibration R. intestinalis '!$D$45)/('Calibration R. intestinalis '!$D$44))+$B$24</f>
        <v>8.4839606563835979</v>
      </c>
      <c r="N7" s="103">
        <f t="shared" si="5"/>
        <v>8.5758199943303701</v>
      </c>
      <c r="O7" s="103">
        <f t="shared" si="6"/>
        <v>7.979005513499797E-2</v>
      </c>
      <c r="P7" s="98">
        <f>(AVERAGE(POWER(10,K7),POWER(10,L7),POWER(10,M7)))*Calculation!$I7/Calculation!$K6</f>
        <v>383125300.83294171</v>
      </c>
      <c r="Q7" s="104">
        <f>(STDEV(POWER(10,K7),POWER(10,L7),POWER(10,M7)))*Calculation!$I7/Calculation!$K6</f>
        <v>66417154.913912237</v>
      </c>
      <c r="R7" s="103">
        <f t="shared" si="7"/>
        <v>8.5833408328740024</v>
      </c>
      <c r="S7" s="103">
        <f>O7*Calculation!$I7/Calculation!$K6</f>
        <v>8.0308891483790321E-2</v>
      </c>
    </row>
    <row r="8" spans="1:19">
      <c r="A8" s="39">
        <v>4</v>
      </c>
      <c r="B8" s="31">
        <v>80</v>
      </c>
      <c r="C8" s="31">
        <f t="shared" ref="C8:C18" si="8">C7+B8</f>
        <v>360</v>
      </c>
      <c r="D8" s="13">
        <f t="shared" si="0"/>
        <v>6</v>
      </c>
      <c r="E8" s="97">
        <v>21.202611923217773</v>
      </c>
      <c r="F8" s="97">
        <v>20.688791275024414</v>
      </c>
      <c r="G8" s="97">
        <v>21.328561782836914</v>
      </c>
      <c r="H8" s="97">
        <f t="shared" si="2"/>
        <v>21.493149721983706</v>
      </c>
      <c r="I8" s="97">
        <f t="shared" si="3"/>
        <v>20.979329073790346</v>
      </c>
      <c r="J8" s="97">
        <f t="shared" si="4"/>
        <v>21.619099581602846</v>
      </c>
      <c r="K8" s="102">
        <f>((H8-'Calibration R. intestinalis '!$D$45)/('Calibration R. intestinalis '!$D$44))+$B$24</f>
        <v>9.0952035563197065</v>
      </c>
      <c r="L8" s="102">
        <f>((I8-'Calibration R. intestinalis '!$D$45)/('Calibration R. intestinalis '!$D$44))+$B$24</f>
        <v>9.2341603803436563</v>
      </c>
      <c r="M8" s="102">
        <f>((J8-'Calibration R. intestinalis '!$D$45)/('Calibration R. intestinalis '!$D$44))+$B$24</f>
        <v>9.0611418802456232</v>
      </c>
      <c r="N8" s="103">
        <f t="shared" si="5"/>
        <v>9.130168605636328</v>
      </c>
      <c r="O8" s="103">
        <f t="shared" si="6"/>
        <v>9.1655694582107858E-2</v>
      </c>
      <c r="P8" s="98">
        <f>(AVERAGE(POWER(10,K8),POWER(10,L8),POWER(10,M8)))*Calculation!$I8/Calculation!$K7</f>
        <v>1391623817.2666156</v>
      </c>
      <c r="Q8" s="104">
        <f>(STDEV(POWER(10,K8),POWER(10,L8),POWER(10,M8)))*Calculation!$I8/Calculation!$K7</f>
        <v>306549575.74795324</v>
      </c>
      <c r="R8" s="103">
        <f t="shared" si="7"/>
        <v>9.1435218529721816</v>
      </c>
      <c r="S8" s="103">
        <f>O8*Calculation!$I8/Calculation!$K7</f>
        <v>9.3082783760317298E-2</v>
      </c>
    </row>
    <row r="9" spans="1:19">
      <c r="A9" s="39">
        <v>5</v>
      </c>
      <c r="B9" s="31">
        <v>80</v>
      </c>
      <c r="C9" s="31">
        <f t="shared" si="8"/>
        <v>440</v>
      </c>
      <c r="D9" s="13">
        <f t="shared" si="0"/>
        <v>7.333333333333333</v>
      </c>
      <c r="E9" s="97">
        <v>19.328519821166992</v>
      </c>
      <c r="F9" s="97">
        <v>19.566780090332031</v>
      </c>
      <c r="G9" s="97">
        <v>19.554777145385742</v>
      </c>
      <c r="H9" s="97">
        <f t="shared" si="2"/>
        <v>19.619057619932924</v>
      </c>
      <c r="I9" s="97">
        <f t="shared" si="3"/>
        <v>19.857317889097963</v>
      </c>
      <c r="J9" s="97">
        <f t="shared" si="4"/>
        <v>19.845314944151674</v>
      </c>
      <c r="K9" s="102">
        <f>((H9-'Calibration R. intestinalis '!$D$45)/('Calibration R. intestinalis '!$D$44))+$B$24</f>
        <v>9.6020299895216379</v>
      </c>
      <c r="L9" s="102">
        <f>((I9-'Calibration R. intestinalis '!$D$45)/('Calibration R. intestinalis '!$D$44))+$B$24</f>
        <v>9.5375952681637575</v>
      </c>
      <c r="M9" s="102">
        <f>((J9-'Calibration R. intestinalis '!$D$45)/('Calibration R. intestinalis '!$D$44))+$B$24</f>
        <v>9.5408413251576416</v>
      </c>
      <c r="N9" s="103">
        <f t="shared" si="5"/>
        <v>9.5601555276143468</v>
      </c>
      <c r="O9" s="103">
        <f t="shared" si="6"/>
        <v>3.6300649326435432E-2</v>
      </c>
      <c r="P9" s="98">
        <f>(AVERAGE(POWER(10,K9),POWER(10,L9),POWER(10,M9)))*Calculation!$I9/Calculation!$K8</f>
        <v>3786269274.6705556</v>
      </c>
      <c r="Q9" s="104">
        <f>(STDEV(POWER(10,K9),POWER(10,L9),POWER(10,M9)))*Calculation!$I9/Calculation!$K8</f>
        <v>323655632.48064888</v>
      </c>
      <c r="R9" s="103">
        <f t="shared" si="7"/>
        <v>9.578211497199085</v>
      </c>
      <c r="S9" s="103">
        <f>O9*Calculation!$I9/Calculation!$K8</f>
        <v>3.7752303518122837E-2</v>
      </c>
    </row>
    <row r="10" spans="1:19">
      <c r="A10" s="39">
        <v>6</v>
      </c>
      <c r="B10" s="31">
        <v>80</v>
      </c>
      <c r="C10" s="31">
        <f t="shared" si="8"/>
        <v>520</v>
      </c>
      <c r="D10" s="13">
        <f t="shared" si="0"/>
        <v>8.6666666666666661</v>
      </c>
      <c r="E10" s="97">
        <v>19.249582290649414</v>
      </c>
      <c r="F10" s="97">
        <v>18.980419158935547</v>
      </c>
      <c r="G10" s="97">
        <v>19.348089218139648</v>
      </c>
      <c r="H10" s="97">
        <f t="shared" si="2"/>
        <v>19.540120089415346</v>
      </c>
      <c r="I10" s="97">
        <f t="shared" si="3"/>
        <v>19.270956957701479</v>
      </c>
      <c r="J10" s="97">
        <f t="shared" si="4"/>
        <v>19.638627016905581</v>
      </c>
      <c r="K10" s="102">
        <f>((H10-'Calibration R. intestinalis '!$D$45)/('Calibration R. intestinalis '!$D$44))+$B$24</f>
        <v>9.6233777274445576</v>
      </c>
      <c r="L10" s="102">
        <f>((I10-'Calibration R. intestinalis '!$D$45)/('Calibration R. intestinalis '!$D$44))+$B$24</f>
        <v>9.6961697689065112</v>
      </c>
      <c r="M10" s="102">
        <f>((J10-'Calibration R. intestinalis '!$D$45)/('Calibration R. intestinalis '!$D$44))+$B$24</f>
        <v>9.5967376734947418</v>
      </c>
      <c r="N10" s="103">
        <f t="shared" si="5"/>
        <v>9.638761723281938</v>
      </c>
      <c r="O10" s="103">
        <f t="shared" si="6"/>
        <v>5.1470242815020585E-2</v>
      </c>
      <c r="P10" s="98">
        <f>(AVERAGE(POWER(10,K10),POWER(10,L10),POWER(10,M10)))*Calculation!$I10/Calculation!$K9</f>
        <v>4645681374.4977551</v>
      </c>
      <c r="Q10" s="104">
        <f>(STDEV(POWER(10,K10),POWER(10,L10),POWER(10,M10)))*Calculation!$I10/Calculation!$K9</f>
        <v>562694833.41721296</v>
      </c>
      <c r="R10" s="103">
        <f t="shared" si="7"/>
        <v>9.6670494202634778</v>
      </c>
      <c r="S10" s="103">
        <f>O10*Calculation!$I10/Calculation!$K9</f>
        <v>5.4673928922278327E-2</v>
      </c>
    </row>
    <row r="11" spans="1:19">
      <c r="A11" s="39">
        <v>7</v>
      </c>
      <c r="B11" s="31">
        <v>80</v>
      </c>
      <c r="C11" s="31">
        <f t="shared" si="8"/>
        <v>600</v>
      </c>
      <c r="D11" s="13">
        <f t="shared" si="0"/>
        <v>10</v>
      </c>
      <c r="E11" s="97">
        <v>19.376972198486328</v>
      </c>
      <c r="F11" s="97">
        <v>19.543682098388672</v>
      </c>
      <c r="G11" s="97">
        <v>19.671726226806641</v>
      </c>
      <c r="H11" s="97">
        <f t="shared" si="2"/>
        <v>19.66750999725226</v>
      </c>
      <c r="I11" s="97">
        <f t="shared" si="3"/>
        <v>19.834219897154604</v>
      </c>
      <c r="J11" s="97">
        <f t="shared" si="4"/>
        <v>19.962264025572573</v>
      </c>
      <c r="K11" s="102">
        <f>((H11-'Calibration R. intestinalis '!$D$45)/('Calibration R. intestinalis '!$D$44))+$B$24</f>
        <v>9.5889266070624508</v>
      </c>
      <c r="L11" s="102">
        <f>((I11-'Calibration R. intestinalis '!$D$45)/('Calibration R. intestinalis '!$D$44))+$B$24</f>
        <v>9.5438418517003765</v>
      </c>
      <c r="M11" s="102">
        <f>((J11-'Calibration R. intestinalis '!$D$45)/('Calibration R. intestinalis '!$D$44))+$B$24</f>
        <v>9.509213804963764</v>
      </c>
      <c r="N11" s="103">
        <f t="shared" si="5"/>
        <v>9.5473274212421959</v>
      </c>
      <c r="O11" s="103">
        <f t="shared" si="6"/>
        <v>3.9970546667255538E-2</v>
      </c>
      <c r="P11" s="98">
        <f>(AVERAGE(POWER(10,K11),POWER(10,L11),POWER(10,M11)))*Calculation!$I11/Calculation!$K10</f>
        <v>3791719641.5736747</v>
      </c>
      <c r="Q11" s="104">
        <f>(STDEV(POWER(10,K11),POWER(10,L11),POWER(10,M11)))*Calculation!$I11/Calculation!$K10</f>
        <v>350674534.78680432</v>
      </c>
      <c r="R11" s="103">
        <f t="shared" si="7"/>
        <v>9.5788362182707818</v>
      </c>
      <c r="S11" s="103">
        <f>O11*Calculation!$I11/Calculation!$K10</f>
        <v>4.2856691320914901E-2</v>
      </c>
    </row>
    <row r="12" spans="1:19">
      <c r="A12" s="39">
        <v>8</v>
      </c>
      <c r="B12" s="31">
        <v>80</v>
      </c>
      <c r="C12" s="31">
        <f t="shared" si="8"/>
        <v>680</v>
      </c>
      <c r="D12" s="13">
        <f t="shared" si="0"/>
        <v>11.333333333333334</v>
      </c>
      <c r="E12" s="97">
        <v>19.611595153808594</v>
      </c>
      <c r="F12" s="97">
        <v>19.672761917114258</v>
      </c>
      <c r="G12" s="97">
        <v>19.8489990234375</v>
      </c>
      <c r="H12" s="97">
        <f>E12-$H$70+$H$72</f>
        <v>19.339591626687483</v>
      </c>
      <c r="I12" s="97">
        <f t="shared" ref="I12:J12" si="9">F12-$H$70+$H$72</f>
        <v>19.400758389993147</v>
      </c>
      <c r="J12" s="97">
        <f t="shared" si="9"/>
        <v>19.576995496316389</v>
      </c>
      <c r="K12" s="102">
        <f>((H12-'Calibration R. intestinalis '!$D$45)/('Calibration R. intestinalis '!$D$44))+$B$24</f>
        <v>9.6776083201718919</v>
      </c>
      <c r="L12" s="102">
        <f>((I12-'Calibration R. intestinalis '!$D$45)/('Calibration R. intestinalis '!$D$44))+$B$24</f>
        <v>9.6610664797560482</v>
      </c>
      <c r="M12" s="102">
        <f>((J12-'Calibration R. intestinalis '!$D$45)/('Calibration R. intestinalis '!$D$44))+$B$24</f>
        <v>9.6134052021177219</v>
      </c>
      <c r="N12" s="103">
        <f t="shared" si="5"/>
        <v>9.6506933340152212</v>
      </c>
      <c r="O12" s="103">
        <f t="shared" si="6"/>
        <v>3.3334842228361583E-2</v>
      </c>
      <c r="P12" s="98">
        <f>(AVERAGE(POWER(10,K12),POWER(10,L12),POWER(10,M12)))*Calculation!$I12/Calculation!$K11</f>
        <v>4809905122.830493</v>
      </c>
      <c r="Q12" s="104">
        <f>(STDEV(POWER(10,K12),POWER(10,L12),POWER(10,M12)))*Calculation!$I12/Calculation!$K11</f>
        <v>362912772.19642365</v>
      </c>
      <c r="R12" s="103">
        <f t="shared" si="7"/>
        <v>9.6821365098379566</v>
      </c>
      <c r="S12" s="103">
        <f>O12*Calculation!$I12/Calculation!$K11</f>
        <v>3.5768299843993649E-2</v>
      </c>
    </row>
    <row r="13" spans="1:19">
      <c r="A13" s="39">
        <v>9</v>
      </c>
      <c r="B13" s="31">
        <v>80</v>
      </c>
      <c r="C13" s="31">
        <f t="shared" si="8"/>
        <v>760</v>
      </c>
      <c r="D13" s="13">
        <f t="shared" si="0"/>
        <v>12.666666666666666</v>
      </c>
      <c r="E13" s="97">
        <v>19.607795715332031</v>
      </c>
      <c r="F13" s="97">
        <v>19.751712799072266</v>
      </c>
      <c r="G13" s="97">
        <v>19.594379425048828</v>
      </c>
      <c r="H13" s="97">
        <f t="shared" si="2"/>
        <v>19.898333514097963</v>
      </c>
      <c r="I13" s="97">
        <f t="shared" si="3"/>
        <v>20.042250597838198</v>
      </c>
      <c r="J13" s="97">
        <f t="shared" si="4"/>
        <v>19.88491722381476</v>
      </c>
      <c r="K13" s="102">
        <f>((H13-'Calibration R. intestinalis '!$D$45)/('Calibration R. intestinalis '!$D$44))+$B$24</f>
        <v>9.5265030689588457</v>
      </c>
      <c r="L13" s="102">
        <f>((I13-'Calibration R. intestinalis '!$D$45)/('Calibration R. intestinalis '!$D$44))+$B$24</f>
        <v>9.4875823658893061</v>
      </c>
      <c r="M13" s="102">
        <f>((J13-'Calibration R. intestinalis '!$D$45)/('Calibration R. intestinalis '!$D$44))+$B$24</f>
        <v>9.5301313487768962</v>
      </c>
      <c r="N13" s="103">
        <f t="shared" si="5"/>
        <v>9.5147389278750154</v>
      </c>
      <c r="O13" s="103">
        <f t="shared" si="6"/>
        <v>2.3588137861482287E-2</v>
      </c>
      <c r="P13" s="98">
        <f>(AVERAGE(POWER(10,K13),POWER(10,L13),POWER(10,M13)))*Calculation!$I13/Calculation!$K12</f>
        <v>3519066901.0700822</v>
      </c>
      <c r="Q13" s="104">
        <f>(STDEV(POWER(10,K13),POWER(10,L13),POWER(10,M13)))*Calculation!$I13/Calculation!$K12</f>
        <v>188127201.5878019</v>
      </c>
      <c r="R13" s="103">
        <f t="shared" si="7"/>
        <v>9.5464275232970817</v>
      </c>
      <c r="S13" s="103">
        <f>O13*Calculation!$I13/Calculation!$K12</f>
        <v>2.5348930862212543E-2</v>
      </c>
    </row>
    <row r="14" spans="1:19">
      <c r="A14" s="39">
        <v>10</v>
      </c>
      <c r="B14" s="31">
        <v>80</v>
      </c>
      <c r="C14" s="31">
        <f t="shared" si="8"/>
        <v>840</v>
      </c>
      <c r="D14" s="13">
        <f t="shared" si="0"/>
        <v>14</v>
      </c>
      <c r="E14" s="97">
        <v>19.71104621887207</v>
      </c>
      <c r="F14" s="97">
        <v>19.946901321411133</v>
      </c>
      <c r="G14" s="97">
        <v>19.55095100402832</v>
      </c>
      <c r="H14" s="97">
        <f t="shared" si="2"/>
        <v>20.001584017638002</v>
      </c>
      <c r="I14" s="97">
        <f t="shared" si="3"/>
        <v>20.237439120177065</v>
      </c>
      <c r="J14" s="97">
        <f t="shared" si="4"/>
        <v>19.841488802794252</v>
      </c>
      <c r="K14" s="102">
        <f>((H14-'Calibration R. intestinalis '!$D$45)/('Calibration R. intestinalis '!$D$44))+$B$24</f>
        <v>9.4985801699837964</v>
      </c>
      <c r="L14" s="102">
        <f>((I14-'Calibration R. intestinalis '!$D$45)/('Calibration R. intestinalis '!$D$44))+$B$24</f>
        <v>9.4347958979933537</v>
      </c>
      <c r="M14" s="102">
        <f>((J14-'Calibration R. intestinalis '!$D$45)/('Calibration R. intestinalis '!$D$44))+$B$24</f>
        <v>9.5418760606303472</v>
      </c>
      <c r="N14" s="103">
        <f t="shared" si="5"/>
        <v>9.4917507095358324</v>
      </c>
      <c r="O14" s="103">
        <f t="shared" si="6"/>
        <v>5.38657725749754E-2</v>
      </c>
      <c r="P14" s="98">
        <f>(AVERAGE(POWER(10,K14),POWER(10,L14),POWER(10,M14)))*Calculation!$I14/Calculation!$K13</f>
        <v>3351380106.6561308</v>
      </c>
      <c r="Q14" s="104">
        <f>(STDEV(POWER(10,K14),POWER(10,L14),POWER(10,M14)))*Calculation!$I14/Calculation!$K13</f>
        <v>410058094.57515526</v>
      </c>
      <c r="R14" s="103">
        <f t="shared" si="7"/>
        <v>9.5252236874179399</v>
      </c>
      <c r="S14" s="103">
        <f>O14*Calculation!$I14/Calculation!$K13</f>
        <v>5.7886712077954226E-2</v>
      </c>
    </row>
    <row r="15" spans="1:19">
      <c r="A15" s="39">
        <v>11</v>
      </c>
      <c r="B15" s="31">
        <v>80</v>
      </c>
      <c r="C15" s="31">
        <f t="shared" si="8"/>
        <v>920</v>
      </c>
      <c r="D15" s="13">
        <f t="shared" si="0"/>
        <v>15.333333333333334</v>
      </c>
      <c r="E15" s="97">
        <v>19.586111068725586</v>
      </c>
      <c r="F15" s="97">
        <v>19.549028396606445</v>
      </c>
      <c r="G15" s="97">
        <v>19.7340087890625</v>
      </c>
      <c r="H15" s="97">
        <f t="shared" si="2"/>
        <v>19.876648867491518</v>
      </c>
      <c r="I15" s="97">
        <f t="shared" si="3"/>
        <v>19.839566195372377</v>
      </c>
      <c r="J15" s="97">
        <f t="shared" si="4"/>
        <v>20.024546587828432</v>
      </c>
      <c r="K15" s="102">
        <f>((H15-'Calibration R. intestinalis '!$D$45)/('Calibration R. intestinalis '!$D$44))+$B$24</f>
        <v>9.5323674296713001</v>
      </c>
      <c r="L15" s="102">
        <f>((I15-'Calibration R. intestinalis '!$D$45)/('Calibration R. intestinalis '!$D$44))+$B$24</f>
        <v>9.5423960074680778</v>
      </c>
      <c r="M15" s="102">
        <f>((J15-'Calibration R. intestinalis '!$D$45)/('Calibration R. intestinalis '!$D$44))+$B$24</f>
        <v>9.4923702096867384</v>
      </c>
      <c r="N15" s="103">
        <f t="shared" si="5"/>
        <v>9.5223778822753715</v>
      </c>
      <c r="O15" s="103">
        <f t="shared" si="6"/>
        <v>2.6466741465403048E-2</v>
      </c>
      <c r="P15" s="98">
        <f>(AVERAGE(POWER(10,K15),POWER(10,L15),POWER(10,M15)))*Calculation!$I15/Calculation!$K14</f>
        <v>3585367222.1016207</v>
      </c>
      <c r="Q15" s="104">
        <f>(STDEV(POWER(10,K15),POWER(10,L15),POWER(10,M15)))*Calculation!$I15/Calculation!$K14</f>
        <v>215146621.06355342</v>
      </c>
      <c r="R15" s="103">
        <f t="shared" si="7"/>
        <v>9.5545336437875825</v>
      </c>
      <c r="S15" s="103">
        <f>O15*Calculation!$I15/Calculation!$K14</f>
        <v>2.8465843398785811E-2</v>
      </c>
    </row>
    <row r="16" spans="1:19">
      <c r="A16" s="39">
        <v>12</v>
      </c>
      <c r="B16" s="31">
        <v>80</v>
      </c>
      <c r="C16" s="31">
        <f t="shared" si="8"/>
        <v>1000</v>
      </c>
      <c r="D16" s="13">
        <f t="shared" si="0"/>
        <v>16.666666666666668</v>
      </c>
      <c r="E16" s="97">
        <v>18.981267929077148</v>
      </c>
      <c r="F16" s="97">
        <v>19.066617965698242</v>
      </c>
      <c r="G16" s="97">
        <v>19.496393203735352</v>
      </c>
      <c r="H16" s="97">
        <f t="shared" si="2"/>
        <v>19.271805727843081</v>
      </c>
      <c r="I16" s="97">
        <f t="shared" si="3"/>
        <v>19.357155764464174</v>
      </c>
      <c r="J16" s="97">
        <f t="shared" si="4"/>
        <v>19.786931002501284</v>
      </c>
      <c r="K16" s="102">
        <f>((H16-'Calibration R. intestinalis '!$D$45)/('Calibration R. intestinalis '!$D$44))+$B$24</f>
        <v>9.6959402288839023</v>
      </c>
      <c r="L16" s="102">
        <f>((I16-'Calibration R. intestinalis '!$D$45)/('Calibration R. intestinalis '!$D$44))+$B$24</f>
        <v>9.6728583031946656</v>
      </c>
      <c r="M16" s="102">
        <f>((J16-'Calibration R. intestinalis '!$D$45)/('Calibration R. intestinalis '!$D$44))+$B$24</f>
        <v>9.5566305837914935</v>
      </c>
      <c r="N16" s="103">
        <f t="shared" si="5"/>
        <v>9.6418097052900205</v>
      </c>
      <c r="O16" s="103">
        <f t="shared" si="6"/>
        <v>7.4664622665801164E-2</v>
      </c>
      <c r="P16" s="98">
        <f>(AVERAGE(POWER(10,K16),POWER(10,L16),POWER(10,M16)))*Calculation!$I16/Calculation!$K15</f>
        <v>4759661016.179059</v>
      </c>
      <c r="Q16" s="104">
        <f>(STDEV(POWER(10,K16),POWER(10,L16),POWER(10,M16)))*Calculation!$I16/Calculation!$K15</f>
        <v>778638473.55885482</v>
      </c>
      <c r="R16" s="103">
        <f t="shared" si="7"/>
        <v>9.6775760232992241</v>
      </c>
      <c r="S16" s="103">
        <f>O16*Calculation!$I16/Calculation!$K15</f>
        <v>8.0304236130179132E-2</v>
      </c>
    </row>
    <row r="17" spans="1:19">
      <c r="A17" s="39">
        <v>13</v>
      </c>
      <c r="B17" s="31">
        <v>80</v>
      </c>
      <c r="C17" s="31">
        <f t="shared" si="8"/>
        <v>1080</v>
      </c>
      <c r="D17" s="13">
        <f t="shared" si="0"/>
        <v>18</v>
      </c>
      <c r="E17" s="97">
        <v>19.231170654296875</v>
      </c>
      <c r="F17" s="97">
        <v>19.253791809082031</v>
      </c>
      <c r="G17" s="97">
        <v>19.012855529785156</v>
      </c>
      <c r="H17" s="97">
        <f t="shared" si="2"/>
        <v>19.521708453062807</v>
      </c>
      <c r="I17" s="97">
        <f t="shared" si="3"/>
        <v>19.544329607847963</v>
      </c>
      <c r="J17" s="97">
        <f t="shared" si="4"/>
        <v>19.303393328551088</v>
      </c>
      <c r="K17" s="102">
        <f>((H17-'Calibration R. intestinalis '!$D$45)/('Calibration R. intestinalis '!$D$44))+$B$24</f>
        <v>9.6283569405642098</v>
      </c>
      <c r="L17" s="102">
        <f>((I17-'Calibration R. intestinalis '!$D$45)/('Calibration R. intestinalis '!$D$44))+$B$24</f>
        <v>9.6222393120964718</v>
      </c>
      <c r="M17" s="102">
        <f>((J17-'Calibration R. intestinalis '!$D$45)/('Calibration R. intestinalis '!$D$44))+$B$24</f>
        <v>9.6873977293009155</v>
      </c>
      <c r="N17" s="103">
        <f t="shared" si="5"/>
        <v>9.6459979939871996</v>
      </c>
      <c r="O17" s="103">
        <f t="shared" si="6"/>
        <v>3.5983467141892496E-2</v>
      </c>
      <c r="P17" s="98">
        <f>(AVERAGE(POWER(10,K17),POWER(10,L17),POWER(10,M17)))*Calculation!$I17/Calculation!$K16</f>
        <v>4771227406.9815207</v>
      </c>
      <c r="Q17" s="104">
        <f>(STDEV(POWER(10,K17),POWER(10,L17),POWER(10,M17)))*Calculation!$I17/Calculation!$K16</f>
        <v>403997820.42088753</v>
      </c>
      <c r="R17" s="103">
        <f t="shared" si="7"/>
        <v>9.6786301164632622</v>
      </c>
      <c r="S17" s="103">
        <f>O17*Calculation!$I17/Calculation!$K16</f>
        <v>3.8701392158359084E-2</v>
      </c>
    </row>
    <row r="18" spans="1:19">
      <c r="A18" s="39">
        <v>14</v>
      </c>
      <c r="B18" s="31">
        <v>360</v>
      </c>
      <c r="C18" s="31">
        <f t="shared" si="8"/>
        <v>1440</v>
      </c>
      <c r="D18" s="13">
        <f t="shared" si="0"/>
        <v>24</v>
      </c>
      <c r="E18" s="97">
        <v>19.840581893920898</v>
      </c>
      <c r="F18" s="97">
        <v>19.733726501464844</v>
      </c>
      <c r="G18" s="97">
        <v>20.068643569946289</v>
      </c>
      <c r="H18" s="97">
        <f t="shared" si="2"/>
        <v>20.131119692686831</v>
      </c>
      <c r="I18" s="97">
        <f t="shared" si="3"/>
        <v>20.024264300230776</v>
      </c>
      <c r="J18" s="97">
        <f t="shared" si="4"/>
        <v>20.359181368712221</v>
      </c>
      <c r="K18" s="102">
        <f>((H18-'Calibration R. intestinalis '!$D$45)/('Calibration R. intestinalis '!$D$44))+$B$24</f>
        <v>9.4635487517917234</v>
      </c>
      <c r="L18" s="102">
        <f>((I18-'Calibration R. intestinalis '!$D$45)/('Calibration R. intestinalis '!$D$44))+$B$24</f>
        <v>9.4924465510875162</v>
      </c>
      <c r="M18" s="102">
        <f>((J18-'Calibration R. intestinalis '!$D$45)/('Calibration R. intestinalis '!$D$44))+$B$24</f>
        <v>9.4018721214470791</v>
      </c>
      <c r="N18" s="103">
        <f t="shared" si="5"/>
        <v>9.4526224747754384</v>
      </c>
      <c r="O18" s="103">
        <f t="shared" si="6"/>
        <v>4.626520802125561E-2</v>
      </c>
      <c r="P18" s="98">
        <f>(AVERAGE(POWER(10,K18),POWER(10,L18),POWER(10,M18)))*Calculation!$I18/Calculation!$K17</f>
        <v>3063893108.4176631</v>
      </c>
      <c r="Q18" s="104">
        <f>(STDEV(POWER(10,K18),POWER(10,L18),POWER(10,M18)))*Calculation!$I18/Calculation!$K17</f>
        <v>320095297.67434365</v>
      </c>
      <c r="R18" s="103">
        <f t="shared" si="7"/>
        <v>9.4862736097744893</v>
      </c>
      <c r="S18" s="103">
        <f>O18*Calculation!$I18/Calculation!$K17</f>
        <v>4.9806244141715236E-2</v>
      </c>
    </row>
    <row r="19" spans="1:1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7">
        <v>21.148960113525391</v>
      </c>
      <c r="F19" s="97">
        <v>21.015552520751953</v>
      </c>
      <c r="G19" s="97">
        <v>20.892971038818359</v>
      </c>
      <c r="H19" s="97">
        <f t="shared" si="2"/>
        <v>21.439497912291323</v>
      </c>
      <c r="I19" s="97">
        <f t="shared" si="3"/>
        <v>21.306090319517885</v>
      </c>
      <c r="J19" s="97">
        <f t="shared" si="4"/>
        <v>21.183508837584291</v>
      </c>
      <c r="K19" s="102">
        <f>((H19-'Calibration R. intestinalis '!$D$45)/('Calibration R. intestinalis '!$D$44))+$B$24</f>
        <v>9.1097130648499771</v>
      </c>
      <c r="L19" s="102">
        <f>((I19-'Calibration R. intestinalis '!$D$45)/('Calibration R. intestinalis '!$D$44))+$B$24</f>
        <v>9.1457915982013684</v>
      </c>
      <c r="M19" s="102">
        <f>((J19-'Calibration R. intestinalis '!$D$45)/('Calibration R. intestinalis '!$D$44))+$B$24</f>
        <v>9.1789423356688733</v>
      </c>
      <c r="N19" s="103">
        <f t="shared" si="5"/>
        <v>9.1448156662400724</v>
      </c>
      <c r="O19" s="103">
        <f t="shared" si="6"/>
        <v>3.4624952229913998E-2</v>
      </c>
      <c r="P19" s="98">
        <f>(AVERAGE(POWER(10,K19),POWER(10,L19),POWER(10,M19)))*Calculation!$I19/Calculation!$K18</f>
        <v>1505787202.2110388</v>
      </c>
      <c r="Q19" s="104">
        <f>(STDEV(POWER(10,K19),POWER(10,L19),POWER(10,M19)))*Calculation!$I19/Calculation!$K18</f>
        <v>119754706.53087537</v>
      </c>
      <c r="R19" s="103">
        <f t="shared" si="7"/>
        <v>9.1777636017216704</v>
      </c>
      <c r="S19" s="103">
        <f>O19*Calculation!$I19/Calculation!$K18</f>
        <v>3.7275069061961624E-2</v>
      </c>
    </row>
    <row r="20" spans="1:1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7">
        <v>22.185125350952148</v>
      </c>
      <c r="F20" s="97">
        <v>22.053224563598633</v>
      </c>
      <c r="G20" s="97">
        <v>22.91596794128418</v>
      </c>
      <c r="H20" s="97">
        <f t="shared" si="2"/>
        <v>22.475663149718081</v>
      </c>
      <c r="I20" s="97">
        <f t="shared" si="3"/>
        <v>22.343762362364565</v>
      </c>
      <c r="J20" s="97">
        <f t="shared" si="4"/>
        <v>23.206505740050112</v>
      </c>
      <c r="K20" s="102">
        <f>((H20-'Calibration R. intestinalis '!$D$45)/('Calibration R. intestinalis '!$D$44))+$B$24</f>
        <v>8.8294942159907528</v>
      </c>
      <c r="L20" s="102">
        <f>((I20-'Calibration R. intestinalis '!$D$45)/('Calibration R. intestinalis '!$D$44))+$B$24</f>
        <v>8.865165251324477</v>
      </c>
      <c r="M20" s="102">
        <f>((J20-'Calibration R. intestinalis '!$D$45)/('Calibration R. intestinalis '!$D$44))+$B$24</f>
        <v>8.6318463293769039</v>
      </c>
      <c r="N20" s="103">
        <f t="shared" si="5"/>
        <v>8.7755019322307106</v>
      </c>
      <c r="O20" s="103">
        <f t="shared" si="6"/>
        <v>0.12568136243657235</v>
      </c>
      <c r="P20" s="98">
        <f>(AVERAGE(POWER(10,K20),POWER(10,L20),POWER(10,M20)))*Calculation!$I20/Calculation!$K19</f>
        <v>659126903.61281991</v>
      </c>
      <c r="Q20" s="104">
        <f>(STDEV(POWER(10,K20),POWER(10,L20),POWER(10,M20)))*Calculation!$I20/Calculation!$K19</f>
        <v>174223454.672548</v>
      </c>
      <c r="R20" s="103">
        <f t="shared" si="7"/>
        <v>8.8189690386195885</v>
      </c>
      <c r="S20" s="103">
        <f>O20*Calculation!$I20/Calculation!$K19</f>
        <v>0.13530073438129622</v>
      </c>
    </row>
    <row r="21" spans="1:19">
      <c r="A21" s="10"/>
      <c r="B21" s="10"/>
      <c r="C21" s="10"/>
      <c r="D21" s="106"/>
    </row>
    <row r="24" spans="1:19">
      <c r="A24" s="100" t="s">
        <v>236</v>
      </c>
      <c r="B24" s="107">
        <f>LOG(B25)</f>
        <v>3.6532125137753435</v>
      </c>
    </row>
    <row r="25" spans="1:19">
      <c r="A25" s="83" t="s">
        <v>237</v>
      </c>
      <c r="B25" s="83">
        <f>20*1800/4/2</f>
        <v>4500</v>
      </c>
    </row>
    <row r="26" spans="1:19">
      <c r="E26" s="144" t="s">
        <v>220</v>
      </c>
      <c r="F26" s="144"/>
      <c r="G26" s="144"/>
      <c r="H26" s="144"/>
    </row>
    <row r="27" spans="1:19">
      <c r="A27" s="96" t="s">
        <v>238</v>
      </c>
      <c r="B27" s="96" t="s">
        <v>239</v>
      </c>
      <c r="E27" s="97">
        <v>15.713388442993164</v>
      </c>
      <c r="F27" s="97">
        <v>15.726656913757324</v>
      </c>
      <c r="G27" s="97">
        <v>15.612536430358887</v>
      </c>
      <c r="H27" s="108">
        <f>AVERAGE(E27:G27)</f>
        <v>15.684193929036459</v>
      </c>
    </row>
    <row r="28" spans="1:19">
      <c r="A28" s="96" t="s">
        <v>238</v>
      </c>
      <c r="B28" s="96" t="s">
        <v>240</v>
      </c>
      <c r="E28" s="109">
        <v>15.18875789642334</v>
      </c>
      <c r="F28" s="108">
        <v>15.280285835266113</v>
      </c>
      <c r="G28" s="108">
        <v>15.261421203613281</v>
      </c>
      <c r="H28" s="108">
        <f t="shared" ref="H28:H69" si="10">AVERAGE(E28:G28)</f>
        <v>15.243488311767578</v>
      </c>
    </row>
    <row r="29" spans="1:19">
      <c r="A29" s="96" t="s">
        <v>238</v>
      </c>
      <c r="B29" s="96" t="s">
        <v>241</v>
      </c>
      <c r="E29" s="109">
        <v>15.903929710388184</v>
      </c>
      <c r="F29" s="108">
        <v>15.71695613861084</v>
      </c>
      <c r="G29" s="108">
        <v>15.745060920715332</v>
      </c>
      <c r="H29" s="108">
        <f t="shared" si="10"/>
        <v>15.788648923238119</v>
      </c>
    </row>
    <row r="30" spans="1:19">
      <c r="A30" s="96" t="s">
        <v>238</v>
      </c>
      <c r="B30" s="96" t="s">
        <v>242</v>
      </c>
      <c r="E30" s="109">
        <v>15.95374870300293</v>
      </c>
      <c r="F30" s="108">
        <v>15.781205177307129</v>
      </c>
      <c r="G30" s="108">
        <v>15.694306373596191</v>
      </c>
      <c r="H30" s="108">
        <f t="shared" si="10"/>
        <v>15.80975341796875</v>
      </c>
    </row>
    <row r="31" spans="1:19">
      <c r="A31" s="96" t="s">
        <v>243</v>
      </c>
      <c r="B31" s="96" t="s">
        <v>244</v>
      </c>
      <c r="E31" s="109">
        <v>15.793012619018555</v>
      </c>
      <c r="F31" s="108">
        <v>15.662893295288086</v>
      </c>
      <c r="G31" s="108">
        <v>15.729142189025879</v>
      </c>
      <c r="H31" s="108">
        <f t="shared" si="10"/>
        <v>15.728349367777506</v>
      </c>
    </row>
    <row r="32" spans="1:19">
      <c r="A32" s="96" t="s">
        <v>243</v>
      </c>
      <c r="B32" s="96" t="s">
        <v>245</v>
      </c>
      <c r="E32" s="109">
        <v>15.790358543395996</v>
      </c>
      <c r="F32" s="108">
        <v>15.747311592102051</v>
      </c>
      <c r="G32" s="108">
        <v>15.724276542663574</v>
      </c>
      <c r="H32" s="108">
        <f t="shared" si="10"/>
        <v>15.753982226053873</v>
      </c>
    </row>
    <row r="33" spans="1:8">
      <c r="A33" s="96" t="s">
        <v>243</v>
      </c>
      <c r="B33" s="96" t="s">
        <v>245</v>
      </c>
      <c r="E33" s="109">
        <v>15.449001312255859</v>
      </c>
      <c r="F33" s="108">
        <v>15.556774139404297</v>
      </c>
      <c r="G33" s="108">
        <v>15.49962043762207</v>
      </c>
      <c r="H33" s="108">
        <f t="shared" si="10"/>
        <v>15.501798629760742</v>
      </c>
    </row>
    <row r="34" spans="1:8">
      <c r="A34" s="96" t="s">
        <v>243</v>
      </c>
      <c r="B34" s="96" t="s">
        <v>246</v>
      </c>
      <c r="E34" s="109">
        <v>15.347023010253906</v>
      </c>
      <c r="F34" s="108">
        <v>15.780600547790527</v>
      </c>
      <c r="G34" s="108">
        <v>15.718053817749023</v>
      </c>
      <c r="H34" s="108">
        <f t="shared" si="10"/>
        <v>15.615225791931152</v>
      </c>
    </row>
    <row r="35" spans="1:8">
      <c r="A35" s="96" t="s">
        <v>247</v>
      </c>
      <c r="B35" s="96" t="s">
        <v>246</v>
      </c>
      <c r="E35" s="109">
        <v>15.825298309326172</v>
      </c>
      <c r="F35" s="108">
        <v>15.804603576660156</v>
      </c>
      <c r="G35" s="108">
        <v>15.760408401489258</v>
      </c>
      <c r="H35" s="108">
        <f t="shared" si="10"/>
        <v>15.796770095825195</v>
      </c>
    </row>
    <row r="36" spans="1:8">
      <c r="A36" s="96" t="s">
        <v>247</v>
      </c>
      <c r="B36" s="96" t="s">
        <v>248</v>
      </c>
      <c r="E36" s="109">
        <v>15.800871849060059</v>
      </c>
      <c r="F36" s="108">
        <v>15.699575424194336</v>
      </c>
      <c r="G36" s="108">
        <v>15.968178749084473</v>
      </c>
      <c r="H36" s="108">
        <f t="shared" si="10"/>
        <v>15.822875340779623</v>
      </c>
    </row>
    <row r="37" spans="1:8">
      <c r="A37" s="96" t="s">
        <v>247</v>
      </c>
      <c r="B37" s="96" t="s">
        <v>248</v>
      </c>
      <c r="E37" s="109">
        <v>15.717584609985352</v>
      </c>
      <c r="F37" s="108">
        <v>15.693602561950684</v>
      </c>
      <c r="G37" s="108">
        <v>15.63984489440918</v>
      </c>
      <c r="H37" s="108">
        <f t="shared" si="10"/>
        <v>15.683677355448404</v>
      </c>
    </row>
    <row r="38" spans="1:8">
      <c r="A38" s="96" t="s">
        <v>247</v>
      </c>
      <c r="B38" s="96" t="s">
        <v>248</v>
      </c>
      <c r="E38" s="109">
        <v>15.61665153503418</v>
      </c>
      <c r="F38" s="108">
        <v>15.740999221801758</v>
      </c>
      <c r="G38" s="108">
        <v>15.586724281311035</v>
      </c>
      <c r="H38" s="108">
        <f t="shared" si="10"/>
        <v>15.648125012715658</v>
      </c>
    </row>
    <row r="39" spans="1:8">
      <c r="A39" s="96" t="s">
        <v>250</v>
      </c>
      <c r="B39" s="96" t="s">
        <v>249</v>
      </c>
      <c r="E39" s="109">
        <v>15.755837440490723</v>
      </c>
      <c r="F39" s="108">
        <v>15.457893371582031</v>
      </c>
      <c r="G39" s="108">
        <v>15.691001892089844</v>
      </c>
      <c r="H39" s="108">
        <f t="shared" si="10"/>
        <v>15.634910901387533</v>
      </c>
    </row>
    <row r="40" spans="1:8">
      <c r="A40" s="96" t="s">
        <v>250</v>
      </c>
      <c r="B40" s="96" t="s">
        <v>249</v>
      </c>
      <c r="E40" s="109">
        <v>15.560844421386719</v>
      </c>
      <c r="F40" s="108">
        <v>15.738679885864258</v>
      </c>
      <c r="G40" s="108">
        <v>15.730792999267578</v>
      </c>
      <c r="H40" s="108">
        <f t="shared" si="10"/>
        <v>15.676772435506185</v>
      </c>
    </row>
    <row r="41" spans="1:8">
      <c r="A41" s="96" t="s">
        <v>250</v>
      </c>
      <c r="B41" s="96" t="s">
        <v>251</v>
      </c>
      <c r="E41" s="109">
        <v>15.789995193481445</v>
      </c>
      <c r="F41" s="108">
        <v>15.670146942138672</v>
      </c>
      <c r="G41" s="108">
        <v>15.804409980773926</v>
      </c>
      <c r="H41" s="108">
        <f t="shared" si="10"/>
        <v>15.754850705464682</v>
      </c>
    </row>
    <row r="42" spans="1:8">
      <c r="A42" s="96" t="s">
        <v>250</v>
      </c>
      <c r="B42" s="96" t="s">
        <v>252</v>
      </c>
      <c r="E42" s="109">
        <v>15.759750366210938</v>
      </c>
      <c r="F42" s="108">
        <v>15.668698310852051</v>
      </c>
      <c r="G42" s="108">
        <v>15.640106201171875</v>
      </c>
      <c r="H42" s="108">
        <f t="shared" si="10"/>
        <v>15.689518292744955</v>
      </c>
    </row>
    <row r="43" spans="1:8">
      <c r="A43" s="96" t="s">
        <v>254</v>
      </c>
      <c r="B43" s="96" t="s">
        <v>253</v>
      </c>
      <c r="E43" s="109">
        <v>15.258575439453125</v>
      </c>
      <c r="F43" s="108">
        <v>15.478802680969238</v>
      </c>
      <c r="G43" s="108">
        <v>15.974754333496094</v>
      </c>
      <c r="H43" s="108">
        <f t="shared" si="10"/>
        <v>15.570710817972818</v>
      </c>
    </row>
    <row r="44" spans="1:8">
      <c r="A44" s="96" t="s">
        <v>254</v>
      </c>
      <c r="B44" s="96" t="s">
        <v>255</v>
      </c>
      <c r="E44" s="109">
        <v>15.35291576385498</v>
      </c>
      <c r="F44" s="108">
        <v>15.170954704284668</v>
      </c>
      <c r="G44" s="108">
        <v>15.236812591552734</v>
      </c>
      <c r="H44" s="108">
        <f t="shared" si="10"/>
        <v>15.253561019897461</v>
      </c>
    </row>
    <row r="45" spans="1:8">
      <c r="A45" s="96" t="s">
        <v>254</v>
      </c>
      <c r="B45" s="96" t="s">
        <v>256</v>
      </c>
      <c r="E45" s="109">
        <v>15.810567855834961</v>
      </c>
      <c r="F45" s="108">
        <v>15.790656089782715</v>
      </c>
      <c r="G45" s="108">
        <v>15.956247329711914</v>
      </c>
      <c r="H45" s="108">
        <f t="shared" si="10"/>
        <v>15.852490425109863</v>
      </c>
    </row>
    <row r="46" spans="1:8">
      <c r="A46" s="96" t="s">
        <v>254</v>
      </c>
      <c r="B46" s="96" t="s">
        <v>281</v>
      </c>
      <c r="E46" s="109">
        <v>15.760116577148438</v>
      </c>
      <c r="F46" s="108">
        <v>15.89314079284668</v>
      </c>
      <c r="G46" s="108">
        <v>15.903885841369629</v>
      </c>
      <c r="H46" s="108">
        <f t="shared" si="10"/>
        <v>15.852381070454916</v>
      </c>
    </row>
    <row r="47" spans="1:8">
      <c r="A47" s="96" t="s">
        <v>282</v>
      </c>
      <c r="B47" s="96" t="s">
        <v>283</v>
      </c>
      <c r="E47" s="109">
        <v>15.956473350524902</v>
      </c>
      <c r="F47" s="108">
        <v>15.595272064208984</v>
      </c>
      <c r="G47" s="108">
        <v>15.919502258300781</v>
      </c>
      <c r="H47" s="108">
        <f t="shared" si="10"/>
        <v>15.823749224344889</v>
      </c>
    </row>
    <row r="48" spans="1:8">
      <c r="A48" s="96" t="s">
        <v>282</v>
      </c>
      <c r="B48" s="96" t="s">
        <v>284</v>
      </c>
      <c r="E48" s="109">
        <v>15.711461067199707</v>
      </c>
      <c r="F48" s="108">
        <v>15.73438835144043</v>
      </c>
      <c r="G48" s="108">
        <v>15.689187049865723</v>
      </c>
      <c r="H48" s="108">
        <f t="shared" si="10"/>
        <v>15.711678822835287</v>
      </c>
    </row>
    <row r="49" spans="1:8">
      <c r="A49" s="96" t="s">
        <v>282</v>
      </c>
      <c r="B49" s="96" t="s">
        <v>285</v>
      </c>
      <c r="E49" s="109">
        <v>15.574808120727539</v>
      </c>
      <c r="F49" s="108">
        <v>15.501856803894043</v>
      </c>
      <c r="G49" s="108">
        <v>15.596255302429199</v>
      </c>
      <c r="H49" s="108">
        <f t="shared" si="10"/>
        <v>15.557640075683594</v>
      </c>
    </row>
    <row r="50" spans="1:8">
      <c r="A50" s="96" t="s">
        <v>282</v>
      </c>
      <c r="B50" s="96" t="s">
        <v>286</v>
      </c>
      <c r="E50" s="109">
        <v>15.60640811920166</v>
      </c>
      <c r="F50" s="108">
        <v>15.595258712768555</v>
      </c>
      <c r="G50" s="108">
        <v>15.58064079284668</v>
      </c>
      <c r="H50" s="108">
        <f t="shared" si="10"/>
        <v>15.594102541605631</v>
      </c>
    </row>
    <row r="51" spans="1:8">
      <c r="A51" s="96" t="s">
        <v>287</v>
      </c>
      <c r="B51" s="96" t="s">
        <v>288</v>
      </c>
      <c r="E51" s="109">
        <v>15.40764331817627</v>
      </c>
      <c r="F51" s="108">
        <v>15.702505111694336</v>
      </c>
      <c r="G51" s="108">
        <v>15.805522918701172</v>
      </c>
      <c r="H51" s="108">
        <f t="shared" si="10"/>
        <v>15.638557116190592</v>
      </c>
    </row>
    <row r="52" spans="1:8">
      <c r="A52" s="60" t="s">
        <v>287</v>
      </c>
      <c r="B52" s="60" t="s">
        <v>289</v>
      </c>
      <c r="C52" s="60"/>
      <c r="D52" s="60"/>
      <c r="E52" s="109">
        <v>15.5</v>
      </c>
      <c r="F52" s="108">
        <v>15.5</v>
      </c>
      <c r="G52" s="108">
        <v>15.4</v>
      </c>
      <c r="H52" s="108">
        <f t="shared" si="10"/>
        <v>15.466666666666667</v>
      </c>
    </row>
    <row r="53" spans="1:8">
      <c r="A53" s="60" t="s">
        <v>287</v>
      </c>
      <c r="B53" s="60" t="s">
        <v>289</v>
      </c>
      <c r="C53" s="60"/>
      <c r="D53" s="60"/>
      <c r="E53" s="122">
        <v>15.8</v>
      </c>
      <c r="F53" s="123">
        <v>15.4</v>
      </c>
      <c r="G53" s="123">
        <v>15.4</v>
      </c>
      <c r="H53" s="108">
        <f t="shared" si="10"/>
        <v>15.533333333333333</v>
      </c>
    </row>
    <row r="54" spans="1:8">
      <c r="A54" s="60" t="s">
        <v>287</v>
      </c>
      <c r="B54" s="60" t="s">
        <v>290</v>
      </c>
      <c r="C54" s="60"/>
      <c r="D54" s="60"/>
      <c r="E54" s="122">
        <v>15.6</v>
      </c>
      <c r="F54" s="123">
        <v>15.5</v>
      </c>
      <c r="G54" s="123">
        <v>15.6</v>
      </c>
      <c r="H54" s="108">
        <f t="shared" si="10"/>
        <v>15.566666666666668</v>
      </c>
    </row>
    <row r="55" spans="1:8">
      <c r="A55" s="60" t="s">
        <v>291</v>
      </c>
      <c r="B55" s="60" t="s">
        <v>292</v>
      </c>
      <c r="C55" s="60"/>
      <c r="D55" s="60"/>
      <c r="E55" s="122">
        <v>15.6</v>
      </c>
      <c r="F55" s="123">
        <v>15.6</v>
      </c>
      <c r="G55" s="123">
        <v>15.8</v>
      </c>
      <c r="H55" s="108">
        <f t="shared" si="10"/>
        <v>15.666666666666666</v>
      </c>
    </row>
    <row r="56" spans="1:8">
      <c r="A56" s="60" t="s">
        <v>291</v>
      </c>
      <c r="B56" s="60" t="s">
        <v>292</v>
      </c>
      <c r="C56" s="60"/>
      <c r="D56" s="60"/>
      <c r="E56" s="122">
        <v>15.577789306640625</v>
      </c>
      <c r="F56" s="123">
        <v>15.603015899658203</v>
      </c>
      <c r="G56" s="123">
        <v>15.626909255981445</v>
      </c>
      <c r="H56" s="108">
        <f t="shared" si="10"/>
        <v>15.602571487426758</v>
      </c>
    </row>
    <row r="57" spans="1:8">
      <c r="A57" s="96" t="s">
        <v>291</v>
      </c>
      <c r="B57" s="96" t="s">
        <v>293</v>
      </c>
      <c r="E57" s="122">
        <v>15.925136566162109</v>
      </c>
      <c r="F57" s="123"/>
      <c r="G57" s="123">
        <v>15.940312385559082</v>
      </c>
      <c r="H57" s="108">
        <f t="shared" si="10"/>
        <v>15.932724475860596</v>
      </c>
    </row>
    <row r="58" spans="1:8">
      <c r="A58" s="96" t="s">
        <v>291</v>
      </c>
      <c r="B58" s="96" t="s">
        <v>293</v>
      </c>
      <c r="E58" s="109">
        <v>15.2</v>
      </c>
      <c r="F58" s="108">
        <v>15.3</v>
      </c>
      <c r="G58" s="108">
        <v>15.4</v>
      </c>
      <c r="H58" s="108">
        <f t="shared" si="10"/>
        <v>15.299999999999999</v>
      </c>
    </row>
    <row r="59" spans="1:8">
      <c r="A59" s="96" t="s">
        <v>294</v>
      </c>
      <c r="B59" s="96" t="s">
        <v>295</v>
      </c>
      <c r="E59" s="109">
        <v>15.989936828613281</v>
      </c>
      <c r="F59" s="108">
        <v>15.856328964233398</v>
      </c>
      <c r="G59" s="108">
        <v>15.836997985839844</v>
      </c>
      <c r="H59" s="108">
        <f t="shared" si="10"/>
        <v>15.894421259562174</v>
      </c>
    </row>
    <row r="60" spans="1:8">
      <c r="A60" s="96" t="s">
        <v>294</v>
      </c>
      <c r="B60" s="96" t="s">
        <v>307</v>
      </c>
      <c r="E60" s="109">
        <v>15.699069023132324</v>
      </c>
      <c r="F60" s="108">
        <v>15.817172050476074</v>
      </c>
      <c r="G60" s="108">
        <v>16.075807571411133</v>
      </c>
      <c r="H60" s="108">
        <f t="shared" si="10"/>
        <v>15.86401621500651</v>
      </c>
    </row>
    <row r="61" spans="1:8">
      <c r="A61" s="96" t="s">
        <v>294</v>
      </c>
      <c r="B61" s="96" t="s">
        <v>308</v>
      </c>
      <c r="E61" s="109">
        <v>14.193151473999023</v>
      </c>
      <c r="F61" s="108">
        <v>14.592436790466309</v>
      </c>
      <c r="G61" s="108">
        <v>14.826726913452148</v>
      </c>
      <c r="H61" s="108">
        <f t="shared" si="10"/>
        <v>14.53743839263916</v>
      </c>
    </row>
    <row r="62" spans="1:8">
      <c r="A62" s="96" t="s">
        <v>309</v>
      </c>
      <c r="B62" s="96" t="s">
        <v>308</v>
      </c>
      <c r="E62" s="109">
        <v>15.753643035888672</v>
      </c>
      <c r="F62" s="108">
        <v>15.53950309753418</v>
      </c>
      <c r="G62" s="108">
        <v>16.160148620605469</v>
      </c>
      <c r="H62" s="108">
        <f t="shared" si="10"/>
        <v>15.81776491800944</v>
      </c>
    </row>
    <row r="63" spans="1:8">
      <c r="A63" s="96" t="s">
        <v>309</v>
      </c>
      <c r="B63" s="96" t="s">
        <v>310</v>
      </c>
      <c r="E63" s="109">
        <v>16.152790069580078</v>
      </c>
      <c r="F63" s="108">
        <v>15.918967247009277</v>
      </c>
      <c r="G63" s="108">
        <v>16.004350662231445</v>
      </c>
      <c r="H63" s="108">
        <f t="shared" si="10"/>
        <v>16.025369326273601</v>
      </c>
    </row>
    <row r="64" spans="1:8">
      <c r="A64" s="96" t="s">
        <v>309</v>
      </c>
      <c r="B64" s="96" t="s">
        <v>311</v>
      </c>
      <c r="E64" s="109">
        <v>15.725796699523926</v>
      </c>
      <c r="F64" s="108">
        <v>15.72511100769043</v>
      </c>
      <c r="G64" s="108">
        <v>15.700724601745605</v>
      </c>
      <c r="H64" s="108">
        <f t="shared" si="10"/>
        <v>15.71721076965332</v>
      </c>
    </row>
    <row r="65" spans="1:8">
      <c r="A65" s="96" t="s">
        <v>309</v>
      </c>
      <c r="B65" s="96" t="s">
        <v>312</v>
      </c>
      <c r="E65" s="109">
        <v>15.868610382080078</v>
      </c>
      <c r="F65" s="108">
        <v>15.950244903564453</v>
      </c>
      <c r="G65" s="108">
        <v>15.73750114440918</v>
      </c>
      <c r="H65" s="108">
        <f t="shared" si="10"/>
        <v>15.852118810017904</v>
      </c>
    </row>
    <row r="66" spans="1:8">
      <c r="A66" s="96" t="s">
        <v>309</v>
      </c>
      <c r="B66" s="96" t="s">
        <v>312</v>
      </c>
      <c r="E66" s="109">
        <v>15.411773681640625</v>
      </c>
      <c r="F66" s="108">
        <v>15.347482681274414</v>
      </c>
      <c r="G66" s="108">
        <v>15.357060432434082</v>
      </c>
      <c r="H66" s="108">
        <f t="shared" ref="H66" si="11">AVERAGE(E66:G66)</f>
        <v>15.372105598449707</v>
      </c>
    </row>
    <row r="67" spans="1:8">
      <c r="A67" s="96" t="s">
        <v>238</v>
      </c>
      <c r="B67" s="96" t="s">
        <v>313</v>
      </c>
      <c r="E67" s="109">
        <v>15.701089859008789</v>
      </c>
      <c r="F67" s="108">
        <v>15.69521427154541</v>
      </c>
      <c r="G67" s="108">
        <v>15.858868598937988</v>
      </c>
      <c r="H67" s="108">
        <f t="shared" si="10"/>
        <v>15.751724243164062</v>
      </c>
    </row>
    <row r="68" spans="1:8">
      <c r="A68" s="96" t="s">
        <v>238</v>
      </c>
      <c r="B68" s="96" t="s">
        <v>314</v>
      </c>
      <c r="E68" s="109">
        <v>15.664003372192383</v>
      </c>
      <c r="F68" s="108">
        <v>15.706714630126953</v>
      </c>
      <c r="G68" s="108">
        <v>15.883712768554688</v>
      </c>
      <c r="H68" s="108">
        <f t="shared" si="10"/>
        <v>15.751476923624674</v>
      </c>
    </row>
    <row r="69" spans="1:8">
      <c r="A69" s="96" t="s">
        <v>238</v>
      </c>
      <c r="B69" s="96" t="s">
        <v>314</v>
      </c>
      <c r="E69" s="109">
        <v>15.815454483032227</v>
      </c>
      <c r="F69" s="108">
        <v>15.873584747314453</v>
      </c>
      <c r="G69" s="108">
        <v>15.955685615539551</v>
      </c>
      <c r="H69" s="108">
        <f t="shared" si="10"/>
        <v>15.881574948628744</v>
      </c>
    </row>
    <row r="70" spans="1:8">
      <c r="A70" s="96" t="s">
        <v>238</v>
      </c>
      <c r="B70" s="96" t="s">
        <v>320</v>
      </c>
      <c r="E70" s="109">
        <v>15.894612312316895</v>
      </c>
      <c r="F70" s="108">
        <v>15.946266174316406</v>
      </c>
      <c r="G70" s="108">
        <v>15.963062286376953</v>
      </c>
      <c r="H70" s="108">
        <f>AVERAGE(E70:G70)</f>
        <v>15.934646924336752</v>
      </c>
    </row>
    <row r="71" spans="1:8">
      <c r="A71" s="96"/>
      <c r="B71" s="96"/>
      <c r="E71"/>
    </row>
    <row r="72" spans="1:8">
      <c r="A72" s="96"/>
      <c r="F72" s="96" t="s">
        <v>257</v>
      </c>
      <c r="H72" s="111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B1" workbookViewId="0">
      <selection activeCell="L30" sqref="L30"/>
    </sheetView>
  </sheetViews>
  <sheetFormatPr baseColWidth="10" defaultRowHeight="14" x14ac:dyDescent="0"/>
  <cols>
    <col min="7" max="7" width="11" bestFit="1" customWidth="1"/>
  </cols>
  <sheetData>
    <row r="1" spans="1:22">
      <c r="A1" s="83"/>
      <c r="B1" s="140" t="s">
        <v>4</v>
      </c>
      <c r="C1" s="142" t="s">
        <v>185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82" t="s">
        <v>22</v>
      </c>
      <c r="Q1" s="82" t="s">
        <v>22</v>
      </c>
      <c r="R1" s="82" t="s">
        <v>22</v>
      </c>
      <c r="S1" s="147" t="s">
        <v>258</v>
      </c>
      <c r="T1" s="83"/>
      <c r="U1" s="83"/>
      <c r="V1" s="83"/>
    </row>
    <row r="2" spans="1:22">
      <c r="A2" s="83"/>
      <c r="B2" s="141"/>
      <c r="C2" s="141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  <c r="S2" s="148"/>
      <c r="T2" s="83"/>
      <c r="U2" s="83"/>
      <c r="V2" s="83"/>
    </row>
    <row r="3" spans="1:22">
      <c r="A3" s="83"/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37"/>
      <c r="Q3" s="138"/>
      <c r="R3" s="139"/>
      <c r="S3" s="83"/>
      <c r="T3" s="83"/>
      <c r="U3" s="83"/>
      <c r="V3" s="83"/>
    </row>
    <row r="4" spans="1:22">
      <c r="A4" s="83"/>
      <c r="B4" s="89" t="s">
        <v>186</v>
      </c>
      <c r="C4" s="90">
        <v>500</v>
      </c>
      <c r="D4" s="90">
        <v>2</v>
      </c>
      <c r="E4" s="90">
        <v>11777</v>
      </c>
      <c r="F4" s="90">
        <v>6</v>
      </c>
      <c r="G4" s="88">
        <f>(E4/F4)*(10.2)*POWER(10,D4+2)</f>
        <v>200208999.99999997</v>
      </c>
      <c r="H4" s="90">
        <v>2</v>
      </c>
      <c r="I4" s="90">
        <v>12350</v>
      </c>
      <c r="J4" s="90">
        <v>6</v>
      </c>
      <c r="K4" s="88">
        <f>(I4/J4)*(10.2)*POWER(10,H4+2)</f>
        <v>209950000</v>
      </c>
      <c r="L4" s="90">
        <v>2</v>
      </c>
      <c r="M4" s="90">
        <v>12193</v>
      </c>
      <c r="N4" s="90">
        <v>6</v>
      </c>
      <c r="O4" s="88">
        <f t="shared" ref="O4:O19" si="0">(M4/N4)*(10.2)*POWER(10,L4+2)</f>
        <v>207281000</v>
      </c>
      <c r="P4" s="91">
        <f t="shared" ref="P4:P19" si="1">AVERAGE(O4,K4,G4)</f>
        <v>205813333.33333334</v>
      </c>
      <c r="Q4" s="91">
        <f t="shared" ref="Q4:Q19" si="2">STDEV(O4,K4,G4)</f>
        <v>5033617.4202389978</v>
      </c>
      <c r="R4" s="92">
        <f>LOG(P4)</f>
        <v>8.313473506507659</v>
      </c>
      <c r="S4" s="96"/>
      <c r="T4" s="83"/>
      <c r="U4" s="83"/>
      <c r="V4" s="83"/>
    </row>
    <row r="5" spans="1:22">
      <c r="A5" s="83"/>
      <c r="B5" s="89" t="s">
        <v>187</v>
      </c>
      <c r="C5" s="90">
        <v>500</v>
      </c>
      <c r="D5" s="90">
        <v>1</v>
      </c>
      <c r="E5" s="90">
        <v>10368</v>
      </c>
      <c r="F5" s="90">
        <v>6</v>
      </c>
      <c r="G5" s="88">
        <f t="shared" ref="G5:G19" si="3">(E5/F5)*(10.2)*POWER(10,D5+2)</f>
        <v>17625600</v>
      </c>
      <c r="H5" s="90">
        <v>1</v>
      </c>
      <c r="I5" s="90">
        <v>11649</v>
      </c>
      <c r="J5" s="90">
        <v>6</v>
      </c>
      <c r="K5" s="88">
        <f t="shared" ref="K5:K19" si="4">(I5/J5)*(10.2)*POWER(10,H5+2)</f>
        <v>19803300</v>
      </c>
      <c r="L5" s="90">
        <v>1</v>
      </c>
      <c r="M5" s="90">
        <v>11377</v>
      </c>
      <c r="N5" s="90">
        <v>6</v>
      </c>
      <c r="O5" s="88">
        <f t="shared" si="0"/>
        <v>19340899.999999996</v>
      </c>
      <c r="P5" s="91">
        <f t="shared" si="1"/>
        <v>18923266.666666668</v>
      </c>
      <c r="Q5" s="91">
        <f t="shared" si="2"/>
        <v>1147348.0393208207</v>
      </c>
      <c r="R5" s="92">
        <f t="shared" ref="R5:R19" si="5">LOG(P5)</f>
        <v>7.2769961094890272</v>
      </c>
      <c r="S5" s="83"/>
      <c r="T5" s="83"/>
      <c r="U5" s="83"/>
      <c r="V5" s="83"/>
    </row>
    <row r="6" spans="1:22">
      <c r="A6" s="83"/>
      <c r="B6" s="89" t="s">
        <v>188</v>
      </c>
      <c r="C6" s="90">
        <v>500</v>
      </c>
      <c r="D6" s="90">
        <v>1</v>
      </c>
      <c r="E6" s="90">
        <v>1368</v>
      </c>
      <c r="F6" s="90">
        <v>6</v>
      </c>
      <c r="G6" s="88">
        <f t="shared" si="3"/>
        <v>2325600</v>
      </c>
      <c r="H6" s="90">
        <v>1</v>
      </c>
      <c r="I6" s="90">
        <v>1169</v>
      </c>
      <c r="J6" s="90">
        <v>6</v>
      </c>
      <c r="K6" s="88">
        <f t="shared" si="4"/>
        <v>1987300</v>
      </c>
      <c r="L6" s="90">
        <v>1</v>
      </c>
      <c r="M6" s="90">
        <v>1324</v>
      </c>
      <c r="N6" s="90">
        <v>6</v>
      </c>
      <c r="O6" s="88">
        <f t="shared" si="0"/>
        <v>2250799.9999999995</v>
      </c>
      <c r="P6" s="91">
        <f t="shared" si="1"/>
        <v>2187900</v>
      </c>
      <c r="Q6" s="91">
        <f t="shared" si="2"/>
        <v>177704.89582451005</v>
      </c>
      <c r="R6" s="92">
        <f t="shared" si="5"/>
        <v>6.3400274682826607</v>
      </c>
      <c r="S6" s="83"/>
      <c r="T6" s="83"/>
      <c r="U6" s="83"/>
      <c r="V6" s="83"/>
    </row>
    <row r="7" spans="1:22">
      <c r="A7" s="83"/>
      <c r="B7" s="89" t="s">
        <v>189</v>
      </c>
      <c r="C7" s="90">
        <v>500</v>
      </c>
      <c r="D7" s="90">
        <v>1</v>
      </c>
      <c r="E7" s="90">
        <v>1657</v>
      </c>
      <c r="F7" s="90">
        <v>67</v>
      </c>
      <c r="G7" s="88">
        <f>(E7/F7)*(10.2)*POWER(10,D7+2)</f>
        <v>252259.70149253728</v>
      </c>
      <c r="H7" s="90">
        <v>1</v>
      </c>
      <c r="I7" s="90">
        <v>1712</v>
      </c>
      <c r="J7" s="90">
        <v>67</v>
      </c>
      <c r="K7" s="88">
        <f t="shared" si="4"/>
        <v>260632.83582089547</v>
      </c>
      <c r="L7" s="90">
        <v>1</v>
      </c>
      <c r="M7" s="90">
        <v>1701</v>
      </c>
      <c r="N7" s="90">
        <v>67</v>
      </c>
      <c r="O7" s="88">
        <f t="shared" si="0"/>
        <v>258958.20895522388</v>
      </c>
      <c r="P7" s="91">
        <f t="shared" si="1"/>
        <v>257283.58208955219</v>
      </c>
      <c r="Q7" s="91">
        <f t="shared" si="2"/>
        <v>4430.6462253947329</v>
      </c>
      <c r="R7" s="92">
        <f t="shared" si="5"/>
        <v>5.410412073674765</v>
      </c>
      <c r="S7" s="96"/>
      <c r="T7" s="83"/>
      <c r="U7" s="83"/>
      <c r="V7" s="83"/>
    </row>
    <row r="8" spans="1:22">
      <c r="A8" s="83"/>
      <c r="B8" s="89" t="s">
        <v>190</v>
      </c>
      <c r="C8" s="90">
        <v>500</v>
      </c>
      <c r="D8" s="90">
        <v>1</v>
      </c>
      <c r="E8" s="90">
        <v>1582</v>
      </c>
      <c r="F8" s="90">
        <v>334</v>
      </c>
      <c r="G8" s="88">
        <f t="shared" si="3"/>
        <v>48312.574850299396</v>
      </c>
      <c r="H8" s="90">
        <v>1</v>
      </c>
      <c r="I8" s="90">
        <v>1222</v>
      </c>
      <c r="J8" s="90">
        <v>334</v>
      </c>
      <c r="K8" s="88">
        <f t="shared" si="4"/>
        <v>37318.562874251496</v>
      </c>
      <c r="L8" s="90">
        <v>1</v>
      </c>
      <c r="M8" s="90">
        <v>1331</v>
      </c>
      <c r="N8" s="90">
        <v>334</v>
      </c>
      <c r="O8" s="88">
        <f t="shared" si="0"/>
        <v>40647.305389221554</v>
      </c>
      <c r="P8" s="91">
        <f t="shared" si="1"/>
        <v>42092.814371257482</v>
      </c>
      <c r="Q8" s="91">
        <f t="shared" si="2"/>
        <v>5637.7475107733544</v>
      </c>
      <c r="R8" s="92">
        <f t="shared" si="5"/>
        <v>4.6242079641192557</v>
      </c>
      <c r="S8" s="96"/>
      <c r="T8" s="83"/>
      <c r="U8" s="83"/>
      <c r="V8" s="83"/>
    </row>
    <row r="9" spans="1:22">
      <c r="A9" s="83"/>
      <c r="B9" s="89" t="s">
        <v>191</v>
      </c>
      <c r="C9" s="90">
        <v>900</v>
      </c>
      <c r="D9" s="90">
        <v>2</v>
      </c>
      <c r="E9" s="90">
        <v>14797</v>
      </c>
      <c r="F9" s="90">
        <v>6</v>
      </c>
      <c r="G9" s="88">
        <f t="shared" si="3"/>
        <v>251548999.99999997</v>
      </c>
      <c r="H9" s="90">
        <v>2</v>
      </c>
      <c r="I9" s="90">
        <v>12831</v>
      </c>
      <c r="J9" s="90">
        <v>6</v>
      </c>
      <c r="K9" s="88">
        <f t="shared" si="4"/>
        <v>218126999.99999997</v>
      </c>
      <c r="L9" s="90">
        <v>2</v>
      </c>
      <c r="M9" s="90">
        <v>13557</v>
      </c>
      <c r="N9" s="90">
        <v>6</v>
      </c>
      <c r="O9" s="88">
        <f t="shared" si="0"/>
        <v>230468999.99999997</v>
      </c>
      <c r="P9" s="91">
        <f t="shared" si="1"/>
        <v>233381666.66666663</v>
      </c>
      <c r="Q9" s="91">
        <f t="shared" si="2"/>
        <v>16900302.995311458</v>
      </c>
      <c r="R9" s="92">
        <f t="shared" si="5"/>
        <v>8.3680667369783137</v>
      </c>
      <c r="S9" s="83"/>
      <c r="T9" s="83"/>
      <c r="U9" s="83"/>
      <c r="V9" s="83"/>
    </row>
    <row r="10" spans="1:22">
      <c r="A10" s="83"/>
      <c r="B10" s="89" t="s">
        <v>192</v>
      </c>
      <c r="C10" s="90">
        <v>900</v>
      </c>
      <c r="D10" s="90">
        <v>2</v>
      </c>
      <c r="E10" s="90">
        <v>6167</v>
      </c>
      <c r="F10" s="90">
        <v>6</v>
      </c>
      <c r="G10" s="88">
        <f t="shared" si="3"/>
        <v>104838999.99999999</v>
      </c>
      <c r="H10" s="90">
        <v>2</v>
      </c>
      <c r="I10" s="90">
        <v>6132</v>
      </c>
      <c r="J10" s="90">
        <v>6</v>
      </c>
      <c r="K10" s="88">
        <f t="shared" si="4"/>
        <v>104244000</v>
      </c>
      <c r="L10" s="90">
        <v>2</v>
      </c>
      <c r="M10" s="90">
        <v>5412</v>
      </c>
      <c r="N10" s="90">
        <v>6</v>
      </c>
      <c r="O10" s="88">
        <f t="shared" si="0"/>
        <v>92004000</v>
      </c>
      <c r="P10" s="91">
        <f t="shared" si="1"/>
        <v>100362333.33333333</v>
      </c>
      <c r="Q10" s="91">
        <f t="shared" si="2"/>
        <v>7244639.9726510411</v>
      </c>
      <c r="R10" s="92">
        <f t="shared" si="5"/>
        <v>8.0015707497132311</v>
      </c>
      <c r="S10" s="83"/>
      <c r="T10" s="83"/>
      <c r="U10" s="83"/>
      <c r="V10" s="83"/>
    </row>
    <row r="11" spans="1:22">
      <c r="A11" s="83"/>
      <c r="B11" s="89" t="s">
        <v>193</v>
      </c>
      <c r="C11" s="90">
        <v>900</v>
      </c>
      <c r="D11" s="90">
        <v>2</v>
      </c>
      <c r="E11" s="90">
        <v>2783</v>
      </c>
      <c r="F11" s="90">
        <v>6</v>
      </c>
      <c r="G11" s="88">
        <f t="shared" si="3"/>
        <v>47310999.999999993</v>
      </c>
      <c r="H11" s="90">
        <v>2</v>
      </c>
      <c r="I11" s="90">
        <v>2791</v>
      </c>
      <c r="J11" s="90">
        <v>6</v>
      </c>
      <c r="K11" s="88">
        <f t="shared" si="4"/>
        <v>47447000</v>
      </c>
      <c r="L11" s="90">
        <v>2</v>
      </c>
      <c r="M11" s="90">
        <v>2844</v>
      </c>
      <c r="N11" s="90">
        <v>6</v>
      </c>
      <c r="O11" s="88">
        <f t="shared" si="0"/>
        <v>48347999.999999993</v>
      </c>
      <c r="P11" s="91">
        <f t="shared" si="1"/>
        <v>47702000</v>
      </c>
      <c r="Q11" s="91">
        <f t="shared" si="2"/>
        <v>563569.87144452473</v>
      </c>
      <c r="R11" s="92">
        <f t="shared" si="5"/>
        <v>7.6785365880706147</v>
      </c>
      <c r="S11" s="83"/>
      <c r="T11" s="83"/>
      <c r="U11" s="83"/>
      <c r="V11" s="83"/>
    </row>
    <row r="12" spans="1:22">
      <c r="A12" s="83"/>
      <c r="B12" s="89" t="s">
        <v>194</v>
      </c>
      <c r="C12" s="90">
        <v>900</v>
      </c>
      <c r="D12" s="90">
        <v>1</v>
      </c>
      <c r="E12" s="90">
        <v>14347</v>
      </c>
      <c r="F12" s="90">
        <v>6</v>
      </c>
      <c r="G12" s="88">
        <f t="shared" si="3"/>
        <v>24389899.999999996</v>
      </c>
      <c r="H12" s="90">
        <v>1</v>
      </c>
      <c r="I12" s="90">
        <v>13548</v>
      </c>
      <c r="J12" s="90">
        <v>6</v>
      </c>
      <c r="K12" s="88">
        <f t="shared" si="4"/>
        <v>23031600</v>
      </c>
      <c r="L12" s="90">
        <v>1</v>
      </c>
      <c r="M12" s="90">
        <v>14200</v>
      </c>
      <c r="N12" s="90">
        <v>6</v>
      </c>
      <c r="O12" s="88">
        <f t="shared" si="0"/>
        <v>24139999.999999996</v>
      </c>
      <c r="P12" s="91">
        <f t="shared" si="1"/>
        <v>23853833.333333332</v>
      </c>
      <c r="Q12" s="91">
        <f t="shared" si="2"/>
        <v>722954.52369656716</v>
      </c>
      <c r="R12" s="92">
        <f t="shared" si="5"/>
        <v>7.3775581805140655</v>
      </c>
      <c r="S12" s="83"/>
      <c r="T12" s="83"/>
      <c r="U12" s="83"/>
      <c r="V12" s="83"/>
    </row>
    <row r="13" spans="1:22">
      <c r="A13" s="83"/>
      <c r="B13" s="89" t="s">
        <v>195</v>
      </c>
      <c r="C13" s="90">
        <v>900</v>
      </c>
      <c r="D13" s="90">
        <v>1</v>
      </c>
      <c r="E13" s="90">
        <v>5210</v>
      </c>
      <c r="F13" s="90">
        <v>6</v>
      </c>
      <c r="G13" s="88">
        <f t="shared" si="3"/>
        <v>8857000</v>
      </c>
      <c r="H13" s="90">
        <v>1</v>
      </c>
      <c r="I13" s="90">
        <v>5214</v>
      </c>
      <c r="J13" s="90">
        <v>6</v>
      </c>
      <c r="K13" s="88">
        <f t="shared" si="4"/>
        <v>8863800</v>
      </c>
      <c r="L13" s="90">
        <v>1</v>
      </c>
      <c r="M13" s="90">
        <v>5752</v>
      </c>
      <c r="N13" s="90">
        <v>6</v>
      </c>
      <c r="O13" s="88">
        <f t="shared" si="0"/>
        <v>9778400</v>
      </c>
      <c r="P13" s="91">
        <f t="shared" si="1"/>
        <v>9166400</v>
      </c>
      <c r="Q13" s="91">
        <f t="shared" si="2"/>
        <v>530018.4525089669</v>
      </c>
      <c r="R13" s="92">
        <f t="shared" si="5"/>
        <v>6.9621988049055377</v>
      </c>
      <c r="S13" s="83"/>
      <c r="T13" s="83"/>
      <c r="U13" s="83"/>
      <c r="V13" s="83"/>
    </row>
    <row r="14" spans="1:22">
      <c r="A14" s="83"/>
      <c r="B14" s="89" t="s">
        <v>196</v>
      </c>
      <c r="C14" s="90">
        <v>900</v>
      </c>
      <c r="D14" s="90">
        <v>1</v>
      </c>
      <c r="E14" s="90">
        <v>2620</v>
      </c>
      <c r="F14" s="90">
        <v>6</v>
      </c>
      <c r="G14" s="88">
        <f t="shared" si="3"/>
        <v>4454000</v>
      </c>
      <c r="H14" s="90">
        <v>1</v>
      </c>
      <c r="I14" s="90">
        <v>2454</v>
      </c>
      <c r="J14" s="90">
        <v>6</v>
      </c>
      <c r="K14" s="88">
        <f t="shared" si="4"/>
        <v>4171799.9999999991</v>
      </c>
      <c r="L14" s="90">
        <v>1</v>
      </c>
      <c r="M14" s="90">
        <v>2673</v>
      </c>
      <c r="N14" s="90">
        <v>6</v>
      </c>
      <c r="O14" s="88">
        <f t="shared" si="0"/>
        <v>4544099.9999999991</v>
      </c>
      <c r="P14" s="91">
        <f t="shared" si="1"/>
        <v>4389966.666666666</v>
      </c>
      <c r="Q14" s="91">
        <f t="shared" si="2"/>
        <v>194234.45454741904</v>
      </c>
      <c r="R14" s="92">
        <f t="shared" si="5"/>
        <v>6.642461222625335</v>
      </c>
      <c r="S14" s="83"/>
      <c r="T14" s="83"/>
      <c r="U14" s="83"/>
      <c r="V14" s="83"/>
    </row>
    <row r="15" spans="1:22">
      <c r="A15" s="83"/>
      <c r="B15" s="89" t="s">
        <v>197</v>
      </c>
      <c r="C15" s="90">
        <v>900</v>
      </c>
      <c r="D15" s="90">
        <v>1</v>
      </c>
      <c r="E15" s="90">
        <v>1562</v>
      </c>
      <c r="F15" s="90">
        <v>6</v>
      </c>
      <c r="G15" s="88">
        <f t="shared" si="3"/>
        <v>2655399.9999999995</v>
      </c>
      <c r="H15" s="90">
        <v>1</v>
      </c>
      <c r="I15" s="90">
        <v>1614</v>
      </c>
      <c r="J15" s="90">
        <v>6</v>
      </c>
      <c r="K15" s="88">
        <f t="shared" si="4"/>
        <v>2743799.9999999995</v>
      </c>
      <c r="L15" s="90">
        <v>1</v>
      </c>
      <c r="M15" s="90">
        <v>1660</v>
      </c>
      <c r="N15" s="90">
        <v>6</v>
      </c>
      <c r="O15" s="88">
        <f t="shared" si="0"/>
        <v>2822000</v>
      </c>
      <c r="P15" s="91">
        <f t="shared" si="1"/>
        <v>2740400</v>
      </c>
      <c r="Q15" s="91">
        <f t="shared" si="2"/>
        <v>83352.024570492809</v>
      </c>
      <c r="R15" s="92">
        <f t="shared" si="5"/>
        <v>6.4378139588473458</v>
      </c>
      <c r="S15" s="83"/>
      <c r="T15" s="83"/>
      <c r="U15" s="83"/>
      <c r="V15" s="83"/>
    </row>
    <row r="16" spans="1:22">
      <c r="A16" s="83"/>
      <c r="B16" s="89" t="s">
        <v>198</v>
      </c>
      <c r="C16" s="90">
        <v>900</v>
      </c>
      <c r="D16" s="90">
        <v>1</v>
      </c>
      <c r="E16" s="90">
        <v>2084</v>
      </c>
      <c r="F16" s="90">
        <v>13</v>
      </c>
      <c r="G16" s="88">
        <f t="shared" si="3"/>
        <v>1635138.4615384615</v>
      </c>
      <c r="H16" s="90">
        <v>1</v>
      </c>
      <c r="I16" s="90">
        <v>2144</v>
      </c>
      <c r="J16" s="90">
        <v>13</v>
      </c>
      <c r="K16" s="88">
        <f t="shared" si="4"/>
        <v>1682215.3846153847</v>
      </c>
      <c r="L16" s="90">
        <v>1</v>
      </c>
      <c r="M16" s="90">
        <v>1740</v>
      </c>
      <c r="N16" s="90">
        <v>13</v>
      </c>
      <c r="O16" s="88">
        <f t="shared" si="0"/>
        <v>1365230.769230769</v>
      </c>
      <c r="P16" s="91">
        <f t="shared" si="1"/>
        <v>1560861.5384615387</v>
      </c>
      <c r="Q16" s="91">
        <f t="shared" si="2"/>
        <v>171048.55326475156</v>
      </c>
      <c r="R16" s="92">
        <f t="shared" si="5"/>
        <v>6.1933643792000312</v>
      </c>
      <c r="S16" s="83"/>
      <c r="T16" s="83"/>
      <c r="U16" s="83"/>
      <c r="V16" s="83"/>
    </row>
    <row r="17" spans="1:22">
      <c r="A17" s="83"/>
      <c r="B17" s="89" t="s">
        <v>199</v>
      </c>
      <c r="C17" s="90">
        <v>900</v>
      </c>
      <c r="D17" s="90">
        <v>1</v>
      </c>
      <c r="E17" s="90">
        <v>2200</v>
      </c>
      <c r="F17" s="90">
        <v>26</v>
      </c>
      <c r="G17" s="88">
        <f t="shared" si="3"/>
        <v>863076.92307692301</v>
      </c>
      <c r="H17" s="90">
        <v>1</v>
      </c>
      <c r="I17" s="90">
        <v>2389</v>
      </c>
      <c r="J17" s="90">
        <v>26</v>
      </c>
      <c r="K17" s="88">
        <f t="shared" si="4"/>
        <v>937223.07692307688</v>
      </c>
      <c r="L17" s="90">
        <v>1</v>
      </c>
      <c r="M17" s="90">
        <v>2163</v>
      </c>
      <c r="N17" s="90">
        <v>26</v>
      </c>
      <c r="O17" s="88">
        <f t="shared" si="0"/>
        <v>848561.53846153838</v>
      </c>
      <c r="P17" s="91">
        <f t="shared" si="1"/>
        <v>882953.84615384601</v>
      </c>
      <c r="Q17" s="91">
        <f t="shared" si="2"/>
        <v>47555.611170987548</v>
      </c>
      <c r="R17" s="92">
        <f t="shared" si="5"/>
        <v>5.9459380026890356</v>
      </c>
      <c r="S17" s="83"/>
      <c r="T17" s="83"/>
      <c r="U17" s="83"/>
      <c r="V17" s="83"/>
    </row>
    <row r="18" spans="1:22">
      <c r="A18" s="83"/>
      <c r="B18" s="89" t="s">
        <v>200</v>
      </c>
      <c r="C18" s="90">
        <v>900</v>
      </c>
      <c r="D18" s="90">
        <v>1</v>
      </c>
      <c r="E18" s="90">
        <v>2258</v>
      </c>
      <c r="F18" s="90">
        <v>53</v>
      </c>
      <c r="G18" s="88">
        <f t="shared" si="3"/>
        <v>434558.49056603765</v>
      </c>
      <c r="H18" s="90">
        <v>1</v>
      </c>
      <c r="I18" s="90">
        <v>2364</v>
      </c>
      <c r="J18" s="90">
        <v>53</v>
      </c>
      <c r="K18" s="88">
        <f t="shared" si="4"/>
        <v>454958.49056603771</v>
      </c>
      <c r="L18" s="90">
        <v>1</v>
      </c>
      <c r="M18" s="90">
        <v>2494</v>
      </c>
      <c r="N18" s="90">
        <v>53</v>
      </c>
      <c r="O18" s="88">
        <f t="shared" si="0"/>
        <v>479977.35849056597</v>
      </c>
      <c r="P18" s="91">
        <f t="shared" si="1"/>
        <v>456498.11320754705</v>
      </c>
      <c r="Q18" s="91">
        <f t="shared" si="2"/>
        <v>22748.543234570494</v>
      </c>
      <c r="R18" s="92">
        <f t="shared" si="5"/>
        <v>5.6594389868533534</v>
      </c>
      <c r="S18" s="83"/>
      <c r="T18" s="83"/>
      <c r="U18" s="83"/>
      <c r="V18" s="83"/>
    </row>
    <row r="19" spans="1:22">
      <c r="A19" s="83"/>
      <c r="B19" s="89" t="s">
        <v>201</v>
      </c>
      <c r="C19" s="90">
        <v>900</v>
      </c>
      <c r="D19" s="90">
        <v>1</v>
      </c>
      <c r="E19" s="90">
        <v>2389</v>
      </c>
      <c r="F19" s="90">
        <v>107</v>
      </c>
      <c r="G19" s="88">
        <f t="shared" si="3"/>
        <v>227736.44859813081</v>
      </c>
      <c r="H19" s="90">
        <v>1</v>
      </c>
      <c r="I19" s="90">
        <v>2798</v>
      </c>
      <c r="J19" s="90">
        <v>107</v>
      </c>
      <c r="K19" s="88">
        <f t="shared" si="4"/>
        <v>266725.23364485975</v>
      </c>
      <c r="L19" s="90">
        <v>1</v>
      </c>
      <c r="M19" s="90">
        <v>7437</v>
      </c>
      <c r="N19" s="90">
        <v>394</v>
      </c>
      <c r="O19" s="88">
        <f t="shared" si="0"/>
        <v>192531.47208121826</v>
      </c>
      <c r="P19" s="91">
        <f t="shared" si="1"/>
        <v>228997.71810806962</v>
      </c>
      <c r="Q19" s="91">
        <f t="shared" si="2"/>
        <v>37112.958172626859</v>
      </c>
      <c r="R19" s="92">
        <f t="shared" si="5"/>
        <v>5.359831154750319</v>
      </c>
      <c r="S19" s="83"/>
      <c r="T19" s="83"/>
      <c r="U19" s="83"/>
      <c r="V19" s="83"/>
    </row>
    <row r="20" spans="1:22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43" thickBot="1">
      <c r="A21" s="83"/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259</v>
      </c>
      <c r="J21" s="95" t="s">
        <v>260</v>
      </c>
      <c r="K21" s="95" t="s">
        <v>261</v>
      </c>
      <c r="L21" s="95" t="s">
        <v>262</v>
      </c>
      <c r="M21" s="96" t="s">
        <v>258</v>
      </c>
      <c r="N21" s="83"/>
      <c r="O21" s="83"/>
      <c r="P21" s="83"/>
      <c r="Q21" s="83"/>
      <c r="R21" s="83"/>
      <c r="S21" s="83"/>
      <c r="T21" s="83"/>
      <c r="U21" s="83"/>
      <c r="V21" s="83"/>
    </row>
    <row r="22" spans="1: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>
      <c r="A23" s="83"/>
      <c r="B23" s="89" t="s">
        <v>186</v>
      </c>
      <c r="C23" s="97">
        <v>12.024166107177734</v>
      </c>
      <c r="D23" s="97">
        <v>11.937971115112305</v>
      </c>
      <c r="E23" s="97">
        <v>12.113894462585449</v>
      </c>
      <c r="F23" s="102">
        <f>AVERAGE(C23:E23)</f>
        <v>12.025343894958496</v>
      </c>
      <c r="G23" s="112">
        <f>1000/1000*200/4*1000/900</f>
        <v>55.555555555555557</v>
      </c>
      <c r="H23" s="111">
        <f>LOG(G23)/LOG(2)</f>
        <v>5.7958592832197748</v>
      </c>
      <c r="I23" s="97">
        <f>C23-H23</f>
        <v>6.2283068239579595</v>
      </c>
      <c r="J23" s="97">
        <f>D23-H23</f>
        <v>6.1421118318925298</v>
      </c>
      <c r="K23" s="97">
        <f>E23-H23</f>
        <v>6.3180351793656744</v>
      </c>
      <c r="L23" s="102">
        <f>AVERAGE(I23:K23)</f>
        <v>6.2294846117387221</v>
      </c>
      <c r="M23" s="96"/>
      <c r="N23" s="83"/>
      <c r="O23" s="83"/>
      <c r="P23" s="83"/>
      <c r="Q23" s="83"/>
      <c r="R23" s="83"/>
      <c r="S23" s="83"/>
      <c r="T23" s="83"/>
      <c r="U23" s="83"/>
      <c r="V23" s="83"/>
    </row>
    <row r="24" spans="1:22">
      <c r="A24" s="83"/>
      <c r="B24" s="89" t="s">
        <v>187</v>
      </c>
      <c r="C24" s="97">
        <v>17.587196350097656</v>
      </c>
      <c r="D24" s="97">
        <v>17.463251113891602</v>
      </c>
      <c r="E24" s="97">
        <v>17.496953964233398</v>
      </c>
      <c r="F24" s="102">
        <f t="shared" ref="F24:F38" si="6">AVERAGE(C24:E24)</f>
        <v>17.515800476074219</v>
      </c>
      <c r="G24" s="112">
        <f t="shared" ref="G24:G27" si="7">1000/1000*200/4*1000/900</f>
        <v>55.555555555555557</v>
      </c>
      <c r="H24" s="111">
        <f t="shared" ref="H24:H38" si="8">LOG(G24)/LOG(2)</f>
        <v>5.7958592832197748</v>
      </c>
      <c r="I24" s="97">
        <f>C24-H24</f>
        <v>11.791337066877881</v>
      </c>
      <c r="J24" s="97">
        <f t="shared" ref="J24:J38" si="9">D24-H24</f>
        <v>11.667391830671827</v>
      </c>
      <c r="K24" s="97">
        <f t="shared" ref="K24:K38" si="10">E24-H24</f>
        <v>11.701094681013624</v>
      </c>
      <c r="L24" s="102">
        <f t="shared" ref="L24:L38" si="11">AVERAGE(I24:K24)</f>
        <v>11.719941192854444</v>
      </c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>
      <c r="A25" s="83"/>
      <c r="B25" s="89" t="s">
        <v>188</v>
      </c>
      <c r="C25" s="97">
        <v>20.035877227783203</v>
      </c>
      <c r="D25" s="97">
        <v>19.974271774291992</v>
      </c>
      <c r="E25" s="97">
        <v>19.944717407226562</v>
      </c>
      <c r="F25" s="102">
        <f t="shared" si="6"/>
        <v>19.984955469767254</v>
      </c>
      <c r="G25" s="112">
        <f t="shared" si="7"/>
        <v>55.555555555555557</v>
      </c>
      <c r="H25" s="111">
        <f t="shared" si="8"/>
        <v>5.7958592832197748</v>
      </c>
      <c r="I25" s="97">
        <f>C25-H25</f>
        <v>14.240017944563428</v>
      </c>
      <c r="J25" s="97">
        <f t="shared" si="9"/>
        <v>14.178412491072217</v>
      </c>
      <c r="K25" s="97">
        <f t="shared" si="10"/>
        <v>14.148858124006788</v>
      </c>
      <c r="L25" s="102">
        <f t="shared" si="11"/>
        <v>14.189096186547479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>
      <c r="A26" s="83"/>
      <c r="B26" s="89" t="s">
        <v>189</v>
      </c>
      <c r="C26" s="97">
        <v>24.500289916992188</v>
      </c>
      <c r="D26" s="97">
        <v>24.458871841430664</v>
      </c>
      <c r="E26" s="97">
        <v>24.548263549804688</v>
      </c>
      <c r="F26" s="102">
        <f t="shared" si="6"/>
        <v>24.502475102742512</v>
      </c>
      <c r="G26" s="112">
        <f t="shared" si="7"/>
        <v>55.555555555555557</v>
      </c>
      <c r="H26" s="111">
        <f t="shared" si="8"/>
        <v>5.7958592832197748</v>
      </c>
      <c r="I26" s="97">
        <f>C26-H26</f>
        <v>18.704430633772411</v>
      </c>
      <c r="J26" s="97">
        <f t="shared" si="9"/>
        <v>18.663012558210887</v>
      </c>
      <c r="K26" s="97">
        <f t="shared" si="10"/>
        <v>18.752404266584911</v>
      </c>
      <c r="L26" s="102">
        <f t="shared" si="11"/>
        <v>18.706615819522735</v>
      </c>
      <c r="M26" s="96"/>
      <c r="N26" s="83"/>
      <c r="O26" s="83"/>
      <c r="P26" s="83"/>
      <c r="Q26" s="83"/>
      <c r="R26" s="83"/>
      <c r="S26" s="83"/>
      <c r="T26" s="83"/>
      <c r="U26" s="83"/>
      <c r="V26" s="83"/>
    </row>
    <row r="27" spans="1:22">
      <c r="A27" s="83"/>
      <c r="B27" s="89" t="s">
        <v>190</v>
      </c>
      <c r="C27" s="97">
        <v>27.966335296630859</v>
      </c>
      <c r="D27" s="97">
        <v>27.953102111816406</v>
      </c>
      <c r="E27" s="97">
        <v>27.858415603637695</v>
      </c>
      <c r="F27" s="102">
        <f>AVERAGE(C27:E27)</f>
        <v>27.92595100402832</v>
      </c>
      <c r="G27" s="112">
        <f t="shared" si="7"/>
        <v>55.555555555555557</v>
      </c>
      <c r="H27" s="111">
        <f t="shared" si="8"/>
        <v>5.7958592832197748</v>
      </c>
      <c r="I27" s="97">
        <f>C27-H27</f>
        <v>22.170476013411083</v>
      </c>
      <c r="J27" s="97">
        <f>D27-H27</f>
        <v>22.15724282859663</v>
      </c>
      <c r="K27" s="97">
        <f>E27-H27</f>
        <v>22.062556320417919</v>
      </c>
      <c r="L27" s="102">
        <f t="shared" si="11"/>
        <v>22.130091720808547</v>
      </c>
      <c r="M27" s="96"/>
      <c r="N27" s="83"/>
      <c r="O27" s="83"/>
      <c r="P27" s="83"/>
      <c r="Q27" s="83"/>
      <c r="R27" s="83"/>
      <c r="S27" s="83"/>
      <c r="T27" s="83"/>
      <c r="U27" s="83"/>
      <c r="V27" s="83"/>
    </row>
    <row r="28" spans="1:22">
      <c r="A28" s="83"/>
      <c r="B28" s="89" t="s">
        <v>191</v>
      </c>
      <c r="C28" s="97">
        <v>13.96388053894043</v>
      </c>
      <c r="D28" s="97">
        <v>13.646139144897461</v>
      </c>
      <c r="E28" s="97">
        <v>13.680848121643066</v>
      </c>
      <c r="F28" s="102">
        <f t="shared" si="6"/>
        <v>13.763622601826986</v>
      </c>
      <c r="G28" s="83">
        <f>1000/1000*200/4*1000/500</f>
        <v>100</v>
      </c>
      <c r="H28" s="111">
        <f t="shared" si="8"/>
        <v>6.6438561897747244</v>
      </c>
      <c r="I28" s="97">
        <f t="shared" ref="I28:I38" si="12">C28-H28</f>
        <v>7.3200243491657053</v>
      </c>
      <c r="J28" s="97">
        <f t="shared" si="9"/>
        <v>7.0022829551227366</v>
      </c>
      <c r="K28" s="97">
        <f t="shared" si="10"/>
        <v>7.036991931868342</v>
      </c>
      <c r="L28" s="102">
        <f t="shared" si="11"/>
        <v>7.119766412052261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89" t="s">
        <v>192</v>
      </c>
      <c r="C29" s="97">
        <v>15.15186882019043</v>
      </c>
      <c r="D29" s="97">
        <v>15.517631530761719</v>
      </c>
      <c r="E29" s="97">
        <v>15.663459777832031</v>
      </c>
      <c r="F29" s="102">
        <f t="shared" si="6"/>
        <v>15.44432004292806</v>
      </c>
      <c r="G29" s="83">
        <f t="shared" ref="G29:G38" si="13">1000/1000*200/4*1000/500</f>
        <v>100</v>
      </c>
      <c r="H29" s="111">
        <f t="shared" si="8"/>
        <v>6.6438561897747244</v>
      </c>
      <c r="I29" s="97">
        <f t="shared" si="12"/>
        <v>8.5080126304157062</v>
      </c>
      <c r="J29" s="97">
        <f t="shared" si="9"/>
        <v>8.8737753409869953</v>
      </c>
      <c r="K29" s="97">
        <f t="shared" si="10"/>
        <v>9.0196035880573078</v>
      </c>
      <c r="L29" s="102">
        <f t="shared" si="11"/>
        <v>8.800463853153337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89" t="s">
        <v>193</v>
      </c>
      <c r="C30" s="97">
        <v>16.251581192016602</v>
      </c>
      <c r="D30" s="97">
        <v>16.335042953491211</v>
      </c>
      <c r="E30" s="97">
        <v>16.212072372436523</v>
      </c>
      <c r="F30" s="102">
        <f t="shared" si="6"/>
        <v>16.266232172648113</v>
      </c>
      <c r="G30" s="83">
        <f t="shared" si="13"/>
        <v>100</v>
      </c>
      <c r="H30" s="111">
        <f t="shared" si="8"/>
        <v>6.6438561897747244</v>
      </c>
      <c r="I30" s="97">
        <f t="shared" si="12"/>
        <v>9.6077250022418781</v>
      </c>
      <c r="J30" s="97">
        <f t="shared" si="9"/>
        <v>9.6911867637164875</v>
      </c>
      <c r="K30" s="97">
        <f t="shared" si="10"/>
        <v>9.5682161826618</v>
      </c>
      <c r="L30" s="102">
        <f t="shared" si="11"/>
        <v>9.6223759828733879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>
      <c r="A31" s="83"/>
      <c r="B31" s="89" t="s">
        <v>194</v>
      </c>
      <c r="C31" s="97">
        <v>18.410284042358398</v>
      </c>
      <c r="D31" s="97">
        <v>18.640316009521484</v>
      </c>
      <c r="E31" s="97">
        <v>18.454940795898438</v>
      </c>
      <c r="F31" s="102">
        <f t="shared" si="6"/>
        <v>18.501846949259441</v>
      </c>
      <c r="G31" s="83">
        <f t="shared" si="13"/>
        <v>100</v>
      </c>
      <c r="H31" s="111">
        <f t="shared" si="8"/>
        <v>6.6438561897747244</v>
      </c>
      <c r="I31" s="97">
        <f t="shared" si="12"/>
        <v>11.766427852583675</v>
      </c>
      <c r="J31" s="97">
        <f t="shared" si="9"/>
        <v>11.996459819746761</v>
      </c>
      <c r="K31" s="97">
        <f t="shared" si="10"/>
        <v>11.811084606123714</v>
      </c>
      <c r="L31" s="102">
        <f t="shared" si="11"/>
        <v>11.857990759484716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89" t="s">
        <v>195</v>
      </c>
      <c r="C32" s="97">
        <v>18.648725509643555</v>
      </c>
      <c r="D32" s="97">
        <v>18.836643218994141</v>
      </c>
      <c r="E32" s="97">
        <v>18.618749618530273</v>
      </c>
      <c r="F32" s="102">
        <f t="shared" si="6"/>
        <v>18.701372782389324</v>
      </c>
      <c r="G32" s="83">
        <f t="shared" si="13"/>
        <v>100</v>
      </c>
      <c r="H32" s="111">
        <f t="shared" si="8"/>
        <v>6.6438561897747244</v>
      </c>
      <c r="I32" s="97">
        <f t="shared" si="12"/>
        <v>12.004869319868831</v>
      </c>
      <c r="J32" s="97">
        <f t="shared" si="9"/>
        <v>12.192787029219417</v>
      </c>
      <c r="K32" s="97">
        <f t="shared" si="10"/>
        <v>11.97489342875555</v>
      </c>
      <c r="L32" s="102">
        <f t="shared" si="11"/>
        <v>12.057516592614599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89" t="s">
        <v>196</v>
      </c>
      <c r="C33" s="97">
        <v>19.173038482666016</v>
      </c>
      <c r="D33" s="97">
        <v>19.267778396606445</v>
      </c>
      <c r="E33" s="97">
        <v>19.15654182434082</v>
      </c>
      <c r="F33" s="102">
        <f t="shared" si="6"/>
        <v>19.199119567871094</v>
      </c>
      <c r="G33" s="83">
        <f t="shared" si="13"/>
        <v>100</v>
      </c>
      <c r="H33" s="111">
        <f t="shared" si="8"/>
        <v>6.6438561897747244</v>
      </c>
      <c r="I33" s="97">
        <f t="shared" si="12"/>
        <v>12.529182292891292</v>
      </c>
      <c r="J33" s="97">
        <f t="shared" si="9"/>
        <v>12.623922206831722</v>
      </c>
      <c r="K33" s="97">
        <f t="shared" si="10"/>
        <v>12.512685634566097</v>
      </c>
      <c r="L33" s="102">
        <f t="shared" si="11"/>
        <v>12.55526337809637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89" t="s">
        <v>197</v>
      </c>
      <c r="C34" s="97">
        <v>20.283313751220703</v>
      </c>
      <c r="D34" s="97">
        <v>20.449991226196289</v>
      </c>
      <c r="E34" s="97">
        <v>20.311237335205078</v>
      </c>
      <c r="F34" s="102">
        <f t="shared" si="6"/>
        <v>20.348180770874023</v>
      </c>
      <c r="G34" s="83">
        <f t="shared" si="13"/>
        <v>100</v>
      </c>
      <c r="H34" s="111">
        <f t="shared" si="8"/>
        <v>6.6438561897747244</v>
      </c>
      <c r="I34" s="97">
        <f t="shared" si="12"/>
        <v>13.63945756144598</v>
      </c>
      <c r="J34" s="97">
        <f t="shared" si="9"/>
        <v>13.806135036421566</v>
      </c>
      <c r="K34" s="97">
        <f t="shared" si="10"/>
        <v>13.667381145430355</v>
      </c>
      <c r="L34" s="102">
        <f t="shared" si="11"/>
        <v>13.7043245810993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89" t="s">
        <v>198</v>
      </c>
      <c r="C35" s="97">
        <v>21.243825912475586</v>
      </c>
      <c r="D35" s="97">
        <v>21.539775848388672</v>
      </c>
      <c r="E35" s="97">
        <v>21.392797470092773</v>
      </c>
      <c r="F35" s="102">
        <f t="shared" si="6"/>
        <v>21.392133076985676</v>
      </c>
      <c r="G35" s="83">
        <f t="shared" si="13"/>
        <v>100</v>
      </c>
      <c r="H35" s="111">
        <f t="shared" si="8"/>
        <v>6.6438561897747244</v>
      </c>
      <c r="I35" s="97">
        <f t="shared" si="12"/>
        <v>14.599969722700862</v>
      </c>
      <c r="J35" s="97">
        <f t="shared" si="9"/>
        <v>14.895919658613948</v>
      </c>
      <c r="K35" s="97">
        <f t="shared" si="10"/>
        <v>14.74894128031805</v>
      </c>
      <c r="L35" s="102">
        <f t="shared" si="11"/>
        <v>14.748276887210954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89" t="s">
        <v>199</v>
      </c>
      <c r="C36" s="97">
        <v>22.513101577758789</v>
      </c>
      <c r="D36" s="97">
        <v>22.496644973754883</v>
      </c>
      <c r="E36" s="97">
        <v>22.572574615478516</v>
      </c>
      <c r="F36" s="102">
        <f t="shared" si="6"/>
        <v>22.527440388997395</v>
      </c>
      <c r="G36" s="83">
        <f t="shared" si="13"/>
        <v>100</v>
      </c>
      <c r="H36" s="111">
        <f t="shared" si="8"/>
        <v>6.6438561897747244</v>
      </c>
      <c r="I36" s="97">
        <f t="shared" si="12"/>
        <v>15.869245387984066</v>
      </c>
      <c r="J36" s="97">
        <f t="shared" si="9"/>
        <v>15.852788783980159</v>
      </c>
      <c r="K36" s="97">
        <f t="shared" si="10"/>
        <v>15.928718425703792</v>
      </c>
      <c r="L36" s="102">
        <f t="shared" si="11"/>
        <v>15.883584199222673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89" t="s">
        <v>200</v>
      </c>
      <c r="C37" s="97">
        <v>25.11761474609375</v>
      </c>
      <c r="D37" s="97">
        <v>25.00200080871582</v>
      </c>
      <c r="E37" s="97">
        <v>25.069990158081055</v>
      </c>
      <c r="F37" s="102">
        <f t="shared" si="6"/>
        <v>25.063201904296875</v>
      </c>
      <c r="G37" s="83">
        <f t="shared" si="13"/>
        <v>100</v>
      </c>
      <c r="H37" s="111">
        <f t="shared" si="8"/>
        <v>6.6438561897747244</v>
      </c>
      <c r="I37" s="97">
        <f t="shared" si="12"/>
        <v>18.473758556319027</v>
      </c>
      <c r="J37" s="97">
        <f t="shared" si="9"/>
        <v>18.358144618941097</v>
      </c>
      <c r="K37" s="97">
        <f t="shared" si="10"/>
        <v>18.426133968306331</v>
      </c>
      <c r="L37" s="102">
        <f t="shared" si="11"/>
        <v>18.419345714522152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89" t="s">
        <v>201</v>
      </c>
      <c r="C38" s="97">
        <v>25.78911018371582</v>
      </c>
      <c r="D38" s="97">
        <v>25.811565399169922</v>
      </c>
      <c r="E38" s="97">
        <v>25.885698318481445</v>
      </c>
      <c r="F38" s="102">
        <f t="shared" si="6"/>
        <v>25.82879130045573</v>
      </c>
      <c r="G38" s="83">
        <f t="shared" si="13"/>
        <v>100</v>
      </c>
      <c r="H38" s="111">
        <f t="shared" si="8"/>
        <v>6.6438561897747244</v>
      </c>
      <c r="I38" s="97">
        <f t="shared" si="12"/>
        <v>19.145253993941097</v>
      </c>
      <c r="J38" s="97">
        <f t="shared" si="9"/>
        <v>19.167709209395198</v>
      </c>
      <c r="K38" s="97">
        <f t="shared" si="10"/>
        <v>19.241842128706722</v>
      </c>
      <c r="L38" s="102">
        <f t="shared" si="11"/>
        <v>19.184935110681007</v>
      </c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83"/>
      <c r="C39" s="83"/>
      <c r="D39" s="83"/>
      <c r="E39" s="83"/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89" t="s">
        <v>263</v>
      </c>
      <c r="C40" s="97">
        <v>10.746070861816406</v>
      </c>
      <c r="D40" s="97">
        <v>10.822755813598633</v>
      </c>
      <c r="E40" s="97">
        <v>10.731834411621094</v>
      </c>
      <c r="F40" s="102">
        <f>AVERAGE(C40:E40)</f>
        <v>10.766887029012045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>
      <c r="A42" s="83"/>
      <c r="B42" s="96" t="s">
        <v>214</v>
      </c>
      <c r="C42" s="83" t="s">
        <v>215</v>
      </c>
      <c r="D42" s="83"/>
      <c r="E42" s="83"/>
      <c r="F42" t="s">
        <v>264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>
      <c r="A43" s="83"/>
      <c r="B43" s="83" t="s">
        <v>265</v>
      </c>
      <c r="C43" s="83" t="s">
        <v>215</v>
      </c>
      <c r="D43" s="83"/>
      <c r="E43" s="83"/>
      <c r="F43">
        <v>0.34642903804779052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>
      <c r="A44" s="83"/>
      <c r="B44" s="83"/>
      <c r="C44" s="100" t="s">
        <v>217</v>
      </c>
      <c r="D44" s="98">
        <v>-3.9893000000000001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>
      <c r="A45" s="83"/>
      <c r="B45" s="83"/>
      <c r="C45" s="100" t="s">
        <v>218</v>
      </c>
      <c r="D45" s="98">
        <v>40.134999999999998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>
      <c r="A48" s="83"/>
      <c r="B48" s="96" t="s">
        <v>219</v>
      </c>
      <c r="C48" s="83"/>
      <c r="D48" s="83">
        <f>-1+ POWER(10,-(1/D44))</f>
        <v>0.78102716558460528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>
      <c r="A50" s="83"/>
      <c r="B50" s="96" t="s">
        <v>266</v>
      </c>
      <c r="C50" s="11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46" workbookViewId="0">
      <selection activeCell="H68" sqref="H68"/>
    </sheetView>
  </sheetViews>
  <sheetFormatPr baseColWidth="10" defaultRowHeight="14" x14ac:dyDescent="0"/>
  <cols>
    <col min="1" max="1" width="14.6640625" customWidth="1"/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1" t="s">
        <v>267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spans="1:29">
      <c r="A2" s="128" t="s">
        <v>4</v>
      </c>
      <c r="B2" s="128" t="s">
        <v>117</v>
      </c>
      <c r="C2" s="128" t="s">
        <v>117</v>
      </c>
      <c r="D2" s="128" t="s">
        <v>5</v>
      </c>
      <c r="E2" s="140" t="s">
        <v>221</v>
      </c>
      <c r="F2" s="140" t="s">
        <v>222</v>
      </c>
      <c r="G2" s="140" t="s">
        <v>223</v>
      </c>
      <c r="H2" s="142" t="s">
        <v>224</v>
      </c>
      <c r="I2" s="142" t="s">
        <v>225</v>
      </c>
      <c r="J2" s="142" t="s">
        <v>226</v>
      </c>
      <c r="K2" s="140" t="s">
        <v>227</v>
      </c>
      <c r="L2" s="140" t="s">
        <v>228</v>
      </c>
      <c r="M2" s="140" t="s">
        <v>229</v>
      </c>
      <c r="N2" s="140" t="s">
        <v>230</v>
      </c>
      <c r="O2" s="140" t="s">
        <v>231</v>
      </c>
      <c r="P2" s="142" t="s">
        <v>232</v>
      </c>
      <c r="Q2" s="142" t="s">
        <v>268</v>
      </c>
      <c r="R2" s="142" t="s">
        <v>234</v>
      </c>
      <c r="S2" s="142" t="s">
        <v>235</v>
      </c>
      <c r="T2" s="83"/>
      <c r="U2" s="83"/>
      <c r="V2" s="83"/>
      <c r="W2" s="83"/>
      <c r="X2" s="83"/>
      <c r="Y2" s="83"/>
      <c r="Z2" s="83"/>
      <c r="AA2" s="83"/>
      <c r="AB2" s="83"/>
      <c r="AC2" s="83"/>
    </row>
    <row r="3" spans="1:29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spans="1:2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97">
        <v>23.970466613769531</v>
      </c>
      <c r="F4" s="97">
        <v>24.219146728515625</v>
      </c>
      <c r="G4" s="102">
        <v>23.688516616821289</v>
      </c>
      <c r="H4" s="108">
        <f>(E4-$H$57)+$H$67</f>
        <v>24.319739630283454</v>
      </c>
      <c r="I4" s="108">
        <f>(F4-$H$57)+$H$67</f>
        <v>24.568419745029548</v>
      </c>
      <c r="J4" s="108">
        <f>(G4-$H$57)+$H$67</f>
        <v>24.037789633335212</v>
      </c>
      <c r="K4" s="102">
        <f>((H4-'CalibrationB. hydrogenotrophica'!$D$45)/('CalibrationB. hydrogenotrophica'!$D$44))+$B$24</f>
        <v>7.6176324294789861</v>
      </c>
      <c r="L4" s="102">
        <f>((I4-'CalibrationB. hydrogenotrophica'!$D$45)/('CalibrationB. hydrogenotrophica'!$D$44))+$B$24</f>
        <v>7.5552956499071087</v>
      </c>
      <c r="M4" s="102">
        <f>((J4-'CalibrationB. hydrogenotrophica'!$D$45)/('CalibrationB. hydrogenotrophica'!$D$44))+$B$24</f>
        <v>7.6883089885114586</v>
      </c>
      <c r="N4" s="103">
        <f>AVERAGE(K4:M4)</f>
        <v>7.6204123559658514</v>
      </c>
      <c r="O4" s="103">
        <f>STDEV(K4:M4)</f>
        <v>6.6550229564766666E-2</v>
      </c>
      <c r="P4" s="104">
        <f>(AVERAGE(POWER(10,K4),POWER(10,L4),POWER(10,M4)))*Calculation!$I4/Calculation!$K3</f>
        <v>42132709.67204041</v>
      </c>
      <c r="Q4" s="104">
        <f>(STDEV(POWER(10,K4),POWER(10,L4),POWER(10,M4)))*Calculation!$I4/Calculation!$K3</f>
        <v>6467975.8351466311</v>
      </c>
      <c r="R4" s="103">
        <f>LOG(P4)</f>
        <v>7.6246193907141393</v>
      </c>
      <c r="S4" s="103">
        <f>O4*Calculation!$I4/Calculation!$K3</f>
        <v>6.6673475340358626E-2</v>
      </c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1:2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97">
        <v>22.290779113769531</v>
      </c>
      <c r="F5" s="97">
        <v>22.494613647460938</v>
      </c>
      <c r="G5" s="102">
        <v>21.898336410522461</v>
      </c>
      <c r="H5" s="108">
        <f>(E5-$H$57)+$H$67</f>
        <v>22.640052130283454</v>
      </c>
      <c r="I5" s="108">
        <f>(F5-$H$57)+$H$67</f>
        <v>22.84388666397486</v>
      </c>
      <c r="J5" s="108">
        <f>(G5-$H$57)+$H$67</f>
        <v>22.247609427036384</v>
      </c>
      <c r="K5" s="102">
        <f>((H5-'CalibrationB. hydrogenotrophica'!$D$45)/('CalibrationB. hydrogenotrophica'!$D$44))+$B$24</f>
        <v>8.0386806083574864</v>
      </c>
      <c r="L5" s="102">
        <f>((I5-'CalibrationB. hydrogenotrophica'!$D$45)/('CalibrationB. hydrogenotrophica'!$D$44))+$B$24</f>
        <v>7.9875852949713266</v>
      </c>
      <c r="M5" s="102">
        <f>((J5-'CalibrationB. hydrogenotrophica'!$D$45)/('CalibrationB. hydrogenotrophica'!$D$44))+$B$24</f>
        <v>8.1370544341532582</v>
      </c>
      <c r="N5" s="103">
        <f t="shared" ref="N5:N20" si="1">AVERAGE(K5:M5)</f>
        <v>8.0544401124940226</v>
      </c>
      <c r="O5" s="103">
        <f t="shared" ref="O5:O20" si="2">STDEV(K5:M5)</f>
        <v>7.5970569103561841E-2</v>
      </c>
      <c r="P5" s="104">
        <f>(AVERAGE(POWER(10,K5),POWER(10,L5),POWER(10,M5)))*Calculation!$I5/Calculation!$K4</f>
        <v>114893275.790051</v>
      </c>
      <c r="Q5" s="104">
        <f>(STDEV(POWER(10,K5),POWER(10,L5),POWER(10,M5)))*Calculation!$I5/Calculation!$K4</f>
        <v>20531198.452159654</v>
      </c>
      <c r="R5" s="103">
        <f t="shared" ref="R5:R20" si="3">LOG(P5)</f>
        <v>8.060294612041373</v>
      </c>
      <c r="S5" s="103">
        <f>O5*Calculation!$I5/Calculation!$K4</f>
        <v>7.6208776633854031E-2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2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97">
        <v>20.203163146972656</v>
      </c>
      <c r="F6" s="97">
        <v>20.505270004272461</v>
      </c>
      <c r="G6" s="102">
        <v>20.023784637451172</v>
      </c>
      <c r="H6" s="108">
        <f>(E6-$H$57)+$H$67</f>
        <v>20.552436163486579</v>
      </c>
      <c r="I6" s="108">
        <f>(F6-$H$57)+$H$67</f>
        <v>20.854543020786384</v>
      </c>
      <c r="J6" s="108">
        <f>(G6-$H$57)+$H$67</f>
        <v>20.373057653965095</v>
      </c>
      <c r="K6" s="102">
        <f>((H6-'CalibrationB. hydrogenotrophica'!$D$45)/('CalibrationB. hydrogenotrophica'!$D$44))+$B$24</f>
        <v>8.561984437800465</v>
      </c>
      <c r="L6" s="102">
        <f>((I6-'CalibrationB. hydrogenotrophica'!$D$45)/('CalibrationB. hydrogenotrophica'!$D$44))+$B$24</f>
        <v>8.4862551476242931</v>
      </c>
      <c r="M6" s="102">
        <f>((J6-'CalibrationB. hydrogenotrophica'!$D$45)/('CalibrationB. hydrogenotrophica'!$D$44))+$B$24</f>
        <v>8.6069493463111026</v>
      </c>
      <c r="N6" s="103">
        <f t="shared" si="1"/>
        <v>8.5517296439119548</v>
      </c>
      <c r="O6" s="103">
        <f t="shared" si="2"/>
        <v>6.0997073679272942E-2</v>
      </c>
      <c r="P6" s="104">
        <f>(AVERAGE(POWER(10,K6),POWER(10,L6),POWER(10,M6)))*Calculation!$I6/Calculation!$K5</f>
        <v>359909332.43102926</v>
      </c>
      <c r="Q6" s="104">
        <f>(STDEV(POWER(10,K6),POWER(10,L6),POWER(10,M6)))*Calculation!$I6/Calculation!$K5</f>
        <v>49555689.386910677</v>
      </c>
      <c r="R6" s="103">
        <f t="shared" si="3"/>
        <v>8.5561931080331579</v>
      </c>
      <c r="S6" s="103">
        <f>O6*Calculation!$I6/Calculation!$K5</f>
        <v>6.1228560472512551E-2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1:2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97">
        <v>19.158939361572266</v>
      </c>
      <c r="F7" s="97">
        <v>19.665521621704102</v>
      </c>
      <c r="G7" s="102">
        <v>19.869504928588867</v>
      </c>
      <c r="H7" s="108">
        <f>(E7-$H$57)+$H$67</f>
        <v>19.508212378086188</v>
      </c>
      <c r="I7" s="108">
        <f>(F7-$H$57)+$H$67</f>
        <v>20.014794638218024</v>
      </c>
      <c r="J7" s="108">
        <f>(G7-$H$57)+$H$67</f>
        <v>20.21877794510279</v>
      </c>
      <c r="K7" s="102">
        <f>((H7-'CalibrationB. hydrogenotrophica'!$D$45)/('CalibrationB. hydrogenotrophica'!$D$44))+$B$24</f>
        <v>8.8237405818358585</v>
      </c>
      <c r="L7" s="102">
        <f>((I7-'CalibrationB. hydrogenotrophica'!$D$45)/('CalibrationB. hydrogenotrophica'!$D$44))+$B$24</f>
        <v>8.6967553312576023</v>
      </c>
      <c r="M7" s="102">
        <f>((J7-'CalibrationB. hydrogenotrophica'!$D$45)/('CalibrationB. hydrogenotrophica'!$D$44))+$B$24</f>
        <v>8.6456227248141744</v>
      </c>
      <c r="N7" s="103">
        <f t="shared" si="1"/>
        <v>8.7220395459692117</v>
      </c>
      <c r="O7" s="103">
        <f t="shared" si="2"/>
        <v>9.1711293648527037E-2</v>
      </c>
      <c r="P7" s="104">
        <f>(AVERAGE(POWER(10,K7),POWER(10,L7),POWER(10,M7)))*Calculation!$I7/Calculation!$K6</f>
        <v>538837630.75972402</v>
      </c>
      <c r="Q7" s="104">
        <f>(STDEV(POWER(10,K7),POWER(10,L7),POWER(10,M7)))*Calculation!$I7/Calculation!$K6</f>
        <v>117567974.30277877</v>
      </c>
      <c r="R7" s="103">
        <f t="shared" si="3"/>
        <v>8.7314579178984211</v>
      </c>
      <c r="S7" s="103">
        <f>O7*Calculation!$I7/Calculation!$K6</f>
        <v>9.2307648077147475E-2</v>
      </c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spans="1:29">
      <c r="A8" s="39">
        <v>4</v>
      </c>
      <c r="B8" s="31">
        <v>80</v>
      </c>
      <c r="C8" s="31">
        <f t="shared" ref="C8:C18" si="4">C7+B8</f>
        <v>360</v>
      </c>
      <c r="D8" s="13">
        <f t="shared" si="0"/>
        <v>6</v>
      </c>
      <c r="E8" s="97">
        <v>17.773853302001953</v>
      </c>
      <c r="F8" s="97">
        <v>18.214378356933594</v>
      </c>
      <c r="G8" s="102">
        <v>15.358980178833008</v>
      </c>
      <c r="H8" s="108">
        <f>(E8-$H$57)+$H$67</f>
        <v>18.123126318515876</v>
      </c>
      <c r="I8" s="108">
        <f>(F8-$H$57)+$H$67</f>
        <v>18.563651373447517</v>
      </c>
      <c r="J8" s="108">
        <f>(G8-$H$57)+$H$67</f>
        <v>15.708253195346931</v>
      </c>
      <c r="K8" s="102">
        <f>((H8-'CalibrationB. hydrogenotrophica'!$D$45)/('CalibrationB. hydrogenotrophica'!$D$44))+$B$24</f>
        <v>9.1709408574657463</v>
      </c>
      <c r="L8" s="102">
        <f>((I8-'CalibrationB. hydrogenotrophica'!$D$45)/('CalibrationB. hydrogenotrophica'!$D$44))+$B$24</f>
        <v>9.0605142024306158</v>
      </c>
      <c r="M8" s="102">
        <f>((J8-'CalibrationB. hydrogenotrophica'!$D$45)/('CalibrationB. hydrogenotrophica'!$D$44))+$B$24</f>
        <v>9.7762784162276706</v>
      </c>
      <c r="N8" s="103">
        <f t="shared" si="1"/>
        <v>9.3359111587080097</v>
      </c>
      <c r="O8" s="103">
        <f t="shared" si="2"/>
        <v>0.38534530314654364</v>
      </c>
      <c r="P8" s="104">
        <f>(AVERAGE(POWER(10,K8),POWER(10,L8),POWER(10,M8)))*Calculation!$I8/Calculation!$K7</f>
        <v>2913336044.3236198</v>
      </c>
      <c r="Q8" s="104">
        <f>(STDEV(POWER(10,K8),POWER(10,L8),POWER(10,M8)))*Calculation!$I8/Calculation!$K7</f>
        <v>2736549414.0037365</v>
      </c>
      <c r="R8" s="103">
        <f t="shared" si="3"/>
        <v>9.4643905820454872</v>
      </c>
      <c r="S8" s="103">
        <f>O8*Calculation!$I8/Calculation!$K7</f>
        <v>0.3913451716162723</v>
      </c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spans="1:29">
      <c r="A9" s="39">
        <v>5</v>
      </c>
      <c r="B9" s="31">
        <v>80</v>
      </c>
      <c r="C9" s="31">
        <f t="shared" si="4"/>
        <v>440</v>
      </c>
      <c r="D9" s="13">
        <f t="shared" si="0"/>
        <v>7.333333333333333</v>
      </c>
      <c r="E9" s="97">
        <v>16.35456657409668</v>
      </c>
      <c r="F9" s="97">
        <v>16.634494781494141</v>
      </c>
      <c r="G9" s="102">
        <v>16.428997039794922</v>
      </c>
      <c r="H9" s="108">
        <f>(E9-$H$57)+$H$67</f>
        <v>16.703839590610603</v>
      </c>
      <c r="I9" s="108">
        <f>(F9-$H$57)+$H$67</f>
        <v>16.983767798008063</v>
      </c>
      <c r="J9" s="108">
        <f>(G9-$H$57)+$H$67</f>
        <v>16.778270056308845</v>
      </c>
      <c r="K9" s="102">
        <f>((H9-'CalibrationB. hydrogenotrophica'!$D$45)/('CalibrationB. hydrogenotrophica'!$D$44))+$B$24</f>
        <v>9.5267142332222132</v>
      </c>
      <c r="L9" s="102">
        <f>((I9-'CalibrationB. hydrogenotrophica'!$D$45)/('CalibrationB. hydrogenotrophica'!$D$44))+$B$24</f>
        <v>9.4565444772756901</v>
      </c>
      <c r="M9" s="102">
        <f>((J9-'CalibrationB. hydrogenotrophica'!$D$45)/('CalibrationB. hydrogenotrophica'!$D$44))+$B$24</f>
        <v>9.5080567079174614</v>
      </c>
      <c r="N9" s="103">
        <f t="shared" si="1"/>
        <v>9.4971051394717882</v>
      </c>
      <c r="O9" s="103">
        <f t="shared" si="2"/>
        <v>3.634420587884471E-2</v>
      </c>
      <c r="P9" s="104">
        <f>(AVERAGE(POWER(10,K9),POWER(10,L9),POWER(10,M9)))*Calculation!$I9/Calculation!$K8</f>
        <v>3274430960.8308358</v>
      </c>
      <c r="Q9" s="104">
        <f>(STDEV(POWER(10,K9),POWER(10,L9),POWER(10,M9)))*Calculation!$I9/Calculation!$K8</f>
        <v>269045156.6619091</v>
      </c>
      <c r="R9" s="103">
        <f t="shared" si="3"/>
        <v>9.5151358380550057</v>
      </c>
      <c r="S9" s="103">
        <f>O9*Calculation!$I9/Calculation!$K8</f>
        <v>3.7797601886534138E-2</v>
      </c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spans="1:29">
      <c r="A10" s="39">
        <v>6</v>
      </c>
      <c r="B10" s="31">
        <v>80</v>
      </c>
      <c r="C10" s="31">
        <f t="shared" si="4"/>
        <v>520</v>
      </c>
      <c r="D10" s="13">
        <f t="shared" si="0"/>
        <v>8.6666666666666661</v>
      </c>
      <c r="E10" s="97">
        <v>15.955354690551758</v>
      </c>
      <c r="F10" s="97">
        <v>15.895781517028809</v>
      </c>
      <c r="G10" s="102">
        <v>15.735265731811523</v>
      </c>
      <c r="H10" s="108">
        <f>(E10-$H$57)+$H$67</f>
        <v>16.304627707065681</v>
      </c>
      <c r="I10" s="108">
        <f>(F10-$H$57)+$H$67</f>
        <v>16.245054533542731</v>
      </c>
      <c r="J10" s="108">
        <f>(G10-$H$57)+$H$67</f>
        <v>16.084538748325446</v>
      </c>
      <c r="K10" s="102">
        <f>((H10-'CalibrationB. hydrogenotrophica'!$D$45)/('CalibrationB. hydrogenotrophica'!$D$44))+$B$24</f>
        <v>9.6267848931236788</v>
      </c>
      <c r="L10" s="102">
        <f>((I10-'CalibrationB. hydrogenotrophica'!$D$45)/('CalibrationB. hydrogenotrophica'!$D$44))+$B$24</f>
        <v>9.6417181329208752</v>
      </c>
      <c r="M10" s="102">
        <f>((J10-'CalibrationB. hydrogenotrophica'!$D$45)/('CalibrationB. hydrogenotrophica'!$D$44))+$B$24</f>
        <v>9.6819547120744307</v>
      </c>
      <c r="N10" s="103">
        <f t="shared" si="1"/>
        <v>9.6501525793729943</v>
      </c>
      <c r="O10" s="103">
        <f t="shared" si="2"/>
        <v>2.8535629412717391E-2</v>
      </c>
      <c r="P10" s="104">
        <f>(AVERAGE(POWER(10,K10),POWER(10,L10),POWER(10,M10)))*Calculation!$I10/Calculation!$K9</f>
        <v>4753428204.9676189</v>
      </c>
      <c r="Q10" s="104">
        <f>(STDEV(POWER(10,K10),POWER(10,L10),POWER(10,M10)))*Calculation!$I10/Calculation!$K9</f>
        <v>316275381.63862163</v>
      </c>
      <c r="R10" s="103">
        <f t="shared" si="3"/>
        <v>9.6770069387799342</v>
      </c>
      <c r="S10" s="103">
        <f>O10*Calculation!$I10/Calculation!$K9</f>
        <v>3.031178578019229E-2</v>
      </c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spans="1:29">
      <c r="A11" s="39">
        <v>7</v>
      </c>
      <c r="B11" s="31">
        <v>80</v>
      </c>
      <c r="C11" s="31">
        <f t="shared" si="4"/>
        <v>600</v>
      </c>
      <c r="D11" s="13">
        <f t="shared" si="0"/>
        <v>10</v>
      </c>
      <c r="E11" s="97">
        <v>15.872727394104004</v>
      </c>
      <c r="F11" s="97">
        <v>15.950376510620117</v>
      </c>
      <c r="G11" s="102">
        <v>15.87999439239502</v>
      </c>
      <c r="H11" s="108">
        <f>(E11-$H$57)+$H$67</f>
        <v>16.222000410617927</v>
      </c>
      <c r="I11" s="108">
        <f>(F11-$H$57)+$H$67</f>
        <v>16.29964952713404</v>
      </c>
      <c r="J11" s="108">
        <f>(G11-$H$57)+$H$67</f>
        <v>16.229267408908942</v>
      </c>
      <c r="K11" s="102">
        <f>((H11-'CalibrationB. hydrogenotrophica'!$D$45)/('CalibrationB. hydrogenotrophica'!$D$44))+$B$24</f>
        <v>9.6474971224490638</v>
      </c>
      <c r="L11" s="102">
        <f>((I11-'CalibrationB. hydrogenotrophica'!$D$45)/('CalibrationB. hydrogenotrophica'!$D$44))+$B$24</f>
        <v>9.6280327761938018</v>
      </c>
      <c r="M11" s="102">
        <f>((J11-'CalibrationB. hydrogenotrophica'!$D$45)/('CalibrationB. hydrogenotrophica'!$D$44))+$B$24</f>
        <v>9.6456755000363561</v>
      </c>
      <c r="N11" s="103">
        <f t="shared" si="1"/>
        <v>9.64040179955974</v>
      </c>
      <c r="O11" s="103">
        <f t="shared" si="2"/>
        <v>1.0750540978200754E-2</v>
      </c>
      <c r="P11" s="104">
        <f>(AVERAGE(POWER(10,K11),POWER(10,L11),POWER(10,M11)))*Calculation!$I11/Calculation!$K10</f>
        <v>4685637033.3546324</v>
      </c>
      <c r="Q11" s="104">
        <f>(STDEV(POWER(10,K11),POWER(10,L11),POWER(10,M11)))*Calculation!$I11/Calculation!$K10</f>
        <v>115174826.95156345</v>
      </c>
      <c r="R11" s="103">
        <f t="shared" si="3"/>
        <v>9.6707686435190503</v>
      </c>
      <c r="S11" s="103">
        <f>O11*Calculation!$I11/Calculation!$K10</f>
        <v>1.1526802974977454E-2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spans="1:29">
      <c r="A12" s="39">
        <v>8</v>
      </c>
      <c r="B12" s="31">
        <v>80</v>
      </c>
      <c r="C12" s="31">
        <f t="shared" si="4"/>
        <v>680</v>
      </c>
      <c r="D12" s="13">
        <f t="shared" si="0"/>
        <v>11.333333333333334</v>
      </c>
      <c r="E12" s="97">
        <v>15.046175956726074</v>
      </c>
      <c r="F12" s="97">
        <v>15.144915580749512</v>
      </c>
      <c r="G12" s="102">
        <v>15.062332153320312</v>
      </c>
      <c r="H12" s="108">
        <f>(E12-$H$63)+$H$67</f>
        <v>15.496297489068448</v>
      </c>
      <c r="I12" s="108">
        <f t="shared" ref="I12:J12" si="5">(F12-$H$63)+$H$67</f>
        <v>15.595037113091886</v>
      </c>
      <c r="J12" s="108">
        <f t="shared" si="5"/>
        <v>15.512453685662686</v>
      </c>
      <c r="K12" s="102">
        <f>((H12-'CalibrationB. hydrogenotrophica'!$D$45)/('CalibrationB. hydrogenotrophica'!$D$44))+$B$24</f>
        <v>9.8294094683617494</v>
      </c>
      <c r="L12" s="102">
        <f>((I12-'CalibrationB. hydrogenotrophica'!$D$45)/('CalibrationB. hydrogenotrophica'!$D$44))+$B$24</f>
        <v>9.8046583531226261</v>
      </c>
      <c r="M12" s="102">
        <f>((J12-'CalibrationB. hydrogenotrophica'!$D$45)/('CalibrationB. hydrogenotrophica'!$D$44))+$B$24</f>
        <v>9.8253595857772762</v>
      </c>
      <c r="N12" s="103">
        <f>AVERAGE(K12:M12)</f>
        <v>9.8198091357538839</v>
      </c>
      <c r="O12" s="103">
        <f>STDEV(K12:M12)</f>
        <v>1.3276296471219758E-2</v>
      </c>
      <c r="P12" s="104">
        <f>(AVERAGE(POWER(10,K12),POWER(10,L12),POWER(10,M12)))*Calculation!$I12/Calculation!$K11</f>
        <v>7088324484.0602551</v>
      </c>
      <c r="Q12" s="104">
        <f>(STDEV(POWER(10,K12),POWER(10,L12),POWER(10,M12)))*Calculation!$I12/Calculation!$K11</f>
        <v>214943279.38592485</v>
      </c>
      <c r="R12" s="103">
        <f t="shared" si="3"/>
        <v>9.8505435901446941</v>
      </c>
      <c r="S12" s="103">
        <f>O12*Calculation!$I12/Calculation!$K11</f>
        <v>1.4245471742365677E-2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>
      <c r="A13" s="39">
        <v>9</v>
      </c>
      <c r="B13" s="31">
        <v>80</v>
      </c>
      <c r="C13" s="31">
        <f t="shared" si="4"/>
        <v>760</v>
      </c>
      <c r="D13" s="13">
        <f t="shared" si="0"/>
        <v>12.666666666666666</v>
      </c>
      <c r="E13" s="97">
        <v>15.271613121032715</v>
      </c>
      <c r="F13" s="97">
        <v>15.252290725708008</v>
      </c>
      <c r="G13" s="102">
        <v>15.155827522277832</v>
      </c>
      <c r="H13" s="108">
        <f>(E13-$H$57)+$H$67</f>
        <v>15.620886137546638</v>
      </c>
      <c r="I13" s="108">
        <f>(F13-$H$57)+$H$67</f>
        <v>15.601563742221931</v>
      </c>
      <c r="J13" s="108">
        <f>(G13-$H$57)+$H$67</f>
        <v>15.505100538791755</v>
      </c>
      <c r="K13" s="102">
        <f>((H13-'CalibrationB. hydrogenotrophica'!$D$45)/('CalibrationB. hydrogenotrophica'!$D$44))+$B$24</f>
        <v>9.7981787641083233</v>
      </c>
      <c r="L13" s="102">
        <f>((I13-'CalibrationB. hydrogenotrophica'!$D$45)/('CalibrationB. hydrogenotrophica'!$D$44))+$B$24</f>
        <v>9.8030223194500401</v>
      </c>
      <c r="M13" s="102">
        <f>((J13-'CalibrationB. hydrogenotrophica'!$D$45)/('CalibrationB. hydrogenotrophica'!$D$44))+$B$24</f>
        <v>9.8272028031013505</v>
      </c>
      <c r="N13" s="103">
        <f t="shared" si="1"/>
        <v>9.8094679622199052</v>
      </c>
      <c r="O13" s="103">
        <f t="shared" si="2"/>
        <v>1.5548583308607929E-2</v>
      </c>
      <c r="P13" s="104">
        <f>(AVERAGE(POWER(10,K13),POWER(10,L13),POWER(10,M13)))*Calculation!$I13/Calculation!$K12</f>
        <v>6932990871.4922199</v>
      </c>
      <c r="Q13" s="104">
        <f>(STDEV(POWER(10,K13),POWER(10,L13),POWER(10,M13)))*Calculation!$I13/Calculation!$K12</f>
        <v>250451063.94537476</v>
      </c>
      <c r="R13" s="103">
        <f t="shared" si="3"/>
        <v>9.8409206283737074</v>
      </c>
      <c r="S13" s="103">
        <f>O13*Calculation!$I13/Calculation!$K12</f>
        <v>1.670924451984216E-2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spans="1:29">
      <c r="A14" s="39">
        <v>10</v>
      </c>
      <c r="B14" s="31">
        <v>80</v>
      </c>
      <c r="C14" s="31">
        <f t="shared" si="4"/>
        <v>840</v>
      </c>
      <c r="D14" s="13">
        <f t="shared" si="0"/>
        <v>14</v>
      </c>
      <c r="E14" s="97">
        <v>14.869874000549316</v>
      </c>
      <c r="F14" s="97">
        <v>15.052680969238281</v>
      </c>
      <c r="G14" s="102">
        <v>14.917349815368652</v>
      </c>
      <c r="H14" s="108">
        <f>(E14-$H$57)+$H$67</f>
        <v>15.219147017063239</v>
      </c>
      <c r="I14" s="108">
        <f>(F14-$H$57)+$H$67</f>
        <v>15.401953985752204</v>
      </c>
      <c r="J14" s="108">
        <f>(G14-$H$57)+$H$67</f>
        <v>15.266622831882575</v>
      </c>
      <c r="K14" s="102">
        <f>((H14-'CalibrationB. hydrogenotrophica'!$D$45)/('CalibrationB. hydrogenotrophica'!$D$44))+$B$24</f>
        <v>9.8988829278672288</v>
      </c>
      <c r="L14" s="102">
        <f>((I14-'CalibrationB. hydrogenotrophica'!$D$45)/('CalibrationB. hydrogenotrophica'!$D$44))+$B$24</f>
        <v>9.8530586056330112</v>
      </c>
      <c r="M14" s="102">
        <f>((J14-'CalibrationB. hydrogenotrophica'!$D$45)/('CalibrationB. hydrogenotrophica'!$D$44))+$B$24</f>
        <v>9.8869821395536555</v>
      </c>
      <c r="N14" s="103">
        <f t="shared" si="1"/>
        <v>9.8796412243512979</v>
      </c>
      <c r="O14" s="103">
        <f t="shared" si="2"/>
        <v>2.377780275934889E-2</v>
      </c>
      <c r="P14" s="104">
        <f>(AVERAGE(POWER(10,K14),POWER(10,L14),POWER(10,M14)))*Calculation!$I14/Calculation!$K13</f>
        <v>8153381023.2577839</v>
      </c>
      <c r="Q14" s="104">
        <f>(STDEV(POWER(10,K14),POWER(10,L14),POWER(10,M14)))*Calculation!$I14/Calculation!$K13</f>
        <v>441091372.30110192</v>
      </c>
      <c r="R14" s="103">
        <f t="shared" si="3"/>
        <v>9.9113377382190091</v>
      </c>
      <c r="S14" s="103">
        <f>O14*Calculation!$I14/Calculation!$K13</f>
        <v>2.5552753750277817E-2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spans="1:29">
      <c r="A15" s="39">
        <v>11</v>
      </c>
      <c r="B15" s="31">
        <v>80</v>
      </c>
      <c r="C15" s="31">
        <f t="shared" si="4"/>
        <v>920</v>
      </c>
      <c r="D15" s="13">
        <f t="shared" si="0"/>
        <v>15.333333333333334</v>
      </c>
      <c r="E15" s="97">
        <v>15.012534141540527</v>
      </c>
      <c r="F15" s="97">
        <v>15.157560348510742</v>
      </c>
      <c r="G15" s="102">
        <v>15.01153564453125</v>
      </c>
      <c r="H15" s="108">
        <f>(E15-$H$57)+$H$67</f>
        <v>15.36180715805445</v>
      </c>
      <c r="I15" s="108">
        <f>(F15-$H$57)+$H$67</f>
        <v>15.506833365024665</v>
      </c>
      <c r="J15" s="108">
        <f>(G15-$H$57)+$H$67</f>
        <v>15.360808661045173</v>
      </c>
      <c r="K15" s="102">
        <f>((H15-'CalibrationB. hydrogenotrophica'!$D$45)/('CalibrationB. hydrogenotrophica'!$D$44))+$B$24</f>
        <v>9.8631222327600145</v>
      </c>
      <c r="L15" s="102">
        <f>((I15-'CalibrationB. hydrogenotrophica'!$D$45)/('CalibrationB. hydrogenotrophica'!$D$44))+$B$24</f>
        <v>9.826768434607402</v>
      </c>
      <c r="M15" s="102">
        <f>((J15-'CalibrationB. hydrogenotrophica'!$D$45)/('CalibrationB. hydrogenotrophica'!$D$44))+$B$24</f>
        <v>9.8633725265482166</v>
      </c>
      <c r="N15" s="103">
        <f t="shared" si="1"/>
        <v>9.8510877313052116</v>
      </c>
      <c r="O15" s="103">
        <f t="shared" si="2"/>
        <v>2.1061500555567082E-2</v>
      </c>
      <c r="P15" s="104">
        <f>(AVERAGE(POWER(10,K15),POWER(10,L15),POWER(10,M15)))*Calculation!$I15/Calculation!$K14</f>
        <v>7639211525.460084</v>
      </c>
      <c r="Q15" s="104">
        <f>(STDEV(POWER(10,K15),POWER(10,L15),POWER(10,M15)))*Calculation!$I15/Calculation!$K14</f>
        <v>365144732.21724027</v>
      </c>
      <c r="R15" s="103">
        <f t="shared" si="3"/>
        <v>9.8830485355635158</v>
      </c>
      <c r="S15" s="103">
        <f>O15*Calculation!$I15/Calculation!$K14</f>
        <v>2.265233056142988E-2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spans="1:29">
      <c r="A16" s="39">
        <v>12</v>
      </c>
      <c r="B16" s="31">
        <v>80</v>
      </c>
      <c r="C16" s="31">
        <f t="shared" si="4"/>
        <v>1000</v>
      </c>
      <c r="D16" s="13">
        <f t="shared" si="0"/>
        <v>16.666666666666668</v>
      </c>
      <c r="E16" s="97">
        <v>14.650737762451172</v>
      </c>
      <c r="F16" s="97">
        <v>14.879923820495605</v>
      </c>
      <c r="G16" s="102">
        <v>15.030959129333496</v>
      </c>
      <c r="H16" s="108">
        <f>(E16-$H$57)+$H$67</f>
        <v>15.000010778965095</v>
      </c>
      <c r="I16" s="108">
        <f>(F16-$H$57)+$H$67</f>
        <v>15.229196837009528</v>
      </c>
      <c r="J16" s="108">
        <f>(G16-$H$57)+$H$67</f>
        <v>15.380232145847419</v>
      </c>
      <c r="K16" s="102">
        <f>((H16-'CalibrationB. hydrogenotrophica'!$D$45)/('CalibrationB. hydrogenotrophica'!$D$44))+$B$24</f>
        <v>9.9538139278166291</v>
      </c>
      <c r="L16" s="102">
        <f>((I16-'CalibrationB. hydrogenotrophica'!$D$45)/('CalibrationB. hydrogenotrophica'!$D$44))+$B$24</f>
        <v>9.8963637340371609</v>
      </c>
      <c r="M16" s="102">
        <f>((J16-'CalibrationB. hydrogenotrophica'!$D$45)/('CalibrationB. hydrogenotrophica'!$D$44))+$B$24</f>
        <v>9.8585036310522032</v>
      </c>
      <c r="N16" s="103">
        <f t="shared" si="1"/>
        <v>9.9028937643019983</v>
      </c>
      <c r="O16" s="103">
        <f t="shared" si="2"/>
        <v>4.7989521135092597E-2</v>
      </c>
      <c r="P16" s="104">
        <f>(AVERAGE(POWER(10,K16),POWER(10,L16),POWER(10,M16)))*Calculation!$I16/Calculation!$K15</f>
        <v>8635672542.2906456</v>
      </c>
      <c r="Q16" s="104">
        <f>(STDEV(POWER(10,K16),POWER(10,L16),POWER(10,M16)))*Calculation!$I16/Calculation!$K15</f>
        <v>963233078.3231777</v>
      </c>
      <c r="R16" s="103">
        <f t="shared" si="3"/>
        <v>9.9362961658793658</v>
      </c>
      <c r="S16" s="103">
        <f>O16*Calculation!$I16/Calculation!$K15</f>
        <v>5.1614294687540779E-2</v>
      </c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spans="1:29">
      <c r="A17" s="39">
        <v>13</v>
      </c>
      <c r="B17" s="31">
        <v>80</v>
      </c>
      <c r="C17" s="31">
        <f t="shared" si="4"/>
        <v>1080</v>
      </c>
      <c r="D17" s="13">
        <f t="shared" si="0"/>
        <v>18</v>
      </c>
      <c r="E17" s="97">
        <v>14.726254463195801</v>
      </c>
      <c r="F17" s="97">
        <v>14.586137771606445</v>
      </c>
      <c r="G17" s="102">
        <v>14.791081428527832</v>
      </c>
      <c r="H17" s="108">
        <f>(E17-$H$57)+$H$67</f>
        <v>15.075527479709724</v>
      </c>
      <c r="I17" s="108">
        <f>(F17-$H$57)+$H$67</f>
        <v>14.935410788120368</v>
      </c>
      <c r="J17" s="108">
        <f>(G17-$H$57)+$H$67</f>
        <v>15.140354445041755</v>
      </c>
      <c r="K17" s="102">
        <f>((H17-'CalibrationB. hydrogenotrophica'!$D$45)/('CalibrationB. hydrogenotrophica'!$D$44))+$B$24</f>
        <v>9.9348841153822107</v>
      </c>
      <c r="L17" s="102">
        <f>((I17-'CalibrationB. hydrogenotrophica'!$D$45)/('CalibrationB. hydrogenotrophica'!$D$44))+$B$24</f>
        <v>9.9700072426449768</v>
      </c>
      <c r="M17" s="102">
        <f>((J17-'CalibrationB. hydrogenotrophica'!$D$45)/('CalibrationB. hydrogenotrophica'!$D$44))+$B$24</f>
        <v>9.9186339047357226</v>
      </c>
      <c r="N17" s="103">
        <f t="shared" si="1"/>
        <v>9.9411750875876361</v>
      </c>
      <c r="O17" s="103">
        <f t="shared" si="2"/>
        <v>2.6258088476728208E-2</v>
      </c>
      <c r="P17" s="104">
        <f>(AVERAGE(POWER(10,K17),POWER(10,L17),POWER(10,M17)))*Calculation!$I17/Calculation!$K16</f>
        <v>9404404870.341856</v>
      </c>
      <c r="Q17" s="104">
        <f>(STDEV(POWER(10,K17),POWER(10,L17),POWER(10,M17)))*Calculation!$I17/Calculation!$K16</f>
        <v>574128161.08806515</v>
      </c>
      <c r="R17" s="103">
        <f t="shared" si="3"/>
        <v>9.9733313177275082</v>
      </c>
      <c r="S17" s="103">
        <f>O17*Calculation!$I17/Calculation!$K16</f>
        <v>2.8241430306298752E-2</v>
      </c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spans="1:29">
      <c r="A18" s="39">
        <v>14</v>
      </c>
      <c r="B18" s="31">
        <v>360</v>
      </c>
      <c r="C18" s="31">
        <f t="shared" si="4"/>
        <v>1440</v>
      </c>
      <c r="D18" s="13">
        <f t="shared" si="0"/>
        <v>24</v>
      </c>
      <c r="E18" s="97">
        <v>14.425511360168457</v>
      </c>
      <c r="F18" s="97">
        <v>14.388747215270996</v>
      </c>
      <c r="G18" s="102">
        <v>14.732110977172852</v>
      </c>
      <c r="H18" s="108">
        <f>(E18-$H$57)+$H$67</f>
        <v>14.77478437668238</v>
      </c>
      <c r="I18" s="108">
        <f>(F18-$H$57)+$H$67</f>
        <v>14.738020231784919</v>
      </c>
      <c r="J18" s="108">
        <f>(G18-$H$57)+$H$67</f>
        <v>15.081383993686774</v>
      </c>
      <c r="K18" s="102">
        <f>((H18-'CalibrationB. hydrogenotrophica'!$D$45)/('CalibrationB. hydrogenotrophica'!$D$44))+$B$24</f>
        <v>10.010271552533426</v>
      </c>
      <c r="L18" s="102">
        <f>((I18-'CalibrationB. hydrogenotrophica'!$D$45)/('CalibrationB. hydrogenotrophica'!$D$44))+$B$24</f>
        <v>10.0194872407237</v>
      </c>
      <c r="M18" s="102">
        <f>((J18-'CalibrationB. hydrogenotrophica'!$D$45)/('CalibrationB. hydrogenotrophica'!$D$44))+$B$24</f>
        <v>9.9334160598393701</v>
      </c>
      <c r="N18" s="103">
        <f t="shared" si="1"/>
        <v>9.9877249510321651</v>
      </c>
      <c r="O18" s="103">
        <f t="shared" si="2"/>
        <v>4.7258057240519999E-2</v>
      </c>
      <c r="P18" s="104">
        <f>(AVERAGE(POWER(10,K18),POWER(10,L18),POWER(10,M18)))*Calculation!$I18/Calculation!$K17</f>
        <v>10505879347.456661</v>
      </c>
      <c r="Q18" s="104">
        <f>(STDEV(POWER(10,K18),POWER(10,L18),POWER(10,M18)))*Calculation!$I18/Calculation!$K17</f>
        <v>1106788569.7092495</v>
      </c>
      <c r="R18" s="103">
        <f t="shared" si="3"/>
        <v>10.021432408932855</v>
      </c>
      <c r="S18" s="103">
        <f>O18*Calculation!$I18/Calculation!$K17</f>
        <v>5.0875083831960967E-2</v>
      </c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spans="1:2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97">
        <v>15.197839736938477</v>
      </c>
      <c r="F19" s="97">
        <v>14.976728439331055</v>
      </c>
      <c r="G19" s="102">
        <v>15.178655624389648</v>
      </c>
      <c r="H19" s="108">
        <f>(E19-$H$57)+$H$67</f>
        <v>15.547112753452399</v>
      </c>
      <c r="I19" s="108">
        <f>(F19-$H$57)+$H$67</f>
        <v>15.326001455844978</v>
      </c>
      <c r="J19" s="108">
        <f>(G19-$H$57)+$H$67</f>
        <v>15.527928640903571</v>
      </c>
      <c r="K19" s="102">
        <f>((H19-'CalibrationB. hydrogenotrophica'!$D$45)/('CalibrationB. hydrogenotrophica'!$D$44))+$B$24</f>
        <v>9.8166715784101406</v>
      </c>
      <c r="L19" s="102">
        <f>((I19-'CalibrationB. hydrogenotrophica'!$D$45)/('CalibrationB. hydrogenotrophica'!$D$44))+$B$24</f>
        <v>9.8720976676005812</v>
      </c>
      <c r="M19" s="102">
        <f>((J19-'CalibrationB. hydrogenotrophica'!$D$45)/('CalibrationB. hydrogenotrophica'!$D$44))+$B$24</f>
        <v>9.8214804703332419</v>
      </c>
      <c r="N19" s="103">
        <f t="shared" si="1"/>
        <v>9.8367499054479879</v>
      </c>
      <c r="O19" s="103">
        <f t="shared" si="2"/>
        <v>3.0706344251298402E-2</v>
      </c>
      <c r="P19" s="104">
        <f>(AVERAGE(POWER(10,K19),POWER(10,L19),POWER(10,M19)))*Calculation!$I19/Calculation!$K18</f>
        <v>7404779472.9290724</v>
      </c>
      <c r="Q19" s="104">
        <f>(STDEV(POWER(10,K19),POWER(10,L19),POWER(10,M19)))*Calculation!$I19/Calculation!$K18</f>
        <v>533487313.48589969</v>
      </c>
      <c r="R19" s="103">
        <f t="shared" si="3"/>
        <v>9.8695121290130476</v>
      </c>
      <c r="S19" s="103">
        <f>O19*Calculation!$I19/Calculation!$K18</f>
        <v>3.3056539544296118E-2</v>
      </c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spans="1:2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97">
        <v>15.669455528259277</v>
      </c>
      <c r="F20" s="97">
        <v>15.565735816955566</v>
      </c>
      <c r="G20" s="102">
        <v>16.184219360351562</v>
      </c>
      <c r="H20" s="108">
        <f>(E20-$H$57)+$H$67</f>
        <v>16.0187285447732</v>
      </c>
      <c r="I20" s="108">
        <f>(F20-$H$57)+$H$67</f>
        <v>15.915008833469489</v>
      </c>
      <c r="J20" s="108">
        <f>(G20-$H$57)+$H$67</f>
        <v>16.533492376865485</v>
      </c>
      <c r="K20" s="102">
        <f>((H20-'CalibrationB. hydrogenotrophica'!$D$45)/('CalibrationB. hydrogenotrophica'!$D$44))+$B$24</f>
        <v>9.6984513915801713</v>
      </c>
      <c r="L20" s="102">
        <f>((I20-'CalibrationB. hydrogenotrophica'!$D$45)/('CalibrationB. hydrogenotrophica'!$D$44))+$B$24</f>
        <v>9.7244508680055368</v>
      </c>
      <c r="M20" s="102">
        <f>((J20-'CalibrationB. hydrogenotrophica'!$D$45)/('CalibrationB. hydrogenotrophica'!$D$44))+$B$24</f>
        <v>9.5694152619102333</v>
      </c>
      <c r="N20" s="103">
        <f t="shared" si="1"/>
        <v>9.6641058404986477</v>
      </c>
      <c r="O20" s="103">
        <f t="shared" si="2"/>
        <v>8.3028443612142469E-2</v>
      </c>
      <c r="P20" s="104">
        <f>(AVERAGE(POWER(10,K20),POWER(10,L20),POWER(10,M20)))*Calculation!$I20/Calculation!$K19</f>
        <v>5026183398.9260855</v>
      </c>
      <c r="Q20" s="104">
        <f>(STDEV(POWER(10,K20),POWER(10,L20),POWER(10,M20)))*Calculation!$I20/Calculation!$K19</f>
        <v>908865405.93016696</v>
      </c>
      <c r="R20" s="103">
        <f t="shared" si="3"/>
        <v>9.7012383313891526</v>
      </c>
      <c r="S20" s="103">
        <f>O20*Calculation!$I20/Calculation!$K19</f>
        <v>8.9383256017202137E-2</v>
      </c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spans="1:29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spans="1:29">
      <c r="A22" s="114"/>
      <c r="B22" s="115"/>
      <c r="C22" s="114"/>
      <c r="D22" s="115"/>
      <c r="E22" s="116"/>
      <c r="F22" s="116"/>
      <c r="G22" s="117"/>
      <c r="H22" s="110"/>
      <c r="I22" s="110"/>
      <c r="J22" s="110"/>
      <c r="K22" s="117"/>
      <c r="L22" s="117"/>
      <c r="M22" s="117"/>
      <c r="N22" s="118"/>
      <c r="O22" s="118"/>
      <c r="P22" s="119"/>
      <c r="Q22" s="119"/>
      <c r="R22" s="118"/>
      <c r="S22" s="118"/>
    </row>
    <row r="23" spans="1:29">
      <c r="A23" s="114"/>
      <c r="B23" s="115"/>
      <c r="C23" s="114"/>
      <c r="D23" s="115"/>
      <c r="E23" s="116"/>
      <c r="F23" s="116"/>
      <c r="G23" s="117"/>
      <c r="H23" s="110"/>
      <c r="I23" s="110"/>
      <c r="J23" s="110"/>
      <c r="K23" s="117"/>
      <c r="L23" s="117"/>
      <c r="M23" s="117"/>
      <c r="N23" s="118"/>
      <c r="O23" s="118"/>
      <c r="P23" s="119"/>
      <c r="Q23" s="119"/>
      <c r="R23" s="118"/>
      <c r="S23" s="118"/>
    </row>
    <row r="24" spans="1:29">
      <c r="A24" s="100" t="s">
        <v>236</v>
      </c>
      <c r="B24" s="107">
        <f>LOG(B25)</f>
        <v>3.6532125137753435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29">
      <c r="A25" s="96" t="s">
        <v>269</v>
      </c>
      <c r="B25" s="83">
        <f>20*1800/4/2</f>
        <v>4500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2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29">
      <c r="A27" s="60" t="s">
        <v>270</v>
      </c>
      <c r="B27" s="60"/>
      <c r="C27" s="60"/>
      <c r="D27" s="60"/>
      <c r="E27" s="109">
        <v>11.1</v>
      </c>
      <c r="F27" s="108">
        <v>11.4</v>
      </c>
      <c r="G27" s="108"/>
      <c r="H27" s="108">
        <f>AVERAGE(E27:G27)</f>
        <v>11.25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29">
      <c r="A28" s="60" t="s">
        <v>271</v>
      </c>
      <c r="B28" s="60"/>
      <c r="C28" s="60"/>
      <c r="D28" s="60"/>
      <c r="E28" s="122">
        <v>10.7</v>
      </c>
      <c r="F28" s="123">
        <v>10.8</v>
      </c>
      <c r="G28" s="123">
        <v>10.7</v>
      </c>
      <c r="H28" s="108">
        <f t="shared" ref="H28:H55" si="6">AVERAGE(E28:G28)</f>
        <v>10.733333333333334</v>
      </c>
    </row>
    <row r="29" spans="1:29">
      <c r="A29" s="60" t="s">
        <v>272</v>
      </c>
      <c r="B29" s="60"/>
      <c r="C29" s="60"/>
      <c r="D29" s="60"/>
      <c r="E29" s="122">
        <v>11.5</v>
      </c>
      <c r="F29" s="123">
        <v>11.5</v>
      </c>
      <c r="G29" s="123">
        <v>11.5</v>
      </c>
      <c r="H29" s="108">
        <f t="shared" si="6"/>
        <v>11.5</v>
      </c>
    </row>
    <row r="30" spans="1:29">
      <c r="A30" s="60" t="s">
        <v>273</v>
      </c>
      <c r="B30" s="60"/>
      <c r="C30" s="60"/>
      <c r="D30" s="60"/>
      <c r="E30" s="122">
        <v>11.3</v>
      </c>
      <c r="F30" s="123">
        <v>11.6</v>
      </c>
      <c r="G30" s="123">
        <v>11.7</v>
      </c>
      <c r="H30" s="108">
        <f t="shared" si="6"/>
        <v>11.533333333333331</v>
      </c>
    </row>
    <row r="31" spans="1:29">
      <c r="A31" s="60" t="s">
        <v>274</v>
      </c>
      <c r="B31" s="60"/>
      <c r="C31" s="60"/>
      <c r="D31" s="60"/>
      <c r="E31" s="122">
        <v>11.5</v>
      </c>
      <c r="F31" s="123">
        <v>11.5</v>
      </c>
      <c r="G31" s="123">
        <v>11.5</v>
      </c>
      <c r="H31" s="108">
        <f t="shared" si="6"/>
        <v>11.5</v>
      </c>
    </row>
    <row r="32" spans="1:29">
      <c r="A32" s="60" t="s">
        <v>275</v>
      </c>
      <c r="B32" s="60"/>
      <c r="C32" s="60"/>
      <c r="D32" s="60"/>
      <c r="E32" s="122">
        <v>11.5</v>
      </c>
      <c r="F32" s="123">
        <v>11.5</v>
      </c>
      <c r="G32" s="123">
        <v>11.5</v>
      </c>
      <c r="H32" s="108">
        <f t="shared" si="6"/>
        <v>11.5</v>
      </c>
    </row>
    <row r="33" spans="1:8">
      <c r="A33" s="60" t="s">
        <v>276</v>
      </c>
      <c r="B33" s="60"/>
      <c r="C33" s="60"/>
      <c r="D33" s="60"/>
      <c r="E33" s="122">
        <v>11.6</v>
      </c>
      <c r="F33" s="123">
        <v>11.6</v>
      </c>
      <c r="G33" s="123">
        <v>11.6</v>
      </c>
      <c r="H33" s="108">
        <f t="shared" si="6"/>
        <v>11.6</v>
      </c>
    </row>
    <row r="34" spans="1:8">
      <c r="A34" s="60" t="s">
        <v>277</v>
      </c>
      <c r="B34" s="60"/>
      <c r="C34" s="60"/>
      <c r="D34" s="60"/>
      <c r="E34" s="122">
        <v>11.2</v>
      </c>
      <c r="F34" s="123">
        <v>11.2</v>
      </c>
      <c r="G34" s="123">
        <v>11.2</v>
      </c>
      <c r="H34" s="108">
        <f t="shared" si="6"/>
        <v>11.199999999999998</v>
      </c>
    </row>
    <row r="35" spans="1:8">
      <c r="A35" s="60" t="s">
        <v>278</v>
      </c>
      <c r="B35" s="60"/>
      <c r="C35" s="60"/>
      <c r="D35" s="60"/>
      <c r="E35" s="122">
        <v>10.4</v>
      </c>
      <c r="F35" s="123">
        <v>11.2</v>
      </c>
      <c r="G35" s="123">
        <v>11.4</v>
      </c>
      <c r="H35" s="108">
        <f t="shared" si="6"/>
        <v>11</v>
      </c>
    </row>
    <row r="36" spans="1:8">
      <c r="A36" s="60" t="s">
        <v>278</v>
      </c>
      <c r="B36" s="60"/>
      <c r="C36" s="60"/>
      <c r="D36" s="60"/>
      <c r="E36" s="122">
        <v>11.3</v>
      </c>
      <c r="F36" s="123">
        <v>11.5</v>
      </c>
      <c r="G36" s="123">
        <v>11.6</v>
      </c>
      <c r="H36" s="108">
        <f t="shared" si="6"/>
        <v>11.466666666666667</v>
      </c>
    </row>
    <row r="37" spans="1:8">
      <c r="A37" s="60" t="s">
        <v>280</v>
      </c>
      <c r="B37" s="60"/>
      <c r="C37" s="60"/>
      <c r="D37" s="60"/>
      <c r="E37" s="122">
        <v>11.7</v>
      </c>
      <c r="F37" s="123">
        <v>11.7</v>
      </c>
      <c r="G37" s="123">
        <v>11.7</v>
      </c>
      <c r="H37" s="108">
        <f t="shared" si="6"/>
        <v>11.699999999999998</v>
      </c>
    </row>
    <row r="38" spans="1:8">
      <c r="A38" s="60" t="s">
        <v>280</v>
      </c>
      <c r="B38" s="60"/>
      <c r="C38" s="60"/>
      <c r="D38" s="60"/>
      <c r="E38" s="122">
        <v>11.3</v>
      </c>
      <c r="F38" s="123">
        <v>11.5</v>
      </c>
      <c r="G38" s="123">
        <v>11</v>
      </c>
      <c r="H38" s="108">
        <f t="shared" si="6"/>
        <v>11.266666666666666</v>
      </c>
    </row>
    <row r="39" spans="1:8">
      <c r="A39" s="60" t="s">
        <v>296</v>
      </c>
      <c r="B39" s="60"/>
      <c r="C39" s="60"/>
      <c r="D39" s="60"/>
      <c r="E39" s="122">
        <v>11.2</v>
      </c>
      <c r="F39" s="123">
        <v>11.3</v>
      </c>
      <c r="G39" s="123">
        <v>11.4</v>
      </c>
      <c r="H39" s="108">
        <f t="shared" si="6"/>
        <v>11.299999999999999</v>
      </c>
    </row>
    <row r="40" spans="1:8">
      <c r="A40" s="60" t="s">
        <v>297</v>
      </c>
      <c r="B40" s="60"/>
      <c r="C40" s="60"/>
      <c r="D40" s="60"/>
      <c r="E40" s="122">
        <v>11.5</v>
      </c>
      <c r="F40" s="123">
        <v>11.5</v>
      </c>
      <c r="G40" s="123">
        <v>11.5</v>
      </c>
      <c r="H40" s="108">
        <f t="shared" si="6"/>
        <v>11.5</v>
      </c>
    </row>
    <row r="41" spans="1:8">
      <c r="A41" s="60" t="s">
        <v>298</v>
      </c>
      <c r="B41" s="60"/>
      <c r="C41" s="60"/>
      <c r="D41" s="60"/>
      <c r="E41" s="122">
        <v>11.3</v>
      </c>
      <c r="F41" s="123">
        <v>11.3</v>
      </c>
      <c r="G41" s="123">
        <v>11.3</v>
      </c>
      <c r="H41" s="108">
        <f t="shared" si="6"/>
        <v>11.300000000000002</v>
      </c>
    </row>
    <row r="42" spans="1:8">
      <c r="A42" s="60" t="s">
        <v>299</v>
      </c>
      <c r="B42" s="60"/>
      <c r="C42" s="60"/>
      <c r="D42" s="60"/>
      <c r="E42" s="122">
        <v>11.3</v>
      </c>
      <c r="F42" s="123">
        <v>11.3</v>
      </c>
      <c r="G42" s="123">
        <v>11.4</v>
      </c>
      <c r="H42" s="108">
        <f t="shared" si="6"/>
        <v>11.333333333333334</v>
      </c>
    </row>
    <row r="43" spans="1:8">
      <c r="A43" s="60" t="s">
        <v>300</v>
      </c>
      <c r="B43" s="60"/>
      <c r="C43" s="60"/>
      <c r="D43" s="60"/>
      <c r="E43" s="122">
        <v>11.1</v>
      </c>
      <c r="F43" s="123">
        <v>11.2</v>
      </c>
      <c r="G43" s="123">
        <v>11.2</v>
      </c>
      <c r="H43" s="108">
        <f t="shared" si="6"/>
        <v>11.166666666666666</v>
      </c>
    </row>
    <row r="44" spans="1:8">
      <c r="A44" s="60" t="s">
        <v>300</v>
      </c>
      <c r="B44" s="60"/>
      <c r="C44" s="60"/>
      <c r="D44" s="60"/>
      <c r="E44" s="122">
        <v>11.3</v>
      </c>
      <c r="F44" s="123">
        <v>11.3</v>
      </c>
      <c r="G44" s="123">
        <v>11.4</v>
      </c>
      <c r="H44" s="108">
        <f t="shared" si="6"/>
        <v>11.333333333333334</v>
      </c>
    </row>
    <row r="45" spans="1:8">
      <c r="A45" s="60" t="s">
        <v>301</v>
      </c>
      <c r="B45" s="60"/>
      <c r="C45" s="60"/>
      <c r="D45" s="60"/>
      <c r="E45" s="122">
        <v>11.3</v>
      </c>
      <c r="F45" s="123">
        <v>11.4</v>
      </c>
      <c r="G45" s="123">
        <v>11.3</v>
      </c>
      <c r="H45" s="108">
        <f t="shared" si="6"/>
        <v>11.333333333333334</v>
      </c>
    </row>
    <row r="46" spans="1:8">
      <c r="A46" s="60" t="s">
        <v>302</v>
      </c>
      <c r="B46" s="60"/>
      <c r="C46" s="60"/>
      <c r="D46" s="60"/>
      <c r="E46" s="122">
        <v>11.1</v>
      </c>
      <c r="F46" s="123">
        <v>11.4</v>
      </c>
      <c r="G46" s="123">
        <v>11.2</v>
      </c>
      <c r="H46" s="108">
        <f t="shared" si="6"/>
        <v>11.233333333333334</v>
      </c>
    </row>
    <row r="47" spans="1:8">
      <c r="A47" s="60" t="s">
        <v>302</v>
      </c>
      <c r="B47" s="60"/>
      <c r="C47" s="60"/>
      <c r="D47" s="60"/>
      <c r="E47" s="122">
        <v>11.4</v>
      </c>
      <c r="F47" s="123">
        <v>11.4</v>
      </c>
      <c r="G47" s="123">
        <v>11.4</v>
      </c>
      <c r="H47" s="108">
        <f t="shared" si="6"/>
        <v>11.4</v>
      </c>
    </row>
    <row r="48" spans="1:8">
      <c r="A48" s="60" t="s">
        <v>303</v>
      </c>
      <c r="B48" s="60"/>
      <c r="C48" s="60"/>
      <c r="D48" s="60"/>
      <c r="E48" s="122">
        <v>11.4</v>
      </c>
      <c r="F48" s="123">
        <v>11.4</v>
      </c>
      <c r="G48" s="123">
        <v>11.3</v>
      </c>
      <c r="H48" s="108">
        <f t="shared" si="6"/>
        <v>11.366666666666667</v>
      </c>
    </row>
    <row r="49" spans="1:8">
      <c r="A49" s="60" t="s">
        <v>304</v>
      </c>
      <c r="B49" s="60"/>
      <c r="C49" s="60"/>
      <c r="D49" s="60"/>
      <c r="E49" s="122">
        <v>11.4</v>
      </c>
      <c r="F49" s="123">
        <v>11.3</v>
      </c>
      <c r="G49" s="123">
        <v>11.3</v>
      </c>
      <c r="H49" s="108">
        <f t="shared" si="6"/>
        <v>11.333333333333334</v>
      </c>
    </row>
    <row r="50" spans="1:8">
      <c r="A50" s="60" t="s">
        <v>305</v>
      </c>
      <c r="B50" s="60"/>
      <c r="C50" s="60"/>
      <c r="D50" s="60"/>
      <c r="E50" s="122">
        <v>11.4</v>
      </c>
      <c r="F50" s="123">
        <v>11.4</v>
      </c>
      <c r="G50" s="123">
        <v>11.3</v>
      </c>
      <c r="H50" s="108">
        <f t="shared" si="6"/>
        <v>11.366666666666667</v>
      </c>
    </row>
    <row r="51" spans="1:8">
      <c r="A51" s="60" t="s">
        <v>315</v>
      </c>
      <c r="E51" s="109">
        <v>10.961522102355957</v>
      </c>
      <c r="F51" s="108">
        <v>10.991280555725098</v>
      </c>
      <c r="G51" s="108">
        <v>10.988773345947266</v>
      </c>
      <c r="H51" s="108">
        <f t="shared" si="6"/>
        <v>10.980525334676107</v>
      </c>
    </row>
    <row r="52" spans="1:8">
      <c r="A52" s="60" t="s">
        <v>316</v>
      </c>
      <c r="E52" s="109">
        <v>11.455920219421387</v>
      </c>
      <c r="F52" s="108">
        <v>11.47702693939209</v>
      </c>
      <c r="G52" s="108">
        <v>11.41429615020752</v>
      </c>
      <c r="H52" s="108">
        <f t="shared" si="6"/>
        <v>11.449081103006998</v>
      </c>
    </row>
    <row r="53" spans="1:8">
      <c r="A53" s="60" t="s">
        <v>317</v>
      </c>
      <c r="E53" s="109">
        <v>11.481462478637695</v>
      </c>
      <c r="F53" s="108">
        <v>11.294193267822266</v>
      </c>
      <c r="G53" s="108">
        <v>11.30172061920166</v>
      </c>
      <c r="H53" s="108">
        <f t="shared" si="6"/>
        <v>11.359125455220541</v>
      </c>
    </row>
    <row r="54" spans="1:8">
      <c r="A54" s="60" t="s">
        <v>317</v>
      </c>
      <c r="E54" s="109">
        <v>11.333268165588301</v>
      </c>
      <c r="F54" s="108">
        <v>11.3499765396118</v>
      </c>
      <c r="G54" s="108">
        <v>11.688117980956999</v>
      </c>
      <c r="H54" s="108">
        <f t="shared" si="6"/>
        <v>11.4571208953857</v>
      </c>
    </row>
    <row r="55" spans="1:8">
      <c r="A55" s="60" t="s">
        <v>318</v>
      </c>
      <c r="E55" s="109">
        <v>11.225685119628906</v>
      </c>
      <c r="F55" s="108">
        <v>11.295048713684082</v>
      </c>
      <c r="G55" s="108">
        <v>11.326059341430664</v>
      </c>
      <c r="H55" s="108">
        <f t="shared" si="6"/>
        <v>11.282264391581217</v>
      </c>
    </row>
    <row r="56" spans="1:8">
      <c r="A56" s="60" t="s">
        <v>319</v>
      </c>
      <c r="E56" s="109">
        <v>11.361672401428223</v>
      </c>
      <c r="F56" s="108">
        <v>11.304685592651367</v>
      </c>
      <c r="G56" s="108">
        <v>11.405701637268066</v>
      </c>
      <c r="H56" s="108">
        <f>AVERAGE(E56:G56)</f>
        <v>11.357353210449219</v>
      </c>
    </row>
    <row r="57" spans="1:8">
      <c r="A57" s="60" t="s">
        <v>319</v>
      </c>
      <c r="E57" s="109">
        <v>10.911848068237305</v>
      </c>
      <c r="F57" s="108">
        <v>10.950149536132812</v>
      </c>
      <c r="G57" s="108">
        <v>10.982019424438477</v>
      </c>
      <c r="H57" s="108">
        <f>AVERAGE(E57:G57)</f>
        <v>10.948005676269531</v>
      </c>
    </row>
    <row r="58" spans="1:8">
      <c r="A58" s="60" t="s">
        <v>324</v>
      </c>
      <c r="B58" s="60"/>
      <c r="C58" s="60"/>
      <c r="D58" s="83"/>
      <c r="E58" s="109">
        <v>11.097690582275391</v>
      </c>
      <c r="F58" s="108">
        <v>11.199633598327637</v>
      </c>
      <c r="G58" s="108">
        <v>11.211821556091309</v>
      </c>
      <c r="H58" s="108">
        <f>AVERAGE(E58:G58)</f>
        <v>11.169715245564779</v>
      </c>
    </row>
    <row r="59" spans="1:8">
      <c r="A59" s="60" t="s">
        <v>325</v>
      </c>
      <c r="B59" s="60"/>
      <c r="C59" s="60"/>
      <c r="D59" s="83"/>
      <c r="E59" s="109">
        <v>11.383224487304688</v>
      </c>
      <c r="F59" s="108">
        <v>11.329494476318359</v>
      </c>
      <c r="G59" s="108">
        <v>11.243021011352539</v>
      </c>
      <c r="H59" s="108">
        <f t="shared" ref="H59:H63" si="7">AVERAGE(E59:G59)</f>
        <v>11.318579991658529</v>
      </c>
    </row>
    <row r="60" spans="1:8">
      <c r="A60" s="60" t="s">
        <v>325</v>
      </c>
      <c r="B60" s="60"/>
      <c r="C60" s="60"/>
      <c r="D60" s="83"/>
      <c r="E60" s="109">
        <v>11.171065330505371</v>
      </c>
      <c r="F60" s="108">
        <v>11.234642028808594</v>
      </c>
      <c r="G60" s="108">
        <v>11.325413703918457</v>
      </c>
      <c r="H60" s="108">
        <f t="shared" si="7"/>
        <v>11.243707021077475</v>
      </c>
    </row>
    <row r="61" spans="1:8">
      <c r="A61" s="60" t="s">
        <v>321</v>
      </c>
      <c r="B61" s="164"/>
      <c r="C61" s="83"/>
      <c r="D61" s="83"/>
      <c r="E61" s="109">
        <v>11.431556701660156</v>
      </c>
      <c r="F61" s="108">
        <v>11.393752098083496</v>
      </c>
      <c r="G61" s="108">
        <v>11.470895767211914</v>
      </c>
      <c r="H61" s="108">
        <f t="shared" si="7"/>
        <v>11.432068188985189</v>
      </c>
    </row>
    <row r="62" spans="1:8">
      <c r="A62" s="60" t="s">
        <v>321</v>
      </c>
      <c r="B62" s="164"/>
      <c r="C62" s="83"/>
      <c r="D62" s="83"/>
      <c r="E62" s="109">
        <v>11.38902759552002</v>
      </c>
      <c r="F62" s="108">
        <v>11.318164825439453</v>
      </c>
      <c r="G62" s="108">
        <v>11.357851982116699</v>
      </c>
      <c r="H62" s="108">
        <f t="shared" si="7"/>
        <v>11.355014801025391</v>
      </c>
    </row>
    <row r="63" spans="1:8">
      <c r="A63" s="60" t="s">
        <v>322</v>
      </c>
      <c r="B63" s="164"/>
      <c r="C63" s="83"/>
      <c r="D63" s="83"/>
      <c r="E63" s="109">
        <v>10.827228546142578</v>
      </c>
      <c r="F63" s="108">
        <v>10.980537414550781</v>
      </c>
      <c r="G63" s="108">
        <v>10.733705520629883</v>
      </c>
      <c r="H63" s="108">
        <f t="shared" si="7"/>
        <v>10.84715716044108</v>
      </c>
    </row>
    <row r="64" spans="1:8">
      <c r="A64" s="60" t="s">
        <v>323</v>
      </c>
      <c r="B64" s="164"/>
      <c r="C64" s="83"/>
      <c r="D64" s="83"/>
      <c r="E64" s="109">
        <v>11.185029029846191</v>
      </c>
      <c r="F64" s="108">
        <v>11.096076965332031</v>
      </c>
      <c r="G64" s="108">
        <v>11.32984447479248</v>
      </c>
      <c r="H64" s="108">
        <f>AVERAGE(E64:G64)</f>
        <v>11.2036501566569</v>
      </c>
    </row>
    <row r="65" spans="1:8">
      <c r="A65" s="60" t="s">
        <v>323</v>
      </c>
      <c r="B65" s="164"/>
      <c r="C65" s="83"/>
      <c r="D65" s="83"/>
      <c r="E65" s="109">
        <v>11.051477432250977</v>
      </c>
      <c r="F65" s="108">
        <v>10.973122596740723</v>
      </c>
      <c r="G65" s="108">
        <v>10.89690113067627</v>
      </c>
      <c r="H65" s="108">
        <f>AVERAGE(E65:G65)</f>
        <v>10.973833719889322</v>
      </c>
    </row>
    <row r="66" spans="1:8">
      <c r="A66" s="60"/>
      <c r="B66" s="60"/>
      <c r="C66" s="60"/>
      <c r="D66" s="60"/>
      <c r="E66" s="60"/>
      <c r="F66" s="60"/>
      <c r="G66" s="60"/>
      <c r="H66" s="60"/>
    </row>
    <row r="67" spans="1:8">
      <c r="A67" s="60"/>
      <c r="B67" s="60"/>
      <c r="C67" s="60"/>
      <c r="D67" s="60"/>
      <c r="E67" s="60"/>
      <c r="F67" s="60"/>
      <c r="G67" s="60" t="s">
        <v>306</v>
      </c>
      <c r="H67" s="76">
        <f>AVERAGE(H27:H65)</f>
        <v>11.297278692783454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</cols>
  <sheetData>
    <row r="2" spans="1:17">
      <c r="A2" s="101" t="s">
        <v>220</v>
      </c>
      <c r="B2" s="83"/>
      <c r="C2" s="83"/>
      <c r="D2" s="83"/>
      <c r="H2" s="101" t="s">
        <v>267</v>
      </c>
      <c r="I2" s="83"/>
      <c r="J2" s="83"/>
      <c r="K2" s="83"/>
      <c r="O2" s="101" t="s">
        <v>279</v>
      </c>
    </row>
    <row r="3" spans="1:17">
      <c r="A3" s="128" t="s">
        <v>4</v>
      </c>
      <c r="B3" s="128" t="s">
        <v>117</v>
      </c>
      <c r="C3" s="128" t="s">
        <v>117</v>
      </c>
      <c r="D3" s="128" t="s">
        <v>5</v>
      </c>
      <c r="E3" s="145" t="s">
        <v>234</v>
      </c>
      <c r="F3" s="142" t="s">
        <v>235</v>
      </c>
      <c r="H3" s="128" t="s">
        <v>4</v>
      </c>
      <c r="I3" s="128" t="s">
        <v>117</v>
      </c>
      <c r="J3" s="128" t="s">
        <v>117</v>
      </c>
      <c r="K3" s="128" t="s">
        <v>5</v>
      </c>
      <c r="L3" s="145" t="s">
        <v>234</v>
      </c>
      <c r="M3" s="142" t="s">
        <v>235</v>
      </c>
      <c r="O3" s="145" t="s">
        <v>234</v>
      </c>
      <c r="P3" s="145" t="s">
        <v>234</v>
      </c>
      <c r="Q3" s="142" t="s">
        <v>235</v>
      </c>
    </row>
    <row r="4" spans="1:17">
      <c r="A4" s="129"/>
      <c r="B4" s="129"/>
      <c r="C4" s="129"/>
      <c r="D4" s="129"/>
      <c r="E4" s="149"/>
      <c r="F4" s="150"/>
      <c r="H4" s="129"/>
      <c r="I4" s="129"/>
      <c r="J4" s="129"/>
      <c r="K4" s="129"/>
      <c r="L4" s="149"/>
      <c r="M4" s="150"/>
      <c r="O4" s="149"/>
      <c r="P4" s="149"/>
      <c r="Q4" s="150"/>
    </row>
    <row r="5" spans="1:17">
      <c r="A5" s="39">
        <v>0</v>
      </c>
      <c r="B5" s="31">
        <v>10</v>
      </c>
      <c r="C5" s="31">
        <f>B5</f>
        <v>10</v>
      </c>
      <c r="D5" s="13">
        <f t="shared" ref="D5:D21" si="0">C5/60</f>
        <v>0.16666666666666666</v>
      </c>
      <c r="E5" s="103">
        <f>'Determination cell counts RI'!R4</f>
        <v>8.253089840465833</v>
      </c>
      <c r="F5" s="103">
        <f>'Determination cell counts RI'!S4</f>
        <v>4.9904329017040991E-2</v>
      </c>
      <c r="H5" s="39">
        <v>0</v>
      </c>
      <c r="I5" s="31">
        <v>10</v>
      </c>
      <c r="J5" s="31">
        <f>I5</f>
        <v>10</v>
      </c>
      <c r="K5" s="13">
        <f t="shared" ref="K5:K21" si="1">J5/60</f>
        <v>0.16666666666666666</v>
      </c>
      <c r="L5" s="103">
        <f>'Determination cell counts BH'!R4</f>
        <v>7.6246193907141393</v>
      </c>
      <c r="M5" s="103">
        <f>'Determination cell counts BH'!S4</f>
        <v>6.6673475340358626E-2</v>
      </c>
      <c r="O5" s="120">
        <f>POWER(10,E5)+POWER(10,L5)</f>
        <v>221230340.33195597</v>
      </c>
      <c r="P5" s="121">
        <f>LOG(O5)</f>
        <v>8.3448446874389912</v>
      </c>
      <c r="Q5" s="121">
        <f>F5+M5</f>
        <v>0.11657780435739962</v>
      </c>
    </row>
    <row r="6" spans="1:17">
      <c r="A6" s="39">
        <v>1</v>
      </c>
      <c r="B6" s="31">
        <v>110</v>
      </c>
      <c r="C6" s="31">
        <f>C5+B6</f>
        <v>120</v>
      </c>
      <c r="D6" s="13">
        <f t="shared" si="0"/>
        <v>2</v>
      </c>
      <c r="E6" s="103">
        <f>'Determination cell counts RI'!R5</f>
        <v>8.3580111833449742</v>
      </c>
      <c r="F6" s="103">
        <f>'Determination cell counts RI'!S5</f>
        <v>2.8674939962730087E-2</v>
      </c>
      <c r="H6" s="39">
        <v>1</v>
      </c>
      <c r="I6" s="31">
        <v>110</v>
      </c>
      <c r="J6" s="31">
        <f>J5+I6</f>
        <v>120</v>
      </c>
      <c r="K6" s="13">
        <f t="shared" si="1"/>
        <v>2</v>
      </c>
      <c r="L6" s="103">
        <f>'Determination cell counts BH'!R5</f>
        <v>8.060294612041373</v>
      </c>
      <c r="M6" s="103">
        <f>'Determination cell counts BH'!S5</f>
        <v>7.6208776633854031E-2</v>
      </c>
      <c r="O6" s="120">
        <f t="shared" ref="O6:O21" si="2">POWER(10,E6)+POWER(10,L6)</f>
        <v>342933355.08413541</v>
      </c>
      <c r="P6" s="121">
        <f t="shared" ref="P6:P21" si="3">LOG(O6)</f>
        <v>8.5352097284059347</v>
      </c>
      <c r="Q6" s="121">
        <f t="shared" ref="Q6:Q21" si="4">F6+M6</f>
        <v>0.10488371659658412</v>
      </c>
    </row>
    <row r="7" spans="1:17">
      <c r="A7" s="39">
        <v>2</v>
      </c>
      <c r="B7" s="31">
        <v>80</v>
      </c>
      <c r="C7" s="31">
        <f>C6+B7</f>
        <v>200</v>
      </c>
      <c r="D7" s="13">
        <f t="shared" si="0"/>
        <v>3.3333333333333335</v>
      </c>
      <c r="E7" s="103">
        <f>'Determination cell counts RI'!R6</f>
        <v>8.4733422942848069</v>
      </c>
      <c r="F7" s="103">
        <f>'Determination cell counts RI'!S6</f>
        <v>6.6124595564796676E-2</v>
      </c>
      <c r="H7" s="39">
        <v>2</v>
      </c>
      <c r="I7" s="31">
        <v>80</v>
      </c>
      <c r="J7" s="31">
        <f>J6+I7</f>
        <v>200</v>
      </c>
      <c r="K7" s="13">
        <f t="shared" si="1"/>
        <v>3.3333333333333335</v>
      </c>
      <c r="L7" s="103">
        <f>'Determination cell counts BH'!R6</f>
        <v>8.5561931080331579</v>
      </c>
      <c r="M7" s="103">
        <f>'Determination cell counts BH'!S6</f>
        <v>6.1228560472512551E-2</v>
      </c>
      <c r="O7" s="120">
        <f t="shared" si="2"/>
        <v>657310243.26924384</v>
      </c>
      <c r="P7" s="121">
        <f t="shared" si="3"/>
        <v>8.81777040021076</v>
      </c>
      <c r="Q7" s="121">
        <f t="shared" si="4"/>
        <v>0.12735315603730923</v>
      </c>
    </row>
    <row r="8" spans="1:17">
      <c r="A8" s="39">
        <v>3</v>
      </c>
      <c r="B8" s="31">
        <v>80</v>
      </c>
      <c r="C8" s="31">
        <f>C7+B8</f>
        <v>280</v>
      </c>
      <c r="D8" s="13">
        <f t="shared" si="0"/>
        <v>4.666666666666667</v>
      </c>
      <c r="E8" s="103">
        <f>'Determination cell counts RI'!R7</f>
        <v>8.5833408328740024</v>
      </c>
      <c r="F8" s="103">
        <f>'Determination cell counts RI'!S7</f>
        <v>8.0308891483790321E-2</v>
      </c>
      <c r="H8" s="39">
        <v>3</v>
      </c>
      <c r="I8" s="31">
        <v>80</v>
      </c>
      <c r="J8" s="31">
        <f>J7+I8</f>
        <v>280</v>
      </c>
      <c r="K8" s="13">
        <f t="shared" si="1"/>
        <v>4.666666666666667</v>
      </c>
      <c r="L8" s="103">
        <f>'Determination cell counts BH'!R7</f>
        <v>8.7314579178984211</v>
      </c>
      <c r="M8" s="103">
        <f>'Determination cell counts BH'!S7</f>
        <v>9.2307648077147475E-2</v>
      </c>
      <c r="O8" s="120">
        <f t="shared" si="2"/>
        <v>921962931.59266877</v>
      </c>
      <c r="P8" s="121">
        <f t="shared" si="3"/>
        <v>8.9647134601768581</v>
      </c>
      <c r="Q8" s="121">
        <f t="shared" si="4"/>
        <v>0.17261653956093781</v>
      </c>
    </row>
    <row r="9" spans="1:17">
      <c r="A9" s="39">
        <v>4</v>
      </c>
      <c r="B9" s="31">
        <v>80</v>
      </c>
      <c r="C9" s="31">
        <f t="shared" ref="C9:C19" si="5">C8+B9</f>
        <v>360</v>
      </c>
      <c r="D9" s="13">
        <f t="shared" si="0"/>
        <v>6</v>
      </c>
      <c r="E9" s="103">
        <f>'Determination cell counts RI'!R8</f>
        <v>9.1435218529721816</v>
      </c>
      <c r="F9" s="103">
        <f>'Determination cell counts RI'!S8</f>
        <v>9.3082783760317298E-2</v>
      </c>
      <c r="H9" s="39">
        <v>4</v>
      </c>
      <c r="I9" s="31">
        <v>80</v>
      </c>
      <c r="J9" s="31">
        <f t="shared" ref="J9:J19" si="6">J8+I9</f>
        <v>360</v>
      </c>
      <c r="K9" s="13">
        <f t="shared" si="1"/>
        <v>6</v>
      </c>
      <c r="L9" s="103">
        <f>'Determination cell counts BH'!R8</f>
        <v>9.4643905820454872</v>
      </c>
      <c r="M9" s="103">
        <f>'Determination cell counts BH'!S8</f>
        <v>0.3913451716162723</v>
      </c>
      <c r="O9" s="120">
        <f t="shared" si="2"/>
        <v>4304959861.59025</v>
      </c>
      <c r="P9" s="121">
        <f t="shared" si="3"/>
        <v>9.6339691065513158</v>
      </c>
      <c r="Q9" s="121">
        <f t="shared" si="4"/>
        <v>0.48442795537658961</v>
      </c>
    </row>
    <row r="10" spans="1:17">
      <c r="A10" s="39">
        <v>5</v>
      </c>
      <c r="B10" s="31">
        <v>80</v>
      </c>
      <c r="C10" s="31">
        <f t="shared" si="5"/>
        <v>440</v>
      </c>
      <c r="D10" s="13">
        <f t="shared" si="0"/>
        <v>7.333333333333333</v>
      </c>
      <c r="E10" s="103">
        <f>'Determination cell counts RI'!R9</f>
        <v>9.578211497199085</v>
      </c>
      <c r="F10" s="103">
        <f>'Determination cell counts RI'!S9</f>
        <v>3.7752303518122837E-2</v>
      </c>
      <c r="H10" s="39">
        <v>5</v>
      </c>
      <c r="I10" s="31">
        <v>80</v>
      </c>
      <c r="J10" s="31">
        <f t="shared" si="6"/>
        <v>440</v>
      </c>
      <c r="K10" s="13">
        <f t="shared" si="1"/>
        <v>7.333333333333333</v>
      </c>
      <c r="L10" s="103">
        <f>'Determination cell counts BH'!R9</f>
        <v>9.5151358380550057</v>
      </c>
      <c r="M10" s="103">
        <f>'Determination cell counts BH'!S9</f>
        <v>3.7797601886534138E-2</v>
      </c>
      <c r="O10" s="120">
        <f t="shared" si="2"/>
        <v>7060700235.5014095</v>
      </c>
      <c r="P10" s="121">
        <f t="shared" si="3"/>
        <v>9.8488477737620048</v>
      </c>
      <c r="Q10" s="121">
        <f t="shared" si="4"/>
        <v>7.5549905404656975E-2</v>
      </c>
    </row>
    <row r="11" spans="1:17">
      <c r="A11" s="39">
        <v>6</v>
      </c>
      <c r="B11" s="31">
        <v>80</v>
      </c>
      <c r="C11" s="31">
        <f t="shared" si="5"/>
        <v>520</v>
      </c>
      <c r="D11" s="13">
        <f t="shared" si="0"/>
        <v>8.6666666666666661</v>
      </c>
      <c r="E11" s="103">
        <f>'Determination cell counts RI'!R10</f>
        <v>9.6670494202634778</v>
      </c>
      <c r="F11" s="103">
        <f>'Determination cell counts RI'!S10</f>
        <v>5.4673928922278327E-2</v>
      </c>
      <c r="H11" s="39">
        <v>6</v>
      </c>
      <c r="I11" s="31">
        <v>80</v>
      </c>
      <c r="J11" s="31">
        <f t="shared" si="6"/>
        <v>520</v>
      </c>
      <c r="K11" s="13">
        <f t="shared" si="1"/>
        <v>8.6666666666666661</v>
      </c>
      <c r="L11" s="103">
        <f>'Determination cell counts BH'!R10</f>
        <v>9.6770069387799342</v>
      </c>
      <c r="M11" s="103">
        <f>'Determination cell counts BH'!S10</f>
        <v>3.031178578019229E-2</v>
      </c>
      <c r="O11" s="120">
        <f t="shared" si="2"/>
        <v>9399109579.4654064</v>
      </c>
      <c r="P11" s="121">
        <f t="shared" si="3"/>
        <v>9.9730867128506215</v>
      </c>
      <c r="Q11" s="121">
        <f t="shared" si="4"/>
        <v>8.4985714702470613E-2</v>
      </c>
    </row>
    <row r="12" spans="1:17">
      <c r="A12" s="39">
        <v>7</v>
      </c>
      <c r="B12" s="31">
        <v>80</v>
      </c>
      <c r="C12" s="31">
        <f t="shared" si="5"/>
        <v>600</v>
      </c>
      <c r="D12" s="13">
        <f t="shared" si="0"/>
        <v>10</v>
      </c>
      <c r="E12" s="103">
        <f>'Determination cell counts RI'!R11</f>
        <v>9.5788362182707818</v>
      </c>
      <c r="F12" s="103">
        <f>'Determination cell counts RI'!S11</f>
        <v>4.2856691320914901E-2</v>
      </c>
      <c r="H12" s="39">
        <v>7</v>
      </c>
      <c r="I12" s="31">
        <v>80</v>
      </c>
      <c r="J12" s="31">
        <f t="shared" si="6"/>
        <v>600</v>
      </c>
      <c r="K12" s="13">
        <f t="shared" si="1"/>
        <v>10</v>
      </c>
      <c r="L12" s="103">
        <f>'Determination cell counts BH'!R11</f>
        <v>9.6707686435190503</v>
      </c>
      <c r="M12" s="103">
        <f>'Determination cell counts BH'!S11</f>
        <v>1.1526802974977454E-2</v>
      </c>
      <c r="O12" s="120">
        <f t="shared" si="2"/>
        <v>8477356674.9283218</v>
      </c>
      <c r="P12" s="121">
        <f t="shared" si="3"/>
        <v>9.9282604559772327</v>
      </c>
      <c r="Q12" s="121">
        <f t="shared" si="4"/>
        <v>5.4383494295892357E-2</v>
      </c>
    </row>
    <row r="13" spans="1:17">
      <c r="A13" s="39">
        <v>8</v>
      </c>
      <c r="B13" s="31">
        <v>80</v>
      </c>
      <c r="C13" s="31">
        <f t="shared" si="5"/>
        <v>680</v>
      </c>
      <c r="D13" s="13">
        <f t="shared" si="0"/>
        <v>11.333333333333334</v>
      </c>
      <c r="E13" s="103">
        <f>'Determination cell counts RI'!R12</f>
        <v>9.6821365098379566</v>
      </c>
      <c r="F13" s="103">
        <f>'Determination cell counts RI'!S12</f>
        <v>3.5768299843993649E-2</v>
      </c>
      <c r="H13" s="39">
        <v>8</v>
      </c>
      <c r="I13" s="31">
        <v>80</v>
      </c>
      <c r="J13" s="31">
        <f t="shared" si="6"/>
        <v>680</v>
      </c>
      <c r="K13" s="13">
        <f t="shared" si="1"/>
        <v>11.333333333333334</v>
      </c>
      <c r="L13" s="103">
        <f>'Determination cell counts BH'!R12</f>
        <v>9.8505435901446941</v>
      </c>
      <c r="M13" s="103">
        <f>'Determination cell counts BH'!S12</f>
        <v>1.4245471742365677E-2</v>
      </c>
      <c r="O13" s="120">
        <f t="shared" si="2"/>
        <v>11898229606.890766</v>
      </c>
      <c r="P13" s="121">
        <f t="shared" si="3"/>
        <v>10.075482345496956</v>
      </c>
      <c r="Q13" s="121">
        <f t="shared" si="4"/>
        <v>5.0013771586359328E-2</v>
      </c>
    </row>
    <row r="14" spans="1:17">
      <c r="A14" s="39">
        <v>9</v>
      </c>
      <c r="B14" s="31">
        <v>80</v>
      </c>
      <c r="C14" s="31">
        <f t="shared" si="5"/>
        <v>760</v>
      </c>
      <c r="D14" s="13">
        <f t="shared" si="0"/>
        <v>12.666666666666666</v>
      </c>
      <c r="E14" s="103">
        <f>'Determination cell counts RI'!R13</f>
        <v>9.5464275232970817</v>
      </c>
      <c r="F14" s="103">
        <f>'Determination cell counts RI'!S13</f>
        <v>2.5348930862212543E-2</v>
      </c>
      <c r="H14" s="39">
        <v>9</v>
      </c>
      <c r="I14" s="31">
        <v>80</v>
      </c>
      <c r="J14" s="31">
        <f t="shared" si="6"/>
        <v>760</v>
      </c>
      <c r="K14" s="13">
        <f t="shared" si="1"/>
        <v>12.666666666666666</v>
      </c>
      <c r="L14" s="103">
        <f>'Determination cell counts BH'!R13</f>
        <v>9.8409206283737074</v>
      </c>
      <c r="M14" s="103">
        <f>'Determination cell counts BH'!S13</f>
        <v>1.670924451984216E-2</v>
      </c>
      <c r="O14" s="120">
        <f t="shared" si="2"/>
        <v>10452057772.562328</v>
      </c>
      <c r="P14" s="121">
        <f t="shared" si="3"/>
        <v>10.019201801575349</v>
      </c>
      <c r="Q14" s="121">
        <f t="shared" si="4"/>
        <v>4.2058175382054704E-2</v>
      </c>
    </row>
    <row r="15" spans="1:17">
      <c r="A15" s="39">
        <v>10</v>
      </c>
      <c r="B15" s="31">
        <v>80</v>
      </c>
      <c r="C15" s="31">
        <f t="shared" si="5"/>
        <v>840</v>
      </c>
      <c r="D15" s="13">
        <f t="shared" si="0"/>
        <v>14</v>
      </c>
      <c r="E15" s="103">
        <f>'Determination cell counts RI'!R14</f>
        <v>9.5252236874179399</v>
      </c>
      <c r="F15" s="103">
        <f>'Determination cell counts RI'!S14</f>
        <v>5.7886712077954226E-2</v>
      </c>
      <c r="H15" s="39">
        <v>10</v>
      </c>
      <c r="I15" s="31">
        <v>80</v>
      </c>
      <c r="J15" s="31">
        <f t="shared" si="6"/>
        <v>840</v>
      </c>
      <c r="K15" s="13">
        <f t="shared" si="1"/>
        <v>14</v>
      </c>
      <c r="L15" s="103">
        <f>'Determination cell counts BH'!R14</f>
        <v>9.9113377382190091</v>
      </c>
      <c r="M15" s="103">
        <f>'Determination cell counts BH'!S14</f>
        <v>2.5552753750277817E-2</v>
      </c>
      <c r="O15" s="120">
        <f t="shared" si="2"/>
        <v>11504761129.913933</v>
      </c>
      <c r="P15" s="121">
        <f t="shared" si="3"/>
        <v>10.060877605965356</v>
      </c>
      <c r="Q15" s="121">
        <f t="shared" si="4"/>
        <v>8.3439465828232043E-2</v>
      </c>
    </row>
    <row r="16" spans="1:17">
      <c r="A16" s="39">
        <v>11</v>
      </c>
      <c r="B16" s="31">
        <v>80</v>
      </c>
      <c r="C16" s="31">
        <f t="shared" si="5"/>
        <v>920</v>
      </c>
      <c r="D16" s="13">
        <f t="shared" si="0"/>
        <v>15.333333333333334</v>
      </c>
      <c r="E16" s="103">
        <f>'Determination cell counts RI'!R15</f>
        <v>9.5545336437875825</v>
      </c>
      <c r="F16" s="103">
        <f>'Determination cell counts RI'!S15</f>
        <v>2.8465843398785811E-2</v>
      </c>
      <c r="H16" s="39">
        <v>11</v>
      </c>
      <c r="I16" s="31">
        <v>80</v>
      </c>
      <c r="J16" s="31">
        <f t="shared" si="6"/>
        <v>920</v>
      </c>
      <c r="K16" s="13">
        <f t="shared" si="1"/>
        <v>15.333333333333334</v>
      </c>
      <c r="L16" s="103">
        <f>'Determination cell counts BH'!R15</f>
        <v>9.8830485355635158</v>
      </c>
      <c r="M16" s="103">
        <f>'Determination cell counts BH'!S15</f>
        <v>2.265233056142988E-2</v>
      </c>
      <c r="O16" s="120">
        <f t="shared" si="2"/>
        <v>11224578747.561749</v>
      </c>
      <c r="P16" s="121">
        <f t="shared" si="3"/>
        <v>10.050170051141523</v>
      </c>
      <c r="Q16" s="121">
        <f t="shared" si="4"/>
        <v>5.1118173960215688E-2</v>
      </c>
    </row>
    <row r="17" spans="1:17">
      <c r="A17" s="39">
        <v>12</v>
      </c>
      <c r="B17" s="31">
        <v>80</v>
      </c>
      <c r="C17" s="31">
        <f t="shared" si="5"/>
        <v>1000</v>
      </c>
      <c r="D17" s="13">
        <f t="shared" si="0"/>
        <v>16.666666666666668</v>
      </c>
      <c r="E17" s="103">
        <f>'Determination cell counts RI'!R16</f>
        <v>9.6775760232992241</v>
      </c>
      <c r="F17" s="103">
        <f>'Determination cell counts RI'!S16</f>
        <v>8.0304236130179132E-2</v>
      </c>
      <c r="H17" s="39">
        <v>12</v>
      </c>
      <c r="I17" s="31">
        <v>80</v>
      </c>
      <c r="J17" s="31">
        <f t="shared" si="6"/>
        <v>1000</v>
      </c>
      <c r="K17" s="13">
        <f t="shared" si="1"/>
        <v>16.666666666666668</v>
      </c>
      <c r="L17" s="103">
        <f>'Determination cell counts BH'!R16</f>
        <v>9.9362961658793658</v>
      </c>
      <c r="M17" s="103">
        <f>'Determination cell counts BH'!S16</f>
        <v>5.1614294687540779E-2</v>
      </c>
      <c r="O17" s="120">
        <f t="shared" si="2"/>
        <v>13395333558.469742</v>
      </c>
      <c r="P17" s="121">
        <f t="shared" si="3"/>
        <v>10.126953532486905</v>
      </c>
      <c r="Q17" s="121">
        <f t="shared" si="4"/>
        <v>0.13191853081771993</v>
      </c>
    </row>
    <row r="18" spans="1:17">
      <c r="A18" s="39">
        <v>13</v>
      </c>
      <c r="B18" s="31">
        <v>80</v>
      </c>
      <c r="C18" s="31">
        <f t="shared" si="5"/>
        <v>1080</v>
      </c>
      <c r="D18" s="13">
        <f t="shared" si="0"/>
        <v>18</v>
      </c>
      <c r="E18" s="103">
        <f>'Determination cell counts RI'!R17</f>
        <v>9.6786301164632622</v>
      </c>
      <c r="F18" s="103">
        <f>'Determination cell counts RI'!S17</f>
        <v>3.8701392158359084E-2</v>
      </c>
      <c r="H18" s="39">
        <v>13</v>
      </c>
      <c r="I18" s="31">
        <v>80</v>
      </c>
      <c r="J18" s="31">
        <f t="shared" si="6"/>
        <v>1080</v>
      </c>
      <c r="K18" s="13">
        <f t="shared" si="1"/>
        <v>18</v>
      </c>
      <c r="L18" s="103">
        <f>'Determination cell counts BH'!R17</f>
        <v>9.9733313177275082</v>
      </c>
      <c r="M18" s="103">
        <f>'Determination cell counts BH'!S17</f>
        <v>2.8241430306298752E-2</v>
      </c>
      <c r="O18" s="120">
        <f t="shared" si="2"/>
        <v>14175632277.323406</v>
      </c>
      <c r="P18" s="121">
        <f t="shared" si="3"/>
        <v>10.151542438882659</v>
      </c>
      <c r="Q18" s="121">
        <f t="shared" si="4"/>
        <v>6.6942822464657839E-2</v>
      </c>
    </row>
    <row r="19" spans="1:17">
      <c r="A19" s="39">
        <v>14</v>
      </c>
      <c r="B19" s="31">
        <v>360</v>
      </c>
      <c r="C19" s="31">
        <f t="shared" si="5"/>
        <v>1440</v>
      </c>
      <c r="D19" s="13">
        <f t="shared" si="0"/>
        <v>24</v>
      </c>
      <c r="E19" s="103">
        <f>'Determination cell counts RI'!R18</f>
        <v>9.4862736097744893</v>
      </c>
      <c r="F19" s="103">
        <f>'Determination cell counts RI'!S18</f>
        <v>4.9806244141715236E-2</v>
      </c>
      <c r="H19" s="39">
        <v>14</v>
      </c>
      <c r="I19" s="31">
        <v>360</v>
      </c>
      <c r="J19" s="31">
        <f t="shared" si="6"/>
        <v>1440</v>
      </c>
      <c r="K19" s="13">
        <f t="shared" si="1"/>
        <v>24</v>
      </c>
      <c r="L19" s="103">
        <f>'Determination cell counts BH'!R18</f>
        <v>10.021432408932855</v>
      </c>
      <c r="M19" s="103">
        <f>'Determination cell counts BH'!S18</f>
        <v>5.0875083831960967E-2</v>
      </c>
      <c r="O19" s="120">
        <f t="shared" si="2"/>
        <v>13569772455.87439</v>
      </c>
      <c r="P19" s="121">
        <f t="shared" si="3"/>
        <v>10.132572565273099</v>
      </c>
      <c r="Q19" s="121">
        <f t="shared" si="4"/>
        <v>0.10068132797367621</v>
      </c>
    </row>
    <row r="20" spans="1:17">
      <c r="A20" s="39">
        <v>15</v>
      </c>
      <c r="B20" s="31">
        <v>360</v>
      </c>
      <c r="C20" s="31">
        <f>C19+B20</f>
        <v>1800</v>
      </c>
      <c r="D20" s="13">
        <f t="shared" si="0"/>
        <v>30</v>
      </c>
      <c r="E20" s="103">
        <f>'Determination cell counts RI'!R19</f>
        <v>9.1777636017216704</v>
      </c>
      <c r="F20" s="103">
        <f>'Determination cell counts RI'!S19</f>
        <v>3.7275069061961624E-2</v>
      </c>
      <c r="H20" s="39">
        <v>15</v>
      </c>
      <c r="I20" s="31">
        <v>360</v>
      </c>
      <c r="J20" s="31">
        <f>J19+I20</f>
        <v>1800</v>
      </c>
      <c r="K20" s="13">
        <f t="shared" si="1"/>
        <v>30</v>
      </c>
      <c r="L20" s="103">
        <f>'Determination cell counts BH'!R19</f>
        <v>9.8695121290130476</v>
      </c>
      <c r="M20" s="103">
        <f>'Determination cell counts BH'!S19</f>
        <v>3.3056539544296118E-2</v>
      </c>
      <c r="O20" s="120">
        <f t="shared" si="2"/>
        <v>8910566675.1401272</v>
      </c>
      <c r="P20" s="121">
        <f t="shared" si="3"/>
        <v>9.9499053242456998</v>
      </c>
      <c r="Q20" s="121">
        <f t="shared" si="4"/>
        <v>7.0331608606257742E-2</v>
      </c>
    </row>
    <row r="21" spans="1:17">
      <c r="A21" s="39">
        <v>16</v>
      </c>
      <c r="B21" s="31">
        <v>1080</v>
      </c>
      <c r="C21" s="31">
        <f>C20+B21</f>
        <v>2880</v>
      </c>
      <c r="D21" s="13">
        <f t="shared" si="0"/>
        <v>48</v>
      </c>
      <c r="E21" s="103">
        <f>'Determination cell counts RI'!R20</f>
        <v>8.8189690386195885</v>
      </c>
      <c r="F21" s="103">
        <f>'Determination cell counts RI'!S20</f>
        <v>0.13530073438129622</v>
      </c>
      <c r="H21" s="39">
        <v>16</v>
      </c>
      <c r="I21" s="31">
        <v>1080</v>
      </c>
      <c r="J21" s="31">
        <f>J20+I21</f>
        <v>2880</v>
      </c>
      <c r="K21" s="13">
        <f t="shared" si="1"/>
        <v>48</v>
      </c>
      <c r="L21" s="103">
        <f>'Determination cell counts BH'!R20</f>
        <v>9.7012383313891526</v>
      </c>
      <c r="M21" s="103">
        <f>'Determination cell counts BH'!S20</f>
        <v>8.9383256017202137E-2</v>
      </c>
      <c r="O21" s="120">
        <f t="shared" si="2"/>
        <v>5685310302.5389175</v>
      </c>
      <c r="P21" s="121">
        <f t="shared" si="3"/>
        <v>9.7547541733338061</v>
      </c>
      <c r="Q21" s="121">
        <f t="shared" si="4"/>
        <v>0.22468399039849835</v>
      </c>
    </row>
  </sheetData>
  <mergeCells count="15">
    <mergeCell ref="F3:F4"/>
    <mergeCell ref="A3:A4"/>
    <mergeCell ref="B3:B4"/>
    <mergeCell ref="C3:C4"/>
    <mergeCell ref="D3:D4"/>
    <mergeCell ref="E3:E4"/>
    <mergeCell ref="O3:O4"/>
    <mergeCell ref="P3:P4"/>
    <mergeCell ref="Q3:Q4"/>
    <mergeCell ref="H3:H4"/>
    <mergeCell ref="I3:I4"/>
    <mergeCell ref="J3:J4"/>
    <mergeCell ref="K3:K4"/>
    <mergeCell ref="L3:L4"/>
    <mergeCell ref="M3:M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2016-04-13T15:18:29Z</dcterms:modified>
</cp:coreProperties>
</file>