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360" tabRatio="930" firstSheet="10" activeTab="21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R. intestinalis " sheetId="25" r:id="rId5"/>
    <sheet name="Calibration F. prausnitzii" sheetId="26" r:id="rId6"/>
    <sheet name="Determination cell counts RI" sheetId="27" r:id="rId7"/>
    <sheet name="Determination cell count F. p" sheetId="28" r:id="rId8"/>
    <sheet name="Total cell count" sheetId="29" r:id="rId9"/>
    <sheet name="OD600nm" sheetId="4" r:id="rId10"/>
    <sheet name="CDM" sheetId="5" r:id="rId11"/>
    <sheet name="H2" sheetId="17" r:id="rId12"/>
    <sheet name="CO2" sheetId="7" r:id="rId13"/>
    <sheet name="Metabolites" sheetId="8" r:id="rId14"/>
    <sheet name="D-Fructose" sheetId="19" r:id="rId15"/>
    <sheet name="Formic acid" sheetId="18" r:id="rId16"/>
    <sheet name="Acetic acid" sheetId="15" r:id="rId17"/>
    <sheet name="Propionic acid" sheetId="20" r:id="rId18"/>
    <sheet name="Butyric acid" sheetId="21" r:id="rId19"/>
    <sheet name="Lactic acid" sheetId="14" r:id="rId20"/>
    <sheet name="Ethanol" sheetId="16" r:id="rId21"/>
    <sheet name="Graph" sheetId="13" r:id="rId22"/>
    <sheet name="Graph (2)" sheetId="24" r:id="rId23"/>
    <sheet name="Carbon recovery" sheetId="23" r:id="rId24"/>
  </sheets>
  <externalReferences>
    <externalReference r:id="rId25"/>
  </externalReferences>
  <definedNames>
    <definedName name="_2012_05_10_FPRAU_fruc1" localSheetId="12">'CO2'!$I$5:$I$293</definedName>
    <definedName name="_2012_06_08_BIF_REC_OLI_1" localSheetId="12">'CO2'!$N$5:$N$201</definedName>
    <definedName name="_2012_06_08_BIF_REC_OLI_1" localSheetId="11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5" i="28" l="1"/>
  <c r="H72" i="28"/>
  <c r="H71" i="28"/>
  <c r="H70" i="28"/>
  <c r="H69" i="28"/>
  <c r="H68" i="28"/>
  <c r="H67" i="28"/>
  <c r="H66" i="28"/>
  <c r="H65" i="28"/>
  <c r="H64" i="28"/>
  <c r="I15" i="27"/>
  <c r="H71" i="27"/>
  <c r="H68" i="27"/>
  <c r="H67" i="27"/>
  <c r="H66" i="27"/>
  <c r="H65" i="27"/>
  <c r="H64" i="27"/>
  <c r="H63" i="27"/>
  <c r="H62" i="27"/>
  <c r="H61" i="27"/>
  <c r="H60" i="27"/>
  <c r="H59" i="27"/>
  <c r="H58" i="27"/>
  <c r="J9" i="28"/>
  <c r="I9" i="28"/>
  <c r="H9" i="28"/>
  <c r="J20" i="28"/>
  <c r="I20" i="28"/>
  <c r="H20" i="28"/>
  <c r="J19" i="28"/>
  <c r="I19" i="28"/>
  <c r="H19" i="28"/>
  <c r="J18" i="28"/>
  <c r="I18" i="28"/>
  <c r="H18" i="28"/>
  <c r="J17" i="28"/>
  <c r="I17" i="28"/>
  <c r="H17" i="28"/>
  <c r="J16" i="28"/>
  <c r="I16" i="28"/>
  <c r="H16" i="28"/>
  <c r="J15" i="28"/>
  <c r="I15" i="28"/>
  <c r="H15" i="28"/>
  <c r="J14" i="28"/>
  <c r="I14" i="28"/>
  <c r="H14" i="28"/>
  <c r="J13" i="28"/>
  <c r="I13" i="28"/>
  <c r="H13" i="28"/>
  <c r="J12" i="28"/>
  <c r="I12" i="28"/>
  <c r="H12" i="28"/>
  <c r="J11" i="28"/>
  <c r="I11" i="28"/>
  <c r="H11" i="28"/>
  <c r="J10" i="28"/>
  <c r="I10" i="28"/>
  <c r="H10" i="28"/>
  <c r="J8" i="28"/>
  <c r="I8" i="28"/>
  <c r="H8" i="28"/>
  <c r="J7" i="28"/>
  <c r="I7" i="28"/>
  <c r="H7" i="28"/>
  <c r="J6" i="28"/>
  <c r="I6" i="28"/>
  <c r="H6" i="28"/>
  <c r="J5" i="28"/>
  <c r="I5" i="28"/>
  <c r="H5" i="28"/>
  <c r="I4" i="28"/>
  <c r="J4" i="28"/>
  <c r="H4" i="28"/>
  <c r="H57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I9" i="27"/>
  <c r="J9" i="27"/>
  <c r="H9" i="27"/>
  <c r="H5" i="27"/>
  <c r="I5" i="27"/>
  <c r="J5" i="27"/>
  <c r="H6" i="27"/>
  <c r="I6" i="27"/>
  <c r="J6" i="27"/>
  <c r="H7" i="27"/>
  <c r="I7" i="27"/>
  <c r="J7" i="27"/>
  <c r="H8" i="27"/>
  <c r="I8" i="27"/>
  <c r="J8" i="27"/>
  <c r="H10" i="27"/>
  <c r="I10" i="27"/>
  <c r="J10" i="27"/>
  <c r="H11" i="27"/>
  <c r="I11" i="27"/>
  <c r="J11" i="27"/>
  <c r="H12" i="27"/>
  <c r="I12" i="27"/>
  <c r="J12" i="27"/>
  <c r="H13" i="27"/>
  <c r="I13" i="27"/>
  <c r="J13" i="27"/>
  <c r="H14" i="27"/>
  <c r="I14" i="27"/>
  <c r="J14" i="27"/>
  <c r="H15" i="27"/>
  <c r="J15" i="27"/>
  <c r="H16" i="27"/>
  <c r="I16" i="27"/>
  <c r="J16" i="27"/>
  <c r="H17" i="27"/>
  <c r="I17" i="27"/>
  <c r="J17" i="27"/>
  <c r="H18" i="27"/>
  <c r="I18" i="27"/>
  <c r="J18" i="27"/>
  <c r="H19" i="27"/>
  <c r="I19" i="27"/>
  <c r="J19" i="27"/>
  <c r="H20" i="27"/>
  <c r="I20" i="27"/>
  <c r="J20" i="27"/>
  <c r="I4" i="27"/>
  <c r="J4" i="27"/>
  <c r="H4" i="27"/>
  <c r="B23" i="27"/>
  <c r="B22" i="27"/>
  <c r="K5" i="27"/>
  <c r="L5" i="27"/>
  <c r="M5" i="27"/>
  <c r="O5" i="27"/>
  <c r="S5" i="27"/>
  <c r="F6" i="29"/>
  <c r="B25" i="28"/>
  <c r="B24" i="28"/>
  <c r="K5" i="28"/>
  <c r="L5" i="28"/>
  <c r="M5" i="28"/>
  <c r="O5" i="28"/>
  <c r="S5" i="28"/>
  <c r="M6" i="29"/>
  <c r="Q6" i="29"/>
  <c r="K6" i="27"/>
  <c r="L6" i="27"/>
  <c r="M6" i="27"/>
  <c r="O6" i="27"/>
  <c r="S6" i="27"/>
  <c r="F7" i="29"/>
  <c r="K6" i="28"/>
  <c r="L6" i="28"/>
  <c r="M6" i="28"/>
  <c r="O6" i="28"/>
  <c r="S6" i="28"/>
  <c r="M7" i="29"/>
  <c r="Q7" i="29"/>
  <c r="K7" i="27"/>
  <c r="L7" i="27"/>
  <c r="M7" i="27"/>
  <c r="O7" i="27"/>
  <c r="S7" i="27"/>
  <c r="F8" i="29"/>
  <c r="K7" i="28"/>
  <c r="L7" i="28"/>
  <c r="M7" i="28"/>
  <c r="O7" i="28"/>
  <c r="S7" i="28"/>
  <c r="M8" i="29"/>
  <c r="Q8" i="29"/>
  <c r="K8" i="27"/>
  <c r="L8" i="27"/>
  <c r="M8" i="27"/>
  <c r="O8" i="27"/>
  <c r="S8" i="27"/>
  <c r="F9" i="29"/>
  <c r="K8" i="28"/>
  <c r="L8" i="28"/>
  <c r="M8" i="28"/>
  <c r="O8" i="28"/>
  <c r="S8" i="28"/>
  <c r="M9" i="29"/>
  <c r="Q9" i="29"/>
  <c r="K9" i="27"/>
  <c r="L9" i="27"/>
  <c r="M9" i="27"/>
  <c r="O9" i="27"/>
  <c r="S9" i="27"/>
  <c r="F10" i="29"/>
  <c r="K9" i="28"/>
  <c r="L9" i="28"/>
  <c r="M9" i="28"/>
  <c r="O9" i="28"/>
  <c r="S9" i="28"/>
  <c r="M10" i="29"/>
  <c r="Q10" i="29"/>
  <c r="K10" i="27"/>
  <c r="L10" i="27"/>
  <c r="M10" i="27"/>
  <c r="O10" i="27"/>
  <c r="S10" i="27"/>
  <c r="F11" i="29"/>
  <c r="K10" i="28"/>
  <c r="L10" i="28"/>
  <c r="M10" i="28"/>
  <c r="O10" i="28"/>
  <c r="S10" i="28"/>
  <c r="M11" i="29"/>
  <c r="Q11" i="29"/>
  <c r="K11" i="27"/>
  <c r="L11" i="27"/>
  <c r="M11" i="27"/>
  <c r="O11" i="27"/>
  <c r="S11" i="27"/>
  <c r="F12" i="29"/>
  <c r="K11" i="28"/>
  <c r="L11" i="28"/>
  <c r="M11" i="28"/>
  <c r="O11" i="28"/>
  <c r="S11" i="28"/>
  <c r="M12" i="29"/>
  <c r="Q12" i="29"/>
  <c r="K12" i="27"/>
  <c r="L12" i="27"/>
  <c r="M12" i="27"/>
  <c r="O12" i="27"/>
  <c r="S12" i="27"/>
  <c r="F13" i="29"/>
  <c r="K12" i="28"/>
  <c r="L12" i="28"/>
  <c r="M12" i="28"/>
  <c r="O12" i="28"/>
  <c r="S12" i="28"/>
  <c r="M13" i="29"/>
  <c r="Q13" i="29"/>
  <c r="K13" i="27"/>
  <c r="L13" i="27"/>
  <c r="M13" i="27"/>
  <c r="O13" i="27"/>
  <c r="S13" i="27"/>
  <c r="F14" i="29"/>
  <c r="K13" i="28"/>
  <c r="L13" i="28"/>
  <c r="M13" i="28"/>
  <c r="O13" i="28"/>
  <c r="S13" i="28"/>
  <c r="M14" i="29"/>
  <c r="Q14" i="29"/>
  <c r="K14" i="27"/>
  <c r="L14" i="27"/>
  <c r="M14" i="27"/>
  <c r="O14" i="27"/>
  <c r="S14" i="27"/>
  <c r="F15" i="29"/>
  <c r="K14" i="28"/>
  <c r="L14" i="28"/>
  <c r="M14" i="28"/>
  <c r="O14" i="28"/>
  <c r="S14" i="28"/>
  <c r="M15" i="29"/>
  <c r="Q15" i="29"/>
  <c r="K15" i="27"/>
  <c r="L15" i="27"/>
  <c r="M15" i="27"/>
  <c r="O15" i="27"/>
  <c r="S15" i="27"/>
  <c r="F16" i="29"/>
  <c r="K15" i="28"/>
  <c r="L15" i="28"/>
  <c r="M15" i="28"/>
  <c r="O15" i="28"/>
  <c r="S15" i="28"/>
  <c r="M16" i="29"/>
  <c r="Q16" i="29"/>
  <c r="K16" i="27"/>
  <c r="L16" i="27"/>
  <c r="M16" i="27"/>
  <c r="O16" i="27"/>
  <c r="S16" i="27"/>
  <c r="F17" i="29"/>
  <c r="K16" i="28"/>
  <c r="L16" i="28"/>
  <c r="M16" i="28"/>
  <c r="O16" i="28"/>
  <c r="S16" i="28"/>
  <c r="M17" i="29"/>
  <c r="Q17" i="29"/>
  <c r="K17" i="27"/>
  <c r="L17" i="27"/>
  <c r="M17" i="27"/>
  <c r="O17" i="27"/>
  <c r="S17" i="27"/>
  <c r="F18" i="29"/>
  <c r="K17" i="28"/>
  <c r="L17" i="28"/>
  <c r="M17" i="28"/>
  <c r="O17" i="28"/>
  <c r="S17" i="28"/>
  <c r="M18" i="29"/>
  <c r="Q18" i="29"/>
  <c r="K18" i="27"/>
  <c r="L18" i="27"/>
  <c r="M18" i="27"/>
  <c r="O18" i="27"/>
  <c r="S18" i="27"/>
  <c r="F19" i="29"/>
  <c r="K18" i="28"/>
  <c r="L18" i="28"/>
  <c r="M18" i="28"/>
  <c r="O18" i="28"/>
  <c r="S18" i="28"/>
  <c r="M19" i="29"/>
  <c r="Q19" i="29"/>
  <c r="K19" i="27"/>
  <c r="L19" i="27"/>
  <c r="M19" i="27"/>
  <c r="O19" i="27"/>
  <c r="S19" i="27"/>
  <c r="F20" i="29"/>
  <c r="K19" i="28"/>
  <c r="L19" i="28"/>
  <c r="M19" i="28"/>
  <c r="O19" i="28"/>
  <c r="S19" i="28"/>
  <c r="M20" i="29"/>
  <c r="Q20" i="29"/>
  <c r="K20" i="27"/>
  <c r="L20" i="27"/>
  <c r="M20" i="27"/>
  <c r="O20" i="27"/>
  <c r="S20" i="27"/>
  <c r="F21" i="29"/>
  <c r="K20" i="28"/>
  <c r="L20" i="28"/>
  <c r="M20" i="28"/>
  <c r="O20" i="28"/>
  <c r="S20" i="28"/>
  <c r="M21" i="29"/>
  <c r="Q21" i="29"/>
  <c r="K4" i="27"/>
  <c r="L4" i="27"/>
  <c r="M4" i="27"/>
  <c r="O4" i="27"/>
  <c r="S4" i="27"/>
  <c r="F5" i="29"/>
  <c r="K4" i="28"/>
  <c r="L4" i="28"/>
  <c r="M4" i="28"/>
  <c r="O4" i="28"/>
  <c r="S4" i="28"/>
  <c r="M5" i="29"/>
  <c r="Q5" i="29"/>
  <c r="P5" i="27"/>
  <c r="R5" i="27"/>
  <c r="E6" i="29"/>
  <c r="P5" i="28"/>
  <c r="R5" i="28"/>
  <c r="L6" i="29"/>
  <c r="O6" i="29"/>
  <c r="P6" i="29"/>
  <c r="P6" i="27"/>
  <c r="R6" i="27"/>
  <c r="E7" i="29"/>
  <c r="P6" i="28"/>
  <c r="R6" i="28"/>
  <c r="L7" i="29"/>
  <c r="O7" i="29"/>
  <c r="P7" i="29"/>
  <c r="P7" i="27"/>
  <c r="R7" i="27"/>
  <c r="E8" i="29"/>
  <c r="P7" i="28"/>
  <c r="R7" i="28"/>
  <c r="L8" i="29"/>
  <c r="O8" i="29"/>
  <c r="P8" i="29"/>
  <c r="P8" i="27"/>
  <c r="R8" i="27"/>
  <c r="E9" i="29"/>
  <c r="P8" i="28"/>
  <c r="R8" i="28"/>
  <c r="L9" i="29"/>
  <c r="O9" i="29"/>
  <c r="P9" i="29"/>
  <c r="P9" i="27"/>
  <c r="R9" i="27"/>
  <c r="E10" i="29"/>
  <c r="P9" i="28"/>
  <c r="R9" i="28"/>
  <c r="L10" i="29"/>
  <c r="O10" i="29"/>
  <c r="P10" i="29"/>
  <c r="P10" i="27"/>
  <c r="R10" i="27"/>
  <c r="E11" i="29"/>
  <c r="P10" i="28"/>
  <c r="R10" i="28"/>
  <c r="L11" i="29"/>
  <c r="O11" i="29"/>
  <c r="P11" i="29"/>
  <c r="P11" i="27"/>
  <c r="R11" i="27"/>
  <c r="E12" i="29"/>
  <c r="P11" i="28"/>
  <c r="R11" i="28"/>
  <c r="L12" i="29"/>
  <c r="O12" i="29"/>
  <c r="P12" i="29"/>
  <c r="P12" i="27"/>
  <c r="R12" i="27"/>
  <c r="E13" i="29"/>
  <c r="P12" i="28"/>
  <c r="R12" i="28"/>
  <c r="L13" i="29"/>
  <c r="O13" i="29"/>
  <c r="P13" i="29"/>
  <c r="P13" i="27"/>
  <c r="R13" i="27"/>
  <c r="E14" i="29"/>
  <c r="P13" i="28"/>
  <c r="R13" i="28"/>
  <c r="L14" i="29"/>
  <c r="O14" i="29"/>
  <c r="P14" i="29"/>
  <c r="P14" i="27"/>
  <c r="R14" i="27"/>
  <c r="E15" i="29"/>
  <c r="P14" i="28"/>
  <c r="R14" i="28"/>
  <c r="L15" i="29"/>
  <c r="O15" i="29"/>
  <c r="P15" i="29"/>
  <c r="P15" i="27"/>
  <c r="R15" i="27"/>
  <c r="E16" i="29"/>
  <c r="P15" i="28"/>
  <c r="R15" i="28"/>
  <c r="L16" i="29"/>
  <c r="O16" i="29"/>
  <c r="P16" i="29"/>
  <c r="P16" i="27"/>
  <c r="R16" i="27"/>
  <c r="E17" i="29"/>
  <c r="P16" i="28"/>
  <c r="R16" i="28"/>
  <c r="L17" i="29"/>
  <c r="O17" i="29"/>
  <c r="P17" i="29"/>
  <c r="P17" i="27"/>
  <c r="R17" i="27"/>
  <c r="E18" i="29"/>
  <c r="P17" i="28"/>
  <c r="R17" i="28"/>
  <c r="L18" i="29"/>
  <c r="O18" i="29"/>
  <c r="P18" i="29"/>
  <c r="P18" i="27"/>
  <c r="R18" i="27"/>
  <c r="E19" i="29"/>
  <c r="P18" i="28"/>
  <c r="R18" i="28"/>
  <c r="L19" i="29"/>
  <c r="O19" i="29"/>
  <c r="P19" i="29"/>
  <c r="P19" i="27"/>
  <c r="R19" i="27"/>
  <c r="E20" i="29"/>
  <c r="P19" i="28"/>
  <c r="R19" i="28"/>
  <c r="L20" i="29"/>
  <c r="O20" i="29"/>
  <c r="P20" i="29"/>
  <c r="P20" i="27"/>
  <c r="R20" i="27"/>
  <c r="E21" i="29"/>
  <c r="P20" i="28"/>
  <c r="R20" i="28"/>
  <c r="L21" i="29"/>
  <c r="O21" i="29"/>
  <c r="P21" i="29"/>
  <c r="P4" i="27"/>
  <c r="R4" i="27"/>
  <c r="E5" i="29"/>
  <c r="P4" i="28"/>
  <c r="R4" i="28"/>
  <c r="L5" i="29"/>
  <c r="O5" i="29"/>
  <c r="P5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K21" i="29"/>
  <c r="K20" i="29"/>
  <c r="K19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5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X4" i="22"/>
  <c r="R4" i="22"/>
  <c r="S4" i="22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4" i="28"/>
  <c r="Q5" i="27"/>
  <c r="Q6" i="27"/>
  <c r="Q7" i="27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4" i="27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20" i="27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5" i="27"/>
  <c r="N4" i="27"/>
  <c r="D48" i="26"/>
  <c r="F40" i="26"/>
  <c r="I38" i="26"/>
  <c r="J38" i="26"/>
  <c r="K38" i="26"/>
  <c r="L38" i="26"/>
  <c r="F38" i="26"/>
  <c r="G37" i="26"/>
  <c r="H37" i="26"/>
  <c r="I37" i="26"/>
  <c r="J37" i="26"/>
  <c r="K37" i="26"/>
  <c r="L37" i="26"/>
  <c r="F37" i="26"/>
  <c r="G36" i="26"/>
  <c r="H36" i="26"/>
  <c r="I36" i="26"/>
  <c r="J36" i="26"/>
  <c r="K36" i="26"/>
  <c r="L36" i="26"/>
  <c r="F36" i="26"/>
  <c r="G35" i="26"/>
  <c r="H35" i="26"/>
  <c r="I35" i="26"/>
  <c r="J35" i="26"/>
  <c r="K35" i="26"/>
  <c r="L35" i="26"/>
  <c r="F35" i="26"/>
  <c r="G34" i="26"/>
  <c r="H34" i="26"/>
  <c r="I34" i="26"/>
  <c r="J34" i="26"/>
  <c r="K34" i="26"/>
  <c r="L34" i="26"/>
  <c r="F34" i="26"/>
  <c r="G33" i="26"/>
  <c r="H33" i="26"/>
  <c r="I33" i="26"/>
  <c r="J33" i="26"/>
  <c r="K33" i="26"/>
  <c r="L33" i="26"/>
  <c r="F33" i="26"/>
  <c r="G32" i="26"/>
  <c r="H32" i="26"/>
  <c r="I32" i="26"/>
  <c r="J32" i="26"/>
  <c r="K32" i="26"/>
  <c r="L32" i="26"/>
  <c r="F32" i="26"/>
  <c r="G31" i="26"/>
  <c r="H31" i="26"/>
  <c r="I31" i="26"/>
  <c r="J31" i="26"/>
  <c r="K31" i="26"/>
  <c r="L31" i="26"/>
  <c r="F31" i="26"/>
  <c r="G30" i="26"/>
  <c r="H30" i="26"/>
  <c r="I30" i="26"/>
  <c r="J30" i="26"/>
  <c r="K30" i="26"/>
  <c r="L30" i="26"/>
  <c r="F30" i="26"/>
  <c r="G29" i="26"/>
  <c r="H29" i="26"/>
  <c r="I29" i="26"/>
  <c r="J29" i="26"/>
  <c r="K29" i="26"/>
  <c r="L29" i="26"/>
  <c r="F29" i="26"/>
  <c r="G28" i="26"/>
  <c r="H28" i="26"/>
  <c r="I28" i="26"/>
  <c r="J28" i="26"/>
  <c r="K28" i="26"/>
  <c r="L28" i="26"/>
  <c r="F28" i="26"/>
  <c r="G27" i="26"/>
  <c r="H27" i="26"/>
  <c r="I27" i="26"/>
  <c r="J27" i="26"/>
  <c r="K27" i="26"/>
  <c r="L27" i="26"/>
  <c r="F27" i="26"/>
  <c r="G26" i="26"/>
  <c r="H26" i="26"/>
  <c r="I26" i="26"/>
  <c r="J26" i="26"/>
  <c r="K26" i="26"/>
  <c r="L26" i="26"/>
  <c r="F26" i="26"/>
  <c r="G25" i="26"/>
  <c r="H25" i="26"/>
  <c r="I25" i="26"/>
  <c r="J25" i="26"/>
  <c r="K25" i="26"/>
  <c r="L25" i="26"/>
  <c r="F25" i="26"/>
  <c r="G24" i="26"/>
  <c r="H24" i="26"/>
  <c r="I24" i="26"/>
  <c r="J24" i="26"/>
  <c r="K24" i="26"/>
  <c r="L24" i="26"/>
  <c r="F24" i="26"/>
  <c r="G23" i="26"/>
  <c r="H23" i="26"/>
  <c r="I23" i="26"/>
  <c r="J23" i="26"/>
  <c r="K23" i="26"/>
  <c r="L23" i="26"/>
  <c r="F23" i="26"/>
  <c r="O19" i="26"/>
  <c r="K19" i="26"/>
  <c r="G19" i="26"/>
  <c r="P19" i="26"/>
  <c r="R19" i="26"/>
  <c r="Q19" i="26"/>
  <c r="O18" i="26"/>
  <c r="K18" i="26"/>
  <c r="G18" i="26"/>
  <c r="P18" i="26"/>
  <c r="R18" i="26"/>
  <c r="Q18" i="26"/>
  <c r="O17" i="26"/>
  <c r="K17" i="26"/>
  <c r="G17" i="26"/>
  <c r="P17" i="26"/>
  <c r="R17" i="26"/>
  <c r="Q17" i="26"/>
  <c r="O16" i="26"/>
  <c r="K16" i="26"/>
  <c r="G16" i="26"/>
  <c r="P16" i="26"/>
  <c r="R16" i="26"/>
  <c r="Q16" i="26"/>
  <c r="O15" i="26"/>
  <c r="K15" i="26"/>
  <c r="G15" i="26"/>
  <c r="P15" i="26"/>
  <c r="R15" i="26"/>
  <c r="Q15" i="26"/>
  <c r="O14" i="26"/>
  <c r="K14" i="26"/>
  <c r="G14" i="26"/>
  <c r="P14" i="26"/>
  <c r="R14" i="26"/>
  <c r="Q14" i="26"/>
  <c r="O13" i="26"/>
  <c r="K13" i="26"/>
  <c r="G13" i="26"/>
  <c r="P13" i="26"/>
  <c r="R13" i="26"/>
  <c r="Q13" i="26"/>
  <c r="O12" i="26"/>
  <c r="K12" i="26"/>
  <c r="G12" i="26"/>
  <c r="P12" i="26"/>
  <c r="R12" i="26"/>
  <c r="Q12" i="26"/>
  <c r="O11" i="26"/>
  <c r="K11" i="26"/>
  <c r="G11" i="26"/>
  <c r="P11" i="26"/>
  <c r="R11" i="26"/>
  <c r="Q11" i="26"/>
  <c r="O10" i="26"/>
  <c r="K10" i="26"/>
  <c r="G10" i="26"/>
  <c r="P10" i="26"/>
  <c r="R10" i="26"/>
  <c r="Q10" i="26"/>
  <c r="O9" i="26"/>
  <c r="K9" i="26"/>
  <c r="G9" i="26"/>
  <c r="P9" i="26"/>
  <c r="R9" i="26"/>
  <c r="Q9" i="26"/>
  <c r="L8" i="26"/>
  <c r="O8" i="26"/>
  <c r="H8" i="26"/>
  <c r="K8" i="26"/>
  <c r="D8" i="26"/>
  <c r="G8" i="26"/>
  <c r="P8" i="26"/>
  <c r="R8" i="26"/>
  <c r="Q8" i="26"/>
  <c r="L7" i="26"/>
  <c r="O7" i="26"/>
  <c r="H7" i="26"/>
  <c r="K7" i="26"/>
  <c r="D7" i="26"/>
  <c r="G7" i="26"/>
  <c r="P7" i="26"/>
  <c r="R7" i="26"/>
  <c r="Q7" i="26"/>
  <c r="O6" i="26"/>
  <c r="K6" i="26"/>
  <c r="G6" i="26"/>
  <c r="P6" i="26"/>
  <c r="R6" i="26"/>
  <c r="Q6" i="26"/>
  <c r="O5" i="26"/>
  <c r="K5" i="26"/>
  <c r="G5" i="26"/>
  <c r="P5" i="26"/>
  <c r="R5" i="26"/>
  <c r="Q5" i="26"/>
  <c r="O4" i="26"/>
  <c r="K4" i="26"/>
  <c r="G4" i="26"/>
  <c r="P4" i="26"/>
  <c r="R4" i="26"/>
  <c r="Q4" i="26"/>
  <c r="D48" i="25"/>
  <c r="F40" i="25"/>
  <c r="G38" i="25"/>
  <c r="H38" i="25"/>
  <c r="I38" i="25"/>
  <c r="J38" i="25"/>
  <c r="K38" i="25"/>
  <c r="L38" i="25"/>
  <c r="F38" i="25"/>
  <c r="G37" i="25"/>
  <c r="H37" i="25"/>
  <c r="I37" i="25"/>
  <c r="J37" i="25"/>
  <c r="K37" i="25"/>
  <c r="L37" i="25"/>
  <c r="F37" i="25"/>
  <c r="G36" i="25"/>
  <c r="H36" i="25"/>
  <c r="I36" i="25"/>
  <c r="J36" i="25"/>
  <c r="L36" i="25"/>
  <c r="F36" i="25"/>
  <c r="G35" i="25"/>
  <c r="H35" i="25"/>
  <c r="I35" i="25"/>
  <c r="J35" i="25"/>
  <c r="K35" i="25"/>
  <c r="L35" i="25"/>
  <c r="F35" i="25"/>
  <c r="G34" i="25"/>
  <c r="H34" i="25"/>
  <c r="I34" i="25"/>
  <c r="J34" i="25"/>
  <c r="K34" i="25"/>
  <c r="L34" i="25"/>
  <c r="F34" i="25"/>
  <c r="G33" i="25"/>
  <c r="H33" i="25"/>
  <c r="I33" i="25"/>
  <c r="J33" i="25"/>
  <c r="K33" i="25"/>
  <c r="L33" i="25"/>
  <c r="F33" i="25"/>
  <c r="G32" i="25"/>
  <c r="H32" i="25"/>
  <c r="I32" i="25"/>
  <c r="J32" i="25"/>
  <c r="K32" i="25"/>
  <c r="L32" i="25"/>
  <c r="F32" i="25"/>
  <c r="G31" i="25"/>
  <c r="H31" i="25"/>
  <c r="I31" i="25"/>
  <c r="J31" i="25"/>
  <c r="K31" i="25"/>
  <c r="L31" i="25"/>
  <c r="F31" i="25"/>
  <c r="G30" i="25"/>
  <c r="H30" i="25"/>
  <c r="I30" i="25"/>
  <c r="J30" i="25"/>
  <c r="K30" i="25"/>
  <c r="L30" i="25"/>
  <c r="F30" i="25"/>
  <c r="G29" i="25"/>
  <c r="H29" i="25"/>
  <c r="I29" i="25"/>
  <c r="J29" i="25"/>
  <c r="K29" i="25"/>
  <c r="L29" i="25"/>
  <c r="F29" i="25"/>
  <c r="G28" i="25"/>
  <c r="H28" i="25"/>
  <c r="I28" i="25"/>
  <c r="J28" i="25"/>
  <c r="K28" i="25"/>
  <c r="L28" i="25"/>
  <c r="F28" i="25"/>
  <c r="G27" i="25"/>
  <c r="H27" i="25"/>
  <c r="I27" i="25"/>
  <c r="J27" i="25"/>
  <c r="K27" i="25"/>
  <c r="L27" i="25"/>
  <c r="F27" i="25"/>
  <c r="G26" i="25"/>
  <c r="H26" i="25"/>
  <c r="I26" i="25"/>
  <c r="J26" i="25"/>
  <c r="K26" i="25"/>
  <c r="L26" i="25"/>
  <c r="F26" i="25"/>
  <c r="G25" i="25"/>
  <c r="H25" i="25"/>
  <c r="I25" i="25"/>
  <c r="J25" i="25"/>
  <c r="K25" i="25"/>
  <c r="L25" i="25"/>
  <c r="F25" i="25"/>
  <c r="G24" i="25"/>
  <c r="H24" i="25"/>
  <c r="I24" i="25"/>
  <c r="J24" i="25"/>
  <c r="K24" i="25"/>
  <c r="L24" i="25"/>
  <c r="F24" i="25"/>
  <c r="G23" i="25"/>
  <c r="H23" i="25"/>
  <c r="I23" i="25"/>
  <c r="J23" i="25"/>
  <c r="K23" i="25"/>
  <c r="L23" i="25"/>
  <c r="F23" i="25"/>
  <c r="O19" i="25"/>
  <c r="K19" i="25"/>
  <c r="G19" i="25"/>
  <c r="P19" i="25"/>
  <c r="R19" i="25"/>
  <c r="Q19" i="25"/>
  <c r="O18" i="25"/>
  <c r="K18" i="25"/>
  <c r="G18" i="25"/>
  <c r="P18" i="25"/>
  <c r="R18" i="25"/>
  <c r="Q18" i="25"/>
  <c r="O17" i="25"/>
  <c r="K17" i="25"/>
  <c r="G17" i="25"/>
  <c r="P17" i="25"/>
  <c r="R17" i="25"/>
  <c r="Q17" i="25"/>
  <c r="O16" i="25"/>
  <c r="K16" i="25"/>
  <c r="G16" i="25"/>
  <c r="P16" i="25"/>
  <c r="R16" i="25"/>
  <c r="Q16" i="25"/>
  <c r="O15" i="25"/>
  <c r="K15" i="25"/>
  <c r="G15" i="25"/>
  <c r="P15" i="25"/>
  <c r="R15" i="25"/>
  <c r="Q15" i="25"/>
  <c r="O14" i="25"/>
  <c r="K14" i="25"/>
  <c r="G14" i="25"/>
  <c r="P14" i="25"/>
  <c r="R14" i="25"/>
  <c r="Q14" i="25"/>
  <c r="O13" i="25"/>
  <c r="K13" i="25"/>
  <c r="G13" i="25"/>
  <c r="P13" i="25"/>
  <c r="R13" i="25"/>
  <c r="Q13" i="25"/>
  <c r="O12" i="25"/>
  <c r="K12" i="25"/>
  <c r="G12" i="25"/>
  <c r="P12" i="25"/>
  <c r="R12" i="25"/>
  <c r="Q12" i="25"/>
  <c r="O11" i="25"/>
  <c r="K11" i="25"/>
  <c r="G11" i="25"/>
  <c r="P11" i="25"/>
  <c r="R11" i="25"/>
  <c r="Q11" i="25"/>
  <c r="O10" i="25"/>
  <c r="K10" i="25"/>
  <c r="G10" i="25"/>
  <c r="P10" i="25"/>
  <c r="R10" i="25"/>
  <c r="Q10" i="25"/>
  <c r="O9" i="25"/>
  <c r="K9" i="25"/>
  <c r="G9" i="25"/>
  <c r="P9" i="25"/>
  <c r="R9" i="25"/>
  <c r="Q9" i="25"/>
  <c r="O8" i="25"/>
  <c r="K8" i="25"/>
  <c r="G8" i="25"/>
  <c r="P8" i="25"/>
  <c r="R8" i="25"/>
  <c r="Q8" i="25"/>
  <c r="O7" i="25"/>
  <c r="K7" i="25"/>
  <c r="G7" i="25"/>
  <c r="P7" i="25"/>
  <c r="R7" i="25"/>
  <c r="Q7" i="25"/>
  <c r="O6" i="25"/>
  <c r="K6" i="25"/>
  <c r="G6" i="25"/>
  <c r="P6" i="25"/>
  <c r="R6" i="25"/>
  <c r="Q6" i="25"/>
  <c r="O5" i="25"/>
  <c r="K5" i="25"/>
  <c r="G5" i="25"/>
  <c r="P5" i="25"/>
  <c r="R5" i="25"/>
  <c r="Q5" i="25"/>
  <c r="O4" i="25"/>
  <c r="K4" i="25"/>
  <c r="G4" i="25"/>
  <c r="P4" i="25"/>
  <c r="R4" i="25"/>
  <c r="Q4" i="25"/>
  <c r="B12" i="23"/>
  <c r="C19" i="23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4" i="22"/>
  <c r="J5" i="2"/>
  <c r="J4" i="2"/>
  <c r="I3" i="2"/>
  <c r="F3" i="2"/>
  <c r="J3" i="2"/>
  <c r="K3" i="2"/>
  <c r="I4" i="2"/>
  <c r="K4" i="2"/>
  <c r="F4" i="2"/>
  <c r="I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I20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T20" i="8"/>
  <c r="T4" i="8"/>
  <c r="B4" i="23"/>
  <c r="P4" i="8"/>
  <c r="P20" i="8"/>
  <c r="B3" i="23"/>
  <c r="L20" i="8"/>
  <c r="L4" i="8"/>
  <c r="B5" i="23"/>
  <c r="L41" i="8"/>
  <c r="L25" i="8"/>
  <c r="B6" i="23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C45" i="7"/>
  <c r="D45" i="7"/>
  <c r="E45" i="7"/>
  <c r="F45" i="7"/>
  <c r="G45" i="7"/>
  <c r="C46" i="7"/>
  <c r="D46" i="7"/>
  <c r="E46" i="7"/>
  <c r="F46" i="7"/>
  <c r="G46" i="7"/>
  <c r="C47" i="7"/>
  <c r="D47" i="7"/>
  <c r="E47" i="7"/>
  <c r="F47" i="7"/>
  <c r="G47" i="7"/>
  <c r="C48" i="7"/>
  <c r="D48" i="7"/>
  <c r="E48" i="7"/>
  <c r="F48" i="7"/>
  <c r="G48" i="7"/>
  <c r="C49" i="7"/>
  <c r="D49" i="7"/>
  <c r="E49" i="7"/>
  <c r="F49" i="7"/>
  <c r="G49" i="7"/>
  <c r="C50" i="7"/>
  <c r="D50" i="7"/>
  <c r="E50" i="7"/>
  <c r="F50" i="7"/>
  <c r="G50" i="7"/>
  <c r="C51" i="7"/>
  <c r="D51" i="7"/>
  <c r="E51" i="7"/>
  <c r="F51" i="7"/>
  <c r="G51" i="7"/>
  <c r="C52" i="7"/>
  <c r="D52" i="7"/>
  <c r="E52" i="7"/>
  <c r="F52" i="7"/>
  <c r="G52" i="7"/>
  <c r="C53" i="7"/>
  <c r="D53" i="7"/>
  <c r="E53" i="7"/>
  <c r="F53" i="7"/>
  <c r="G53" i="7"/>
  <c r="C54" i="7"/>
  <c r="D54" i="7"/>
  <c r="E54" i="7"/>
  <c r="F54" i="7"/>
  <c r="G54" i="7"/>
  <c r="C55" i="7"/>
  <c r="D55" i="7"/>
  <c r="E55" i="7"/>
  <c r="F55" i="7"/>
  <c r="G55" i="7"/>
  <c r="C56" i="7"/>
  <c r="D56" i="7"/>
  <c r="E56" i="7"/>
  <c r="F56" i="7"/>
  <c r="G56" i="7"/>
  <c r="C57" i="7"/>
  <c r="D57" i="7"/>
  <c r="E57" i="7"/>
  <c r="F57" i="7"/>
  <c r="G57" i="7"/>
  <c r="C58" i="7"/>
  <c r="D58" i="7"/>
  <c r="E58" i="7"/>
  <c r="F58" i="7"/>
  <c r="G58" i="7"/>
  <c r="C59" i="7"/>
  <c r="D59" i="7"/>
  <c r="E59" i="7"/>
  <c r="F59" i="7"/>
  <c r="G59" i="7"/>
  <c r="C60" i="7"/>
  <c r="D60" i="7"/>
  <c r="E60" i="7"/>
  <c r="F60" i="7"/>
  <c r="G60" i="7"/>
  <c r="C61" i="7"/>
  <c r="D61" i="7"/>
  <c r="E61" i="7"/>
  <c r="F61" i="7"/>
  <c r="G61" i="7"/>
  <c r="C62" i="7"/>
  <c r="D62" i="7"/>
  <c r="E62" i="7"/>
  <c r="F62" i="7"/>
  <c r="G62" i="7"/>
  <c r="C63" i="7"/>
  <c r="D63" i="7"/>
  <c r="E63" i="7"/>
  <c r="F63" i="7"/>
  <c r="G63" i="7"/>
  <c r="C64" i="7"/>
  <c r="D64" i="7"/>
  <c r="E64" i="7"/>
  <c r="F64" i="7"/>
  <c r="G64" i="7"/>
  <c r="C65" i="7"/>
  <c r="D65" i="7"/>
  <c r="E65" i="7"/>
  <c r="F65" i="7"/>
  <c r="G65" i="7"/>
  <c r="C66" i="7"/>
  <c r="D66" i="7"/>
  <c r="E66" i="7"/>
  <c r="F66" i="7"/>
  <c r="G66" i="7"/>
  <c r="C67" i="7"/>
  <c r="D67" i="7"/>
  <c r="E67" i="7"/>
  <c r="F67" i="7"/>
  <c r="G67" i="7"/>
  <c r="C68" i="7"/>
  <c r="D68" i="7"/>
  <c r="E68" i="7"/>
  <c r="F68" i="7"/>
  <c r="G68" i="7"/>
  <c r="C69" i="7"/>
  <c r="D69" i="7"/>
  <c r="E69" i="7"/>
  <c r="F69" i="7"/>
  <c r="G69" i="7"/>
  <c r="C70" i="7"/>
  <c r="D70" i="7"/>
  <c r="E70" i="7"/>
  <c r="F70" i="7"/>
  <c r="G70" i="7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C78" i="7"/>
  <c r="D78" i="7"/>
  <c r="E78" i="7"/>
  <c r="F78" i="7"/>
  <c r="G78" i="7"/>
  <c r="C79" i="7"/>
  <c r="D79" i="7"/>
  <c r="E79" i="7"/>
  <c r="F79" i="7"/>
  <c r="G79" i="7"/>
  <c r="C80" i="7"/>
  <c r="D80" i="7"/>
  <c r="E80" i="7"/>
  <c r="F80" i="7"/>
  <c r="G80" i="7"/>
  <c r="C81" i="7"/>
  <c r="D81" i="7"/>
  <c r="E81" i="7"/>
  <c r="F81" i="7"/>
  <c r="G81" i="7"/>
  <c r="C82" i="7"/>
  <c r="D82" i="7"/>
  <c r="E82" i="7"/>
  <c r="F82" i="7"/>
  <c r="G82" i="7"/>
  <c r="C83" i="7"/>
  <c r="D83" i="7"/>
  <c r="E83" i="7"/>
  <c r="F83" i="7"/>
  <c r="G83" i="7"/>
  <c r="C84" i="7"/>
  <c r="D84" i="7"/>
  <c r="E84" i="7"/>
  <c r="F84" i="7"/>
  <c r="G84" i="7"/>
  <c r="C85" i="7"/>
  <c r="D85" i="7"/>
  <c r="E85" i="7"/>
  <c r="F85" i="7"/>
  <c r="G85" i="7"/>
  <c r="C86" i="7"/>
  <c r="D86" i="7"/>
  <c r="E86" i="7"/>
  <c r="F86" i="7"/>
  <c r="G86" i="7"/>
  <c r="C87" i="7"/>
  <c r="D87" i="7"/>
  <c r="E87" i="7"/>
  <c r="F87" i="7"/>
  <c r="G87" i="7"/>
  <c r="C88" i="7"/>
  <c r="D88" i="7"/>
  <c r="E88" i="7"/>
  <c r="F88" i="7"/>
  <c r="G88" i="7"/>
  <c r="C89" i="7"/>
  <c r="D89" i="7"/>
  <c r="E89" i="7"/>
  <c r="F89" i="7"/>
  <c r="G89" i="7"/>
  <c r="C90" i="7"/>
  <c r="D90" i="7"/>
  <c r="E90" i="7"/>
  <c r="F90" i="7"/>
  <c r="G90" i="7"/>
  <c r="C91" i="7"/>
  <c r="D91" i="7"/>
  <c r="E91" i="7"/>
  <c r="F91" i="7"/>
  <c r="G91" i="7"/>
  <c r="C92" i="7"/>
  <c r="D92" i="7"/>
  <c r="E92" i="7"/>
  <c r="F92" i="7"/>
  <c r="G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96" i="7"/>
  <c r="D96" i="7"/>
  <c r="E96" i="7"/>
  <c r="F96" i="7"/>
  <c r="G96" i="7"/>
  <c r="C97" i="7"/>
  <c r="D97" i="7"/>
  <c r="E97" i="7"/>
  <c r="F97" i="7"/>
  <c r="G97" i="7"/>
  <c r="C98" i="7"/>
  <c r="D98" i="7"/>
  <c r="E98" i="7"/>
  <c r="F98" i="7"/>
  <c r="G98" i="7"/>
  <c r="C99" i="7"/>
  <c r="D99" i="7"/>
  <c r="E99" i="7"/>
  <c r="F99" i="7"/>
  <c r="G99" i="7"/>
  <c r="C100" i="7"/>
  <c r="D100" i="7"/>
  <c r="E100" i="7"/>
  <c r="F100" i="7"/>
  <c r="G100" i="7"/>
  <c r="J20" i="2"/>
  <c r="K20" i="2"/>
  <c r="C101" i="7"/>
  <c r="D101" i="7"/>
  <c r="E101" i="7"/>
  <c r="F101" i="7"/>
  <c r="G101" i="7"/>
  <c r="B8" i="23"/>
  <c r="H4" i="8"/>
  <c r="H20" i="8"/>
  <c r="B2" i="23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C101" i="17"/>
  <c r="D101" i="17"/>
  <c r="E101" i="17"/>
  <c r="F101" i="17"/>
  <c r="C66" i="17"/>
  <c r="D66" i="17"/>
  <c r="E66" i="17"/>
  <c r="F66" i="17"/>
  <c r="C67" i="17"/>
  <c r="D67" i="17"/>
  <c r="E67" i="17"/>
  <c r="F67" i="17"/>
  <c r="C68" i="17"/>
  <c r="D68" i="17"/>
  <c r="E68" i="17"/>
  <c r="F68" i="17"/>
  <c r="C69" i="17"/>
  <c r="D69" i="17"/>
  <c r="E69" i="17"/>
  <c r="F69" i="17"/>
  <c r="C70" i="17"/>
  <c r="D70" i="17"/>
  <c r="E70" i="17"/>
  <c r="F70" i="17"/>
  <c r="C71" i="17"/>
  <c r="D71" i="17"/>
  <c r="E71" i="17"/>
  <c r="F71" i="17"/>
  <c r="C72" i="17"/>
  <c r="D72" i="17"/>
  <c r="E72" i="17"/>
  <c r="F72" i="17"/>
  <c r="C73" i="17"/>
  <c r="D73" i="17"/>
  <c r="E73" i="17"/>
  <c r="F73" i="17"/>
  <c r="C74" i="17"/>
  <c r="D74" i="17"/>
  <c r="E74" i="17"/>
  <c r="F74" i="17"/>
  <c r="C75" i="17"/>
  <c r="D75" i="17"/>
  <c r="E75" i="17"/>
  <c r="F75" i="17"/>
  <c r="C76" i="17"/>
  <c r="D76" i="17"/>
  <c r="E76" i="17"/>
  <c r="F76" i="17"/>
  <c r="C77" i="17"/>
  <c r="D77" i="17"/>
  <c r="E77" i="17"/>
  <c r="F77" i="17"/>
  <c r="C78" i="17"/>
  <c r="D78" i="17"/>
  <c r="E78" i="17"/>
  <c r="F78" i="17"/>
  <c r="C79" i="17"/>
  <c r="D79" i="17"/>
  <c r="E79" i="17"/>
  <c r="F79" i="17"/>
  <c r="C80" i="17"/>
  <c r="D80" i="17"/>
  <c r="E80" i="17"/>
  <c r="F80" i="17"/>
  <c r="C81" i="17"/>
  <c r="D81" i="17"/>
  <c r="E81" i="17"/>
  <c r="F81" i="17"/>
  <c r="C82" i="17"/>
  <c r="D82" i="17"/>
  <c r="E82" i="17"/>
  <c r="F82" i="17"/>
  <c r="C83" i="17"/>
  <c r="D83" i="17"/>
  <c r="E83" i="17"/>
  <c r="F83" i="17"/>
  <c r="C84" i="17"/>
  <c r="D84" i="17"/>
  <c r="E84" i="17"/>
  <c r="F84" i="17"/>
  <c r="C85" i="17"/>
  <c r="D85" i="17"/>
  <c r="E85" i="17"/>
  <c r="F85" i="17"/>
  <c r="C86" i="17"/>
  <c r="D86" i="17"/>
  <c r="E86" i="17"/>
  <c r="F86" i="17"/>
  <c r="C87" i="17"/>
  <c r="D87" i="17"/>
  <c r="E87" i="17"/>
  <c r="F87" i="17"/>
  <c r="C88" i="17"/>
  <c r="D88" i="17"/>
  <c r="E88" i="17"/>
  <c r="F88" i="17"/>
  <c r="C89" i="17"/>
  <c r="D89" i="17"/>
  <c r="E89" i="17"/>
  <c r="F89" i="17"/>
  <c r="C90" i="17"/>
  <c r="D90" i="17"/>
  <c r="E90" i="17"/>
  <c r="F90" i="17"/>
  <c r="C91" i="17"/>
  <c r="D91" i="17"/>
  <c r="E91" i="17"/>
  <c r="F91" i="17"/>
  <c r="C92" i="17"/>
  <c r="D92" i="17"/>
  <c r="E92" i="17"/>
  <c r="F92" i="17"/>
  <c r="C93" i="17"/>
  <c r="D93" i="17"/>
  <c r="E93" i="17"/>
  <c r="F93" i="17"/>
  <c r="C94" i="17"/>
  <c r="D94" i="17"/>
  <c r="E94" i="17"/>
  <c r="F94" i="17"/>
  <c r="C95" i="17"/>
  <c r="D95" i="17"/>
  <c r="E95" i="17"/>
  <c r="F95" i="17"/>
  <c r="C96" i="17"/>
  <c r="D96" i="17"/>
  <c r="E96" i="17"/>
  <c r="F96" i="17"/>
  <c r="C97" i="17"/>
  <c r="D97" i="17"/>
  <c r="E97" i="17"/>
  <c r="F97" i="17"/>
  <c r="C98" i="17"/>
  <c r="D98" i="17"/>
  <c r="E98" i="17"/>
  <c r="F98" i="17"/>
  <c r="C99" i="17"/>
  <c r="D99" i="17"/>
  <c r="E99" i="17"/>
  <c r="F99" i="17"/>
  <c r="C100" i="17"/>
  <c r="D100" i="17"/>
  <c r="E100" i="17"/>
  <c r="F100" i="17"/>
  <c r="C65" i="17"/>
  <c r="D65" i="17"/>
  <c r="E65" i="17"/>
  <c r="F65" i="17"/>
  <c r="C54" i="17"/>
  <c r="D54" i="17"/>
  <c r="E54" i="17"/>
  <c r="F54" i="17"/>
  <c r="C55" i="17"/>
  <c r="D55" i="17"/>
  <c r="E55" i="17"/>
  <c r="F55" i="17"/>
  <c r="C56" i="17"/>
  <c r="D56" i="17"/>
  <c r="E56" i="17"/>
  <c r="F56" i="17"/>
  <c r="C57" i="17"/>
  <c r="D57" i="17"/>
  <c r="E57" i="17"/>
  <c r="F57" i="17"/>
  <c r="C58" i="17"/>
  <c r="D58" i="17"/>
  <c r="E58" i="17"/>
  <c r="F58" i="17"/>
  <c r="C59" i="17"/>
  <c r="D59" i="17"/>
  <c r="E59" i="17"/>
  <c r="F59" i="17"/>
  <c r="C60" i="17"/>
  <c r="D60" i="17"/>
  <c r="E60" i="17"/>
  <c r="F60" i="17"/>
  <c r="C61" i="17"/>
  <c r="D61" i="17"/>
  <c r="E61" i="17"/>
  <c r="F61" i="17"/>
  <c r="C62" i="17"/>
  <c r="D62" i="17"/>
  <c r="E62" i="17"/>
  <c r="F62" i="17"/>
  <c r="C63" i="17"/>
  <c r="D63" i="17"/>
  <c r="E63" i="17"/>
  <c r="F63" i="17"/>
  <c r="C64" i="17"/>
  <c r="D64" i="17"/>
  <c r="E64" i="17"/>
  <c r="F64" i="17"/>
  <c r="C53" i="17"/>
  <c r="D53" i="17"/>
  <c r="E53" i="17"/>
  <c r="F53" i="17"/>
  <c r="C42" i="17"/>
  <c r="D42" i="17"/>
  <c r="E42" i="17"/>
  <c r="F42" i="17"/>
  <c r="C43" i="17"/>
  <c r="D43" i="17"/>
  <c r="E43" i="17"/>
  <c r="F43" i="17"/>
  <c r="C44" i="17"/>
  <c r="D44" i="17"/>
  <c r="E44" i="17"/>
  <c r="F44" i="17"/>
  <c r="C45" i="17"/>
  <c r="D45" i="17"/>
  <c r="E45" i="17"/>
  <c r="F45" i="17"/>
  <c r="C46" i="17"/>
  <c r="D46" i="17"/>
  <c r="E46" i="17"/>
  <c r="F46" i="17"/>
  <c r="C47" i="17"/>
  <c r="D47" i="17"/>
  <c r="E47" i="17"/>
  <c r="F47" i="17"/>
  <c r="C48" i="17"/>
  <c r="D48" i="17"/>
  <c r="E48" i="17"/>
  <c r="F48" i="17"/>
  <c r="C49" i="17"/>
  <c r="D49" i="17"/>
  <c r="E49" i="17"/>
  <c r="F49" i="17"/>
  <c r="C50" i="17"/>
  <c r="D50" i="17"/>
  <c r="E50" i="17"/>
  <c r="F50" i="17"/>
  <c r="C51" i="17"/>
  <c r="D51" i="17"/>
  <c r="E51" i="17"/>
  <c r="F51" i="17"/>
  <c r="C52" i="17"/>
  <c r="D52" i="17"/>
  <c r="E52" i="17"/>
  <c r="F52" i="17"/>
  <c r="C41" i="17"/>
  <c r="D41" i="17"/>
  <c r="E41" i="17"/>
  <c r="F41" i="17"/>
  <c r="C40" i="17"/>
  <c r="D40" i="17"/>
  <c r="E40" i="17"/>
  <c r="F40" i="17"/>
  <c r="C39" i="17"/>
  <c r="D39" i="17"/>
  <c r="E39" i="17"/>
  <c r="F39" i="17"/>
  <c r="C37" i="17"/>
  <c r="D37" i="17"/>
  <c r="E37" i="17"/>
  <c r="F37" i="17"/>
  <c r="C38" i="17"/>
  <c r="D38" i="17"/>
  <c r="E38" i="17"/>
  <c r="F38" i="17"/>
  <c r="C36" i="17"/>
  <c r="D36" i="17"/>
  <c r="E36" i="17"/>
  <c r="F36" i="17"/>
  <c r="C34" i="17"/>
  <c r="D34" i="17"/>
  <c r="E34" i="17"/>
  <c r="F34" i="17"/>
  <c r="C35" i="17"/>
  <c r="D35" i="17"/>
  <c r="E35" i="17"/>
  <c r="F35" i="17"/>
  <c r="C33" i="17"/>
  <c r="D33" i="17"/>
  <c r="E33" i="17"/>
  <c r="F33" i="17"/>
  <c r="C32" i="17"/>
  <c r="D32" i="17"/>
  <c r="E32" i="17"/>
  <c r="F32" i="17"/>
  <c r="C31" i="17"/>
  <c r="D31" i="17"/>
  <c r="E31" i="17"/>
  <c r="F31" i="17"/>
  <c r="C29" i="17"/>
  <c r="D29" i="17"/>
  <c r="E29" i="17"/>
  <c r="F29" i="17"/>
  <c r="C30" i="17"/>
  <c r="D30" i="17"/>
  <c r="E30" i="17"/>
  <c r="F30" i="17"/>
  <c r="C28" i="17"/>
  <c r="D28" i="17"/>
  <c r="E28" i="17"/>
  <c r="F28" i="17"/>
  <c r="C26" i="17"/>
  <c r="D26" i="17"/>
  <c r="E26" i="17"/>
  <c r="F26" i="17"/>
  <c r="C27" i="17"/>
  <c r="D27" i="17"/>
  <c r="E27" i="17"/>
  <c r="F27" i="17"/>
  <c r="C25" i="17"/>
  <c r="D25" i="17"/>
  <c r="E25" i="17"/>
  <c r="F25" i="17"/>
  <c r="C24" i="17"/>
  <c r="D24" i="17"/>
  <c r="E24" i="17"/>
  <c r="F24" i="17"/>
  <c r="C23" i="17"/>
  <c r="D23" i="17"/>
  <c r="E23" i="17"/>
  <c r="F23" i="17"/>
  <c r="C21" i="17"/>
  <c r="D21" i="17"/>
  <c r="E21" i="17"/>
  <c r="F21" i="17"/>
  <c r="C22" i="17"/>
  <c r="D22" i="17"/>
  <c r="E22" i="17"/>
  <c r="F22" i="17"/>
  <c r="C20" i="17"/>
  <c r="D20" i="17"/>
  <c r="E20" i="17"/>
  <c r="F20" i="17"/>
  <c r="C18" i="17"/>
  <c r="D18" i="17"/>
  <c r="E18" i="17"/>
  <c r="F18" i="17"/>
  <c r="C19" i="17"/>
  <c r="D19" i="17"/>
  <c r="E19" i="17"/>
  <c r="F19" i="17"/>
  <c r="C17" i="17"/>
  <c r="D17" i="17"/>
  <c r="E17" i="17"/>
  <c r="F17" i="17"/>
  <c r="C16" i="17"/>
  <c r="D16" i="17"/>
  <c r="E16" i="17"/>
  <c r="F16" i="17"/>
  <c r="C15" i="17"/>
  <c r="D15" i="17"/>
  <c r="E15" i="17"/>
  <c r="F15" i="17"/>
  <c r="C13" i="17"/>
  <c r="D13" i="17"/>
  <c r="E13" i="17"/>
  <c r="F13" i="17"/>
  <c r="C14" i="17"/>
  <c r="D14" i="17"/>
  <c r="E14" i="17"/>
  <c r="F14" i="17"/>
  <c r="C12" i="17"/>
  <c r="D12" i="17"/>
  <c r="E12" i="17"/>
  <c r="F12" i="17"/>
  <c r="C10" i="17"/>
  <c r="D10" i="17"/>
  <c r="E10" i="17"/>
  <c r="F10" i="17"/>
  <c r="C11" i="17"/>
  <c r="D11" i="17"/>
  <c r="E11" i="17"/>
  <c r="F11" i="17"/>
  <c r="C9" i="17"/>
  <c r="D9" i="17"/>
  <c r="E9" i="17"/>
  <c r="F9" i="17"/>
  <c r="C6" i="17"/>
  <c r="D6" i="17"/>
  <c r="E6" i="17"/>
  <c r="F6" i="17"/>
  <c r="C7" i="17"/>
  <c r="D7" i="17"/>
  <c r="E7" i="17"/>
  <c r="F7" i="17"/>
  <c r="C8" i="17"/>
  <c r="D8" i="17"/>
  <c r="E8" i="17"/>
  <c r="F8" i="17"/>
  <c r="I18" i="4"/>
  <c r="I1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J18" i="4"/>
  <c r="J19" i="4"/>
  <c r="I20" i="4"/>
  <c r="J20" i="4"/>
  <c r="C5" i="17"/>
  <c r="D5" i="17"/>
  <c r="E5" i="17"/>
  <c r="F5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B7" i="23"/>
  <c r="D25" i="23"/>
  <c r="C15" i="23"/>
  <c r="C16" i="23"/>
  <c r="C17" i="23"/>
  <c r="C20" i="23"/>
  <c r="C21" i="23"/>
  <c r="C24" i="23"/>
  <c r="C18" i="23"/>
  <c r="C25" i="2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3" i="5"/>
  <c r="D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3" i="4"/>
  <c r="D3" i="4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C3" i="22"/>
  <c r="D3" i="2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3" i="3"/>
  <c r="D3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5" i="22"/>
  <c r="U5" i="22"/>
  <c r="L5" i="22"/>
  <c r="V5" i="22"/>
  <c r="X5" i="22"/>
  <c r="H6" i="22"/>
  <c r="U6" i="22"/>
  <c r="L6" i="22"/>
  <c r="V6" i="22"/>
  <c r="X6" i="22"/>
  <c r="H7" i="22"/>
  <c r="U7" i="22"/>
  <c r="L7" i="22"/>
  <c r="V7" i="22"/>
  <c r="X7" i="22"/>
  <c r="H8" i="22"/>
  <c r="U8" i="22"/>
  <c r="L8" i="22"/>
  <c r="V8" i="22"/>
  <c r="X8" i="22"/>
  <c r="H9" i="22"/>
  <c r="U9" i="22"/>
  <c r="L9" i="22"/>
  <c r="V9" i="22"/>
  <c r="X9" i="22"/>
  <c r="H10" i="22"/>
  <c r="U10" i="22"/>
  <c r="L10" i="22"/>
  <c r="V10" i="22"/>
  <c r="X10" i="22"/>
  <c r="H11" i="22"/>
  <c r="U11" i="22"/>
  <c r="L11" i="22"/>
  <c r="V11" i="22"/>
  <c r="X11" i="22"/>
  <c r="H12" i="22"/>
  <c r="U12" i="22"/>
  <c r="L12" i="22"/>
  <c r="V12" i="22"/>
  <c r="X12" i="22"/>
  <c r="H13" i="22"/>
  <c r="U13" i="22"/>
  <c r="L13" i="22"/>
  <c r="V13" i="22"/>
  <c r="X13" i="22"/>
  <c r="H14" i="22"/>
  <c r="U14" i="22"/>
  <c r="L14" i="22"/>
  <c r="V14" i="22"/>
  <c r="X14" i="22"/>
  <c r="H15" i="22"/>
  <c r="U15" i="22"/>
  <c r="L15" i="22"/>
  <c r="V15" i="22"/>
  <c r="X15" i="22"/>
  <c r="H16" i="22"/>
  <c r="U16" i="22"/>
  <c r="L16" i="22"/>
  <c r="V16" i="22"/>
  <c r="X16" i="22"/>
  <c r="H17" i="22"/>
  <c r="U17" i="22"/>
  <c r="L17" i="22"/>
  <c r="V17" i="22"/>
  <c r="X17" i="22"/>
  <c r="H18" i="22"/>
  <c r="U18" i="22"/>
  <c r="L18" i="22"/>
  <c r="V18" i="22"/>
  <c r="X18" i="22"/>
  <c r="H19" i="22"/>
  <c r="U19" i="22"/>
  <c r="L19" i="22"/>
  <c r="V19" i="22"/>
  <c r="X19" i="22"/>
  <c r="H20" i="22"/>
  <c r="U20" i="22"/>
  <c r="L20" i="22"/>
  <c r="V20" i="22"/>
  <c r="X20" i="22"/>
  <c r="H4" i="22"/>
  <c r="U4" i="22"/>
  <c r="L4" i="22"/>
  <c r="V4" i="22"/>
  <c r="P4" i="22"/>
  <c r="B10" i="23"/>
  <c r="B9" i="23"/>
  <c r="M41" i="8"/>
  <c r="M25" i="8"/>
  <c r="C6" i="23"/>
  <c r="M20" i="8"/>
  <c r="M4" i="8"/>
  <c r="C5" i="23"/>
  <c r="U4" i="8"/>
  <c r="U20" i="8"/>
  <c r="C4" i="23"/>
  <c r="Q4" i="8"/>
  <c r="Q20" i="8"/>
  <c r="C3" i="23"/>
  <c r="I4" i="8"/>
  <c r="I20" i="8"/>
  <c r="C2" i="23"/>
  <c r="C19" i="2"/>
  <c r="C4" i="2"/>
  <c r="C5" i="2"/>
  <c r="C6" i="2"/>
  <c r="C7" i="2"/>
  <c r="C8" i="2"/>
  <c r="C9" i="2"/>
  <c r="C10" i="2"/>
  <c r="C11" i="2"/>
  <c r="C12" i="2"/>
  <c r="C13" i="2"/>
  <c r="F20" i="2"/>
  <c r="I24" i="8"/>
  <c r="G24" i="16"/>
  <c r="H24" i="16"/>
  <c r="G24" i="14"/>
  <c r="H24" i="14"/>
  <c r="G24" i="21"/>
  <c r="H24" i="21"/>
  <c r="G24" i="20"/>
  <c r="H24" i="20"/>
  <c r="G24" i="15"/>
  <c r="H24" i="15"/>
  <c r="G24" i="18"/>
  <c r="H24" i="18"/>
  <c r="G24" i="19"/>
  <c r="H24" i="19"/>
  <c r="H41" i="8"/>
  <c r="I41" i="8"/>
  <c r="P41" i="8"/>
  <c r="Q41" i="8"/>
  <c r="G20" i="5"/>
  <c r="Q20" i="22"/>
  <c r="R20" i="22"/>
  <c r="S20" i="22"/>
  <c r="T20" i="22"/>
  <c r="Q20" i="3"/>
  <c r="R20" i="3"/>
  <c r="S20" i="3"/>
  <c r="C14" i="2"/>
  <c r="C15" i="2"/>
  <c r="C16" i="2"/>
  <c r="C17" i="2"/>
  <c r="C18" i="2"/>
  <c r="C20" i="2"/>
  <c r="C3" i="2"/>
  <c r="H19" i="8"/>
  <c r="L40" i="8"/>
  <c r="D22" i="23"/>
  <c r="L19" i="8"/>
  <c r="T19" i="8"/>
  <c r="P19" i="8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7" i="18"/>
  <c r="H7" i="18"/>
  <c r="G8" i="18"/>
  <c r="H8" i="18"/>
  <c r="G9" i="18"/>
  <c r="H9" i="18"/>
  <c r="D23" i="23"/>
  <c r="D19" i="23"/>
  <c r="D18" i="23"/>
  <c r="D17" i="23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4" i="4"/>
  <c r="J5" i="4"/>
  <c r="J6" i="4"/>
  <c r="J7" i="4"/>
  <c r="J8" i="4"/>
  <c r="J9" i="4"/>
  <c r="J3" i="4"/>
  <c r="M40" i="8"/>
  <c r="M19" i="8"/>
  <c r="U19" i="8"/>
  <c r="Q19" i="8"/>
  <c r="I19" i="8"/>
  <c r="L24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T13" i="8"/>
  <c r="H7" i="21"/>
  <c r="G7" i="21"/>
  <c r="G8" i="21"/>
  <c r="I4" i="4"/>
  <c r="I5" i="4"/>
  <c r="I6" i="4"/>
  <c r="I7" i="4"/>
  <c r="I8" i="4"/>
  <c r="I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5" i="8"/>
  <c r="I35" i="8"/>
  <c r="M35" i="8"/>
  <c r="P35" i="8"/>
  <c r="Q35" i="8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P40" i="8"/>
  <c r="Q40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G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4" i="8"/>
  <c r="H24" i="8"/>
  <c r="U3" i="8"/>
  <c r="Q3" i="8"/>
  <c r="M3" i="8"/>
  <c r="Q24" i="8"/>
  <c r="M24" i="8"/>
  <c r="T3" i="8"/>
  <c r="P3" i="8"/>
  <c r="L3" i="8"/>
  <c r="G3" i="5"/>
  <c r="P25" i="8"/>
  <c r="I25" i="8"/>
  <c r="Q25" i="8"/>
  <c r="H25" i="8"/>
  <c r="G4" i="5"/>
  <c r="P5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Q27" i="8"/>
  <c r="P6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H7" i="8"/>
  <c r="P7" i="8"/>
  <c r="G6" i="5"/>
  <c r="U8" i="8"/>
  <c r="M8" i="8"/>
  <c r="I29" i="8"/>
  <c r="P29" i="8"/>
  <c r="H8" i="8"/>
  <c r="H29" i="8"/>
  <c r="G7" i="5"/>
  <c r="T8" i="8"/>
  <c r="Q8" i="8"/>
  <c r="M29" i="8"/>
  <c r="T9" i="8"/>
  <c r="L8" i="8"/>
  <c r="I8" i="8"/>
  <c r="P8" i="8"/>
  <c r="Q29" i="8"/>
  <c r="L9" i="8"/>
  <c r="M30" i="8"/>
  <c r="U9" i="8"/>
  <c r="M9" i="8"/>
  <c r="H30" i="8"/>
  <c r="I30" i="8"/>
  <c r="P30" i="8"/>
  <c r="H9" i="8"/>
  <c r="P9" i="8"/>
  <c r="Q9" i="8"/>
  <c r="G8" i="5"/>
  <c r="Q30" i="8"/>
  <c r="I9" i="8"/>
  <c r="Q31" i="8"/>
  <c r="U10" i="8"/>
  <c r="M31" i="8"/>
  <c r="H31" i="8"/>
  <c r="Q10" i="8"/>
  <c r="I10" i="8"/>
  <c r="T10" i="8"/>
  <c r="L10" i="8"/>
  <c r="G9" i="5"/>
  <c r="P31" i="8"/>
  <c r="P10" i="8"/>
  <c r="M10" i="8"/>
  <c r="I31" i="8"/>
  <c r="H10" i="8"/>
  <c r="P32" i="8"/>
  <c r="T11" i="8"/>
  <c r="L11" i="8"/>
  <c r="I32" i="8"/>
  <c r="Q11" i="8"/>
  <c r="I11" i="8"/>
  <c r="G10" i="5"/>
  <c r="M32" i="8"/>
  <c r="H32" i="8"/>
  <c r="P11" i="8"/>
  <c r="Q32" i="8"/>
  <c r="U11" i="8"/>
  <c r="M11" i="8"/>
  <c r="H11" i="8"/>
  <c r="Q33" i="8"/>
  <c r="U12" i="8"/>
  <c r="M12" i="8"/>
  <c r="H12" i="8"/>
  <c r="M33" i="8"/>
  <c r="H33" i="8"/>
  <c r="P12" i="8"/>
  <c r="G11" i="5"/>
  <c r="I33" i="8"/>
  <c r="Q12" i="8"/>
  <c r="I12" i="8"/>
  <c r="P33" i="8"/>
  <c r="T12" i="8"/>
  <c r="L12" i="8"/>
  <c r="G12" i="5"/>
  <c r="H34" i="8"/>
  <c r="H13" i="8"/>
  <c r="U13" i="8"/>
  <c r="L13" i="8"/>
  <c r="Q34" i="8"/>
  <c r="I34" i="8"/>
  <c r="Q13" i="8"/>
  <c r="I13" i="8"/>
  <c r="P34" i="8"/>
  <c r="P13" i="8"/>
  <c r="M34" i="8"/>
  <c r="M13" i="8"/>
  <c r="D21" i="23"/>
  <c r="D15" i="23"/>
  <c r="D16" i="23"/>
  <c r="C22" i="23"/>
  <c r="C23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<sst xmlns="http://schemas.openxmlformats.org/spreadsheetml/2006/main" count="780" uniqueCount="333">
  <si>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</si>
  <si>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</si>
  <si>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</si>
  <si>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</si>
  <si>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</si>
  <si>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</si>
  <si>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</si>
  <si>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</si>
  <si>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</si>
  <si>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</si>
  <si>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</si>
  <si>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</si>
  <si>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</si>
  <si>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</si>
  <si>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</si>
  <si>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</si>
  <si>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</si>
  <si>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</si>
  <si>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</si>
  <si>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</si>
  <si>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</si>
  <si>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</si>
  <si>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</si>
  <si>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</si>
  <si>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</si>
  <si>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</si>
  <si>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</si>
  <si>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</si>
  <si>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</si>
  <si>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</si>
  <si>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</si>
  <si>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</si>
  <si>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</si>
  <si>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</si>
  <si>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</si>
  <si>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</si>
  <si>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</si>
  <si>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</si>
  <si>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</si>
  <si>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</si>
  <si>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</si>
  <si>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</si>
  <si>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</si>
  <si>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</si>
  <si>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</si>
  <si>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</si>
  <si>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</si>
  <si>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</si>
  <si>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</si>
  <si>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</si>
  <si>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</si>
  <si>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</si>
  <si>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</si>
  <si>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</si>
  <si>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</si>
  <si>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</si>
  <si>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</si>
  <si>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</si>
  <si>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</si>
  <si>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</si>
  <si>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</si>
  <si>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</si>
  <si>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</si>
  <si>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</si>
  <si>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</si>
  <si>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</si>
  <si>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</si>
  <si>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</si>
  <si>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</si>
  <si>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</si>
  <si>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</si>
  <si>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</si>
  <si>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</si>
  <si>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</si>
  <si>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</si>
  <si>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</si>
  <si>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</si>
  <si>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</si>
  <si>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</si>
  <si>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</si>
  <si>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</si>
  <si>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</si>
  <si>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</si>
  <si>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</si>
  <si>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</si>
  <si>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</si>
  <si>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</si>
  <si>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</si>
  <si>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</si>
  <si>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</si>
  <si>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</si>
  <si>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</si>
  <si>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</si>
  <si>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</si>
  <si>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</si>
  <si>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</si>
  <si>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</si>
  <si>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</si>
  <si>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</si>
  <si>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</si>
  <si>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</si>
  <si>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</si>
  <si>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</si>
  <si>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</si>
  <si>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</si>
  <si>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</si>
  <si>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</si>
  <si>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</si>
  <si>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</si>
  <si>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</si>
  <si>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</si>
  <si>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</si>
  <si>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</si>
  <si>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</si>
  <si>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</si>
  <si>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</si>
  <si>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</si>
  <si>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</si>
  <si>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</si>
  <si>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</si>
  <si>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</si>
  <si>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</si>
  <si>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</si>
  <si>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Acetic acid consumed</t>
  </si>
  <si>
    <t>Formic acid produced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</si>
  <si>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</si>
  <si>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</si>
  <si>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</si>
  <si>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</si>
  <si>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t>Theoretical</t>
  </si>
  <si>
    <t>Experimental</t>
  </si>
  <si>
    <t>x</t>
  </si>
  <si>
    <t>2x mol pyruvate produced</t>
  </si>
  <si>
    <t>2x</t>
  </si>
  <si>
    <t>z mol lactate produced</t>
  </si>
  <si>
    <t>z</t>
  </si>
  <si>
    <t>f mol formate produced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</si>
  <si>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</si>
  <si>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</si>
  <si>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</si>
  <si>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</si>
  <si>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</si>
  <si>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</si>
  <si>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</si>
  <si>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</si>
  <si>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</si>
  <si>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</si>
  <si>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</si>
  <si>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</si>
  <si>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</si>
  <si>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LOG</t>
  </si>
  <si>
    <t>STDEV LOG(Count/mL)</t>
  </si>
  <si>
    <t>Na-acetate trihydrate (50 mM)</t>
  </si>
  <si>
    <t>6.80</t>
  </si>
  <si>
    <t>0.40</t>
  </si>
  <si>
    <t>0.20</t>
  </si>
  <si>
    <t xml:space="preserve">2x-z-y </t>
  </si>
  <si>
    <t>2x-z-y</t>
  </si>
  <si>
    <t>2x-z-y-f mol H2</t>
  </si>
  <si>
    <t>2x-z-y-f</t>
  </si>
  <si>
    <t>2x-z</t>
  </si>
  <si>
    <r>
      <rPr>
        <i/>
        <sz val="11"/>
        <color theme="1"/>
        <rFont val="Calibri"/>
        <family val="2"/>
        <scheme val="minor"/>
      </rPr>
      <t>Roseburia intestinalis</t>
    </r>
    <r>
      <rPr>
        <sz val="11"/>
        <color theme="1"/>
        <rFont val="Calibri"/>
        <family val="2"/>
        <scheme val="minor"/>
      </rPr>
      <t>DSM 14610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and Faecalibacterium prausnitzii DSM 17677</t>
    </r>
    <r>
      <rPr>
        <vertAlign val="superscript"/>
        <sz val="11"/>
        <color theme="1"/>
        <rFont val="Calibri"/>
        <family val="2"/>
        <scheme val="minor"/>
      </rPr>
      <t>T</t>
    </r>
  </si>
  <si>
    <t>x mol D-fructose consumed</t>
  </si>
  <si>
    <t>2x-z-f mol CO2produced</t>
  </si>
  <si>
    <t>y mol acetate consumed</t>
  </si>
  <si>
    <t>2x-z+y mol acetyl-CoA produced</t>
  </si>
  <si>
    <t>(2x-2+y)/2 mol butyrate produced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</si>
  <si>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</si>
  <si>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</si>
  <si>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</si>
  <si>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</si>
  <si>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</si>
  <si>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</si>
  <si>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</si>
  <si>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</si>
  <si>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</si>
  <si>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</si>
  <si>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</si>
  <si>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</si>
  <si>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</si>
  <si>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</si>
  <si>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</si>
  <si>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</si>
  <si>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</si>
  <si>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</si>
  <si>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4 474</t>
  </si>
  <si>
    <t xml:space="preserve">Volume (ul) 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</si>
  <si>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</si>
  <si>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</si>
  <si>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</si>
  <si>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</si>
  <si>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</si>
  <si>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</si>
  <si>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</si>
  <si>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</si>
  <si>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</si>
  <si>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</si>
  <si>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</si>
  <si>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</si>
  <si>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</si>
  <si>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</si>
  <si>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</si>
  <si>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</si>
  <si>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</si>
  <si>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</si>
  <si>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</si>
  <si>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</si>
  <si>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</si>
  <si>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</si>
  <si>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</t>
  </si>
  <si>
    <t>CT2 normalized</t>
  </si>
  <si>
    <t>CT3 normalized</t>
  </si>
  <si>
    <t>Average CT normalized</t>
  </si>
  <si>
    <t>outliers</t>
  </si>
  <si>
    <t>IPC RI10 epp</t>
  </si>
  <si>
    <t>Threshold</t>
  </si>
  <si>
    <t>AUTO</t>
  </si>
  <si>
    <t>Baseline</t>
  </si>
  <si>
    <t>Rico</t>
  </si>
  <si>
    <t>intercept</t>
  </si>
  <si>
    <t>Efficiency E (%)</t>
  </si>
  <si>
    <t>Outliers</t>
  </si>
  <si>
    <t>CT1 normalized per mL</t>
  </si>
  <si>
    <t>CT2 normalized per mL</t>
  </si>
  <si>
    <t>CT3 normalized per mL</t>
  </si>
  <si>
    <t>Average CT normalized per mL</t>
  </si>
  <si>
    <t>IPC FP10 epp</t>
  </si>
  <si>
    <t>Ct Threshold</t>
  </si>
  <si>
    <t>baseline</t>
  </si>
  <si>
    <t>R. intestinalis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</si>
  <si>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</si>
  <si>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</si>
  <si>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</si>
  <si>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</si>
  <si>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</si>
  <si>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</si>
  <si>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</si>
  <si>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</si>
  <si>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</si>
  <si>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</si>
  <si>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</si>
  <si>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</si>
  <si>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STDV(cells/ml medium)</t>
  </si>
  <si>
    <t>Log (cells/ml medium)</t>
  </si>
  <si>
    <t>STDV Log (cells/ml medium)</t>
  </si>
  <si>
    <t>Dilution log (10x)</t>
  </si>
  <si>
    <t xml:space="preserve">Dilution </t>
  </si>
  <si>
    <t>IPC value epp 10</t>
  </si>
  <si>
    <t>plate 20150701</t>
  </si>
  <si>
    <t>plate 20150630</t>
  </si>
  <si>
    <t>plate 20150629</t>
  </si>
  <si>
    <t>plate 20150708</t>
  </si>
  <si>
    <t>IPC value epp 9</t>
  </si>
  <si>
    <t>plate 20150727</t>
  </si>
  <si>
    <t>plate 20150729</t>
  </si>
  <si>
    <t>plate 20150730</t>
  </si>
  <si>
    <t>IPC value epp 8</t>
  </si>
  <si>
    <t>Total average</t>
  </si>
  <si>
    <t>F. prausnitzii</t>
  </si>
  <si>
    <t>STDV  (cells/ml medium)</t>
  </si>
  <si>
    <t>IPC value epp 10 plate 20150707</t>
  </si>
  <si>
    <t>IPC value  epp 10 plate 20150702</t>
  </si>
  <si>
    <t>IPC value epp 10 plate 20150708</t>
  </si>
  <si>
    <t>IPC value epp 10 plate 20150709</t>
  </si>
  <si>
    <t>IPC value epp 9 plate 20150714</t>
  </si>
  <si>
    <t>IPC value epp 9 plate 20150715</t>
  </si>
  <si>
    <t>IPC value epp 9 plate 20150717</t>
  </si>
  <si>
    <t>IPC value epp 9 plate 201507120</t>
  </si>
  <si>
    <t>IPC value epp 8 plate 20150722</t>
  </si>
  <si>
    <t>IPC value epp 8 plate 20150729</t>
  </si>
  <si>
    <t>IPC value epp 7 plate 20150730</t>
  </si>
  <si>
    <t>Total Average</t>
  </si>
  <si>
    <t>IPC value epp 7 plate 20150804</t>
  </si>
  <si>
    <t>plate 20150804</t>
  </si>
  <si>
    <t>IPC value epp 6 plate 20150804</t>
  </si>
  <si>
    <t>IPC value epp 7</t>
  </si>
  <si>
    <t>plate 20150807</t>
  </si>
  <si>
    <t>IPC value epp 6 plate 20150807</t>
  </si>
  <si>
    <t>IPC value epp 6 plate 20150820</t>
  </si>
  <si>
    <t>IPC value epp 6 plate 20150902</t>
  </si>
  <si>
    <t>IPC value epp 5 plate 20150910</t>
  </si>
  <si>
    <t>IPC value epp 5 plate 20150911</t>
  </si>
  <si>
    <t>IPC value epp 5 plate 20150922</t>
  </si>
  <si>
    <t>IPC value epp 4 plate 20150929</t>
  </si>
  <si>
    <t>IPC value epp 4 plate 20151002</t>
  </si>
  <si>
    <t>IPC value epp 4 plate 20151007</t>
  </si>
  <si>
    <t>IPC value epp 4 plate 20151009</t>
  </si>
  <si>
    <t>plate 20150831</t>
  </si>
  <si>
    <t>plate 20150902</t>
  </si>
  <si>
    <t>IPC value epp 6</t>
  </si>
  <si>
    <t>plate 20150903</t>
  </si>
  <si>
    <t>plate 20150908</t>
  </si>
  <si>
    <t>plate 20150910</t>
  </si>
  <si>
    <t>plate 20150911</t>
  </si>
  <si>
    <t>IPC value epp 5</t>
  </si>
  <si>
    <t>plate 20150922</t>
  </si>
  <si>
    <t>plate 20151007</t>
  </si>
  <si>
    <t>plate 20151009</t>
  </si>
  <si>
    <t xml:space="preserve">Total cell count </t>
  </si>
  <si>
    <t>plate 20151013</t>
  </si>
  <si>
    <t>IPC value epp 4</t>
  </si>
  <si>
    <t>plate 20151019</t>
  </si>
  <si>
    <t>plate 20151111</t>
  </si>
  <si>
    <t>plate 20151112</t>
  </si>
  <si>
    <t>IPC value epp 3</t>
  </si>
  <si>
    <t>plate 20151204</t>
  </si>
  <si>
    <t>plate 20160126</t>
  </si>
  <si>
    <t>IPC value epp 2</t>
  </si>
  <si>
    <t>plate 20160208</t>
  </si>
  <si>
    <t>IPC value epp 3 plate 20151020</t>
  </si>
  <si>
    <t>IPC value epp 3 plate 20151111</t>
  </si>
  <si>
    <t>IPC value epp 2 plate 20151111</t>
  </si>
  <si>
    <t>IPC value epp 2 plate 20151112</t>
  </si>
  <si>
    <t>IPC value epp 2 plate 20151204</t>
  </si>
  <si>
    <t>IPC value epp 1 plate 20160119</t>
  </si>
  <si>
    <t>IPC value epp 1 plate 20160208</t>
  </si>
  <si>
    <t>plate 20160222</t>
  </si>
  <si>
    <t>plate 20160223</t>
  </si>
  <si>
    <t>IPC value epp 1</t>
  </si>
  <si>
    <t>plate 20160225</t>
  </si>
  <si>
    <t>plate 20160308</t>
  </si>
  <si>
    <t>plate 20160310</t>
  </si>
  <si>
    <t>plate 20160311</t>
  </si>
  <si>
    <t>plate 20160318</t>
  </si>
  <si>
    <t>plate 20160405</t>
  </si>
  <si>
    <t>IPC value epp 1 plate 20160222</t>
  </si>
  <si>
    <t>IPC value epp 1 plate 20160223</t>
  </si>
  <si>
    <t>IPC value epp 9 plate 20160223</t>
  </si>
  <si>
    <t>IPC value epp 9 plate 20160225</t>
  </si>
  <si>
    <t>IPC value epp 9 plate 20160308</t>
  </si>
  <si>
    <t>IPC value epp 9 plate 20160310</t>
  </si>
  <si>
    <t>IPC value epp 8 plate 20160325</t>
  </si>
  <si>
    <t>IPC value epp 8 plate 20160405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</si>
</sst>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  <font>
      <b/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i/>
      <sz val="1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420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8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1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24" fillId="0" borderId="3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164" fontId="18" fillId="0" borderId="16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0" fontId="25" fillId="0" borderId="16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1" fontId="26" fillId="0" borderId="0" xfId="0" applyNumberFormat="1" applyFont="1"/>
    <xf numFmtId="0" fontId="0" fillId="0" borderId="18" xfId="0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/>
    </xf>
    <xf numFmtId="165" fontId="0" fillId="0" borderId="16" xfId="0" applyNumberFormat="1" applyBorder="1" applyAlignment="1">
      <alignment horizontal="center" vertical="center"/>
    </xf>
    <xf numFmtId="1" fontId="18" fillId="0" borderId="0" xfId="0" applyNumberFormat="1" applyFont="1"/>
    <xf numFmtId="1" fontId="27" fillId="0" borderId="0" xfId="0" applyNumberFormat="1" applyFont="1"/>
    <xf numFmtId="165" fontId="0" fillId="0" borderId="0" xfId="0" applyNumberFormat="1"/>
    <xf numFmtId="164" fontId="24" fillId="0" borderId="16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2" fontId="18" fillId="11" borderId="0" xfId="0" applyNumberFormat="1" applyFont="1" applyFill="1"/>
    <xf numFmtId="0" fontId="28" fillId="2" borderId="4" xfId="361" applyFill="1" applyBorder="1" applyAlignment="1">
      <alignment horizontal="center" vertical="center"/>
    </xf>
    <xf numFmtId="0" fontId="28" fillId="0" borderId="0" xfId="361"/>
    <xf numFmtId="0" fontId="28" fillId="2" borderId="16" xfId="361" applyFill="1" applyBorder="1" applyAlignment="1">
      <alignment horizontal="center" vertical="center"/>
    </xf>
    <xf numFmtId="0" fontId="28" fillId="2" borderId="3" xfId="361" applyFill="1" applyBorder="1" applyAlignment="1">
      <alignment horizontal="center" vertical="center"/>
    </xf>
    <xf numFmtId="0" fontId="28" fillId="0" borderId="3" xfId="361" applyFill="1" applyBorder="1" applyAlignment="1">
      <alignment horizontal="center" vertical="center"/>
    </xf>
    <xf numFmtId="0" fontId="28" fillId="0" borderId="16" xfId="361" applyFill="1" applyBorder="1" applyAlignment="1">
      <alignment horizontal="center" vertical="center"/>
    </xf>
    <xf numFmtId="11" fontId="28" fillId="0" borderId="16" xfId="361" applyNumberFormat="1" applyFill="1" applyBorder="1" applyAlignment="1">
      <alignment horizontal="center" vertical="center"/>
    </xf>
    <xf numFmtId="0" fontId="0" fillId="0" borderId="16" xfId="361" applyFont="1" applyBorder="1" applyAlignment="1">
      <alignment horizontal="center" vertical="center"/>
    </xf>
    <xf numFmtId="0" fontId="28" fillId="0" borderId="16" xfId="361" applyBorder="1" applyAlignment="1">
      <alignment horizontal="center" vertical="center"/>
    </xf>
    <xf numFmtId="11" fontId="28" fillId="0" borderId="16" xfId="361" applyNumberFormat="1" applyBorder="1" applyAlignment="1">
      <alignment horizontal="center" vertical="center"/>
    </xf>
    <xf numFmtId="2" fontId="28" fillId="0" borderId="16" xfId="361" applyNumberFormat="1" applyBorder="1" applyAlignment="1">
      <alignment horizontal="center" vertical="center"/>
    </xf>
    <xf numFmtId="0" fontId="28" fillId="2" borderId="21" xfId="361" applyFill="1" applyBorder="1" applyAlignment="1">
      <alignment wrapText="1"/>
    </xf>
    <xf numFmtId="0" fontId="0" fillId="2" borderId="21" xfId="361" applyFont="1" applyFill="1" applyBorder="1" applyAlignment="1">
      <alignment wrapText="1"/>
    </xf>
    <xf numFmtId="0" fontId="0" fillId="2" borderId="21" xfId="361" applyFont="1" applyFill="1" applyBorder="1" applyAlignment="1">
      <alignment horizontal="center" vertical="center" wrapText="1"/>
    </xf>
    <xf numFmtId="0" fontId="0" fillId="0" borderId="0" xfId="361" applyFont="1"/>
    <xf numFmtId="165" fontId="28" fillId="0" borderId="16" xfId="361" applyNumberFormat="1" applyBorder="1" applyAlignment="1">
      <alignment horizontal="center" vertical="center"/>
    </xf>
    <xf numFmtId="0" fontId="28" fillId="0" borderId="16" xfId="361" applyBorder="1"/>
    <xf numFmtId="0" fontId="28" fillId="0" borderId="0" xfId="361" applyFont="1"/>
    <xf numFmtId="0" fontId="28" fillId="2" borderId="16" xfId="361" applyFill="1" applyBorder="1"/>
    <xf numFmtId="165" fontId="28" fillId="0" borderId="16" xfId="361" applyNumberFormat="1" applyBorder="1"/>
    <xf numFmtId="165" fontId="28" fillId="0" borderId="0" xfId="361" applyNumberFormat="1"/>
    <xf numFmtId="0" fontId="29" fillId="0" borderId="16" xfId="361" applyFont="1" applyBorder="1"/>
    <xf numFmtId="0" fontId="30" fillId="12" borderId="0" xfId="361" applyFont="1" applyFill="1"/>
    <xf numFmtId="2" fontId="28" fillId="0" borderId="16" xfId="361" applyNumberFormat="1" applyBorder="1"/>
    <xf numFmtId="1" fontId="28" fillId="0" borderId="16" xfId="361" applyNumberFormat="1" applyBorder="1"/>
    <xf numFmtId="2" fontId="25" fillId="0" borderId="20" xfId="0" applyNumberFormat="1" applyFont="1" applyBorder="1"/>
    <xf numFmtId="2" fontId="25" fillId="0" borderId="0" xfId="0" applyNumberFormat="1" applyFont="1"/>
    <xf numFmtId="165" fontId="0" fillId="0" borderId="16" xfId="361" applyNumberFormat="1" applyFont="1" applyBorder="1" applyAlignment="1">
      <alignment horizontal="center" vertical="center"/>
    </xf>
    <xf numFmtId="0" fontId="0" fillId="0" borderId="16" xfId="361" applyFont="1" applyBorder="1"/>
    <xf numFmtId="165" fontId="25" fillId="0" borderId="18" xfId="0" applyNumberFormat="1" applyFont="1" applyBorder="1" applyAlignment="1">
      <alignment horizontal="center" vertical="center"/>
    </xf>
    <xf numFmtId="165" fontId="25" fillId="0" borderId="16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5" fontId="28" fillId="0" borderId="0" xfId="361" applyNumberFormat="1" applyBorder="1" applyAlignment="1">
      <alignment horizontal="center" vertical="center"/>
    </xf>
    <xf numFmtId="165" fontId="28" fillId="0" borderId="0" xfId="361" applyNumberFormat="1" applyBorder="1"/>
    <xf numFmtId="2" fontId="28" fillId="0" borderId="0" xfId="361" applyNumberFormat="1" applyBorder="1"/>
    <xf numFmtId="1" fontId="28" fillId="0" borderId="0" xfId="361" applyNumberFormat="1" applyBorder="1"/>
    <xf numFmtId="0" fontId="30" fillId="14" borderId="0" xfId="0" applyFont="1" applyFill="1"/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165" fontId="25" fillId="0" borderId="0" xfId="0" applyNumberFormat="1" applyFont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8" fillId="0" borderId="17" xfId="361" applyNumberFormat="1" applyFill="1" applyBorder="1" applyAlignment="1">
      <alignment horizontal="center" vertical="center"/>
    </xf>
    <xf numFmtId="0" fontId="28" fillId="0" borderId="5" xfId="361" applyNumberFormat="1" applyFill="1" applyBorder="1" applyAlignment="1">
      <alignment horizontal="center" vertical="center"/>
    </xf>
    <xf numFmtId="0" fontId="28" fillId="0" borderId="18" xfId="361" applyNumberFormat="1" applyFill="1" applyBorder="1" applyAlignment="1">
      <alignment horizontal="center" vertical="center"/>
    </xf>
    <xf numFmtId="0" fontId="28" fillId="2" borderId="4" xfId="361" applyFill="1" applyBorder="1" applyAlignment="1">
      <alignment horizontal="center" vertical="center"/>
    </xf>
    <xf numFmtId="0" fontId="28" fillId="2" borderId="3" xfId="361" applyFill="1" applyBorder="1" applyAlignment="1">
      <alignment horizontal="center" vertical="center"/>
    </xf>
    <xf numFmtId="0" fontId="0" fillId="2" borderId="4" xfId="361" applyFont="1" applyFill="1" applyBorder="1" applyAlignment="1">
      <alignment horizontal="center" vertical="center"/>
    </xf>
    <xf numFmtId="0" fontId="28" fillId="2" borderId="16" xfId="361" applyFill="1" applyBorder="1" applyAlignment="1">
      <alignment horizontal="center" vertical="center"/>
    </xf>
    <xf numFmtId="0" fontId="0" fillId="0" borderId="22" xfId="361" applyFont="1" applyBorder="1" applyAlignment="1">
      <alignment horizontal="center"/>
    </xf>
    <xf numFmtId="0" fontId="28" fillId="0" borderId="22" xfId="361" applyBorder="1" applyAlignment="1">
      <alignment horizontal="center"/>
    </xf>
    <xf numFmtId="0" fontId="21" fillId="0" borderId="24" xfId="361" applyFont="1" applyBorder="1" applyAlignment="1">
      <alignment horizontal="center"/>
    </xf>
    <xf numFmtId="0" fontId="28" fillId="0" borderId="24" xfId="361" applyBorder="1" applyAlignment="1">
      <alignment horizontal="center"/>
    </xf>
    <xf numFmtId="0" fontId="25" fillId="13" borderId="4" xfId="0" applyFont="1" applyFill="1" applyBorder="1" applyAlignment="1">
      <alignment horizontal="center" vertical="center"/>
    </xf>
    <xf numFmtId="0" fontId="25" fillId="13" borderId="2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420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Input" xfId="10"/>
    <cellStyle name="Linked Cell" xfId="11"/>
    <cellStyle name="Neutral" xfId="12"/>
    <cellStyle name="Normal" xfId="0" builtinId="0"/>
    <cellStyle name="Normal 2" xfId="361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chartsheet" Target="chartsheets/sheet1.xml"/><Relationship Id="rId23" Type="http://schemas.openxmlformats.org/officeDocument/2006/relationships/chartsheet" Target="chartsheets/sheet2.xml"/><Relationship Id="rId24" Type="http://schemas.openxmlformats.org/officeDocument/2006/relationships/worksheet" Target="worksheets/sheet22.xml"/><Relationship Id="rId25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27" Type="http://schemas.openxmlformats.org/officeDocument/2006/relationships/connections" Target="connections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R. intestinalis</a:t>
            </a:r>
            <a:endParaRPr lang="nl-BE" i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('Calibration R. intestinalis '!$R$4:$R$7,'Calibration R. intestinalis '!$R$9:$R$19)</c:f>
              <c:numCache>
                <c:formatCode>0.00</c:formatCode>
                <c:ptCount val="15"/>
                <c:pt idx="0">
                  <c:v>9.340913567641642</c:v>
                </c:pt>
                <c:pt idx="1">
                  <c:v>8.364361745916065</c:v>
                </c:pt>
                <c:pt idx="2">
                  <c:v>7.41501868403934</c:v>
                </c:pt>
                <c:pt idx="3">
                  <c:v>6.423175631952359</c:v>
                </c:pt>
                <c:pt idx="4">
                  <c:v>9.318402644082718</c:v>
                </c:pt>
                <c:pt idx="5">
                  <c:v>8.99449689289361</c:v>
                </c:pt>
                <c:pt idx="6">
                  <c:v>8.717506452759563</c:v>
                </c:pt>
                <c:pt idx="7">
                  <c:v>8.435095941696934</c:v>
                </c:pt>
                <c:pt idx="8">
                  <c:v>8.129456020849723</c:v>
                </c:pt>
                <c:pt idx="9">
                  <c:v>7.827516967148737</c:v>
                </c:pt>
                <c:pt idx="10">
                  <c:v>7.53584943027753</c:v>
                </c:pt>
                <c:pt idx="11">
                  <c:v>7.244489178658548</c:v>
                </c:pt>
                <c:pt idx="12">
                  <c:v>6.918410814648132</c:v>
                </c:pt>
                <c:pt idx="13">
                  <c:v>6.624850565395643</c:v>
                </c:pt>
                <c:pt idx="14">
                  <c:v>6.118853089115321</c:v>
                </c:pt>
              </c:numCache>
            </c:numRef>
          </c:xVal>
          <c:yVal>
            <c:numRef>
              <c:f>('Calibration R. intestinalis '!$L$23:$L$26,'Calibration R. intestinalis '!$L$28:$L$38)</c:f>
              <c:numCache>
                <c:formatCode>General</c:formatCode>
                <c:ptCount val="15"/>
                <c:pt idx="0">
                  <c:v>6.796308649797421</c:v>
                </c:pt>
                <c:pt idx="1">
                  <c:v>10.71828728240647</c:v>
                </c:pt>
                <c:pt idx="2">
                  <c:v>13.96980108143804</c:v>
                </c:pt>
                <c:pt idx="3">
                  <c:v>18.14686788441656</c:v>
                </c:pt>
                <c:pt idx="4">
                  <c:v>7.554405467811155</c:v>
                </c:pt>
                <c:pt idx="5">
                  <c:v>8.5896399191051</c:v>
                </c:pt>
                <c:pt idx="6">
                  <c:v>9.44354082852893</c:v>
                </c:pt>
                <c:pt idx="7">
                  <c:v>10.11613553474638</c:v>
                </c:pt>
                <c:pt idx="8">
                  <c:v>11.36988919685575</c:v>
                </c:pt>
                <c:pt idx="9">
                  <c:v>12.6170091004202</c:v>
                </c:pt>
                <c:pt idx="10">
                  <c:v>13.73197898974312</c:v>
                </c:pt>
                <c:pt idx="11">
                  <c:v>14.64585393379423</c:v>
                </c:pt>
                <c:pt idx="12">
                  <c:v>16.3368634552786</c:v>
                </c:pt>
                <c:pt idx="13">
                  <c:v>17.33992220670276</c:v>
                </c:pt>
                <c:pt idx="14">
                  <c:v>18.7174786896536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892520"/>
        <c:axId val="-2109555272"/>
      </c:scatterChart>
      <c:valAx>
        <c:axId val="-2106892520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109555272"/>
        <c:crosses val="autoZero"/>
        <c:crossBetween val="midCat"/>
        <c:majorUnit val="2.0"/>
      </c:valAx>
      <c:valAx>
        <c:axId val="-2109555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06892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('[1]Calibration F. prausnitzii'!$R$4:$R$5,'[1]Calibration F. prausnitzii'!$R$7:$R$9,'[1]Calibration F. prausnitzii'!$R$12:$R$18)</c:f>
              <c:numCache>
                <c:formatCode>General</c:formatCode>
                <c:ptCount val="12"/>
                <c:pt idx="0">
                  <c:v>8.615856001921256</c:v>
                </c:pt>
                <c:pt idx="1">
                  <c:v>7.578787169009893</c:v>
                </c:pt>
                <c:pt idx="2">
                  <c:v>5.16625245195416</c:v>
                </c:pt>
                <c:pt idx="3">
                  <c:v>4.327142945090009</c:v>
                </c:pt>
                <c:pt idx="4">
                  <c:v>8.5970052819172</c:v>
                </c:pt>
                <c:pt idx="5">
                  <c:v>7.638654956108294</c:v>
                </c:pt>
                <c:pt idx="6">
                  <c:v>7.317915960046743</c:v>
                </c:pt>
                <c:pt idx="7">
                  <c:v>6.979500247162297</c:v>
                </c:pt>
                <c:pt idx="8">
                  <c:v>6.727141401256697</c:v>
                </c:pt>
                <c:pt idx="9">
                  <c:v>6.258345785566837</c:v>
                </c:pt>
                <c:pt idx="10">
                  <c:v>5.898754948228658</c:v>
                </c:pt>
                <c:pt idx="11">
                  <c:v>5.513685518117733</c:v>
                </c:pt>
              </c:numCache>
            </c:numRef>
          </c:xVal>
          <c:yVal>
            <c:numRef>
              <c:f>('[1]Calibration F. prausnitzii'!$L$23:$L$24,'[1]Calibration F. prausnitzii'!$L$26:$L$28,'[1]Calibration F. prausnitzii'!$L$31:$L$37)</c:f>
              <c:numCache>
                <c:formatCode>General</c:formatCode>
                <c:ptCount val="12"/>
                <c:pt idx="0">
                  <c:v>7.615938071690805</c:v>
                </c:pt>
                <c:pt idx="1">
                  <c:v>10.99721674549859</c:v>
                </c:pt>
                <c:pt idx="2">
                  <c:v>18.92516283619683</c:v>
                </c:pt>
                <c:pt idx="3">
                  <c:v>22.15071698455295</c:v>
                </c:pt>
                <c:pt idx="4">
                  <c:v>7.926772761510367</c:v>
                </c:pt>
                <c:pt idx="5">
                  <c:v>11.08311685737625</c:v>
                </c:pt>
                <c:pt idx="6">
                  <c:v>13.44173781888341</c:v>
                </c:pt>
                <c:pt idx="7">
                  <c:v>14.0348183395133</c:v>
                </c:pt>
                <c:pt idx="8">
                  <c:v>13.99912230985021</c:v>
                </c:pt>
                <c:pt idx="9">
                  <c:v>15.79201794481929</c:v>
                </c:pt>
                <c:pt idx="10">
                  <c:v>16.9694255274202</c:v>
                </c:pt>
                <c:pt idx="11">
                  <c:v>17.46778266446447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533400"/>
        <c:axId val="-2096162296"/>
      </c:scatterChart>
      <c:valAx>
        <c:axId val="-2108533400"/>
        <c:scaling>
          <c:orientation val="minMax"/>
          <c:max val="15.0"/>
          <c:min val="0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6162296"/>
        <c:crosses val="autoZero"/>
        <c:crossBetween val="midCat"/>
        <c:majorUnit val="2.0"/>
      </c:valAx>
      <c:valAx>
        <c:axId val="-209616229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-2108533400"/>
        <c:crosses val="autoZero"/>
        <c:crossBetween val="midCat"/>
        <c:minorUnit val="1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7767522912095"/>
          <c:y val="0.0157103087009521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0.0222444838159831</c:v>
                  </c:pt>
                  <c:pt idx="1">
                    <c:v>0.0257859869923698</c:v>
                  </c:pt>
                  <c:pt idx="2">
                    <c:v>0.0224803940280024</c:v>
                  </c:pt>
                  <c:pt idx="3">
                    <c:v>0.0130860318310029</c:v>
                  </c:pt>
                  <c:pt idx="4">
                    <c:v>0.045714966094623</c:v>
                  </c:pt>
                  <c:pt idx="5">
                    <c:v>0.0132928203803944</c:v>
                  </c:pt>
                  <c:pt idx="6">
                    <c:v>0.0</c:v>
                  </c:pt>
                  <c:pt idx="7">
                    <c:v>0.0232862628073917</c:v>
                  </c:pt>
                  <c:pt idx="8">
                    <c:v>0.0750343700767797</c:v>
                  </c:pt>
                  <c:pt idx="9">
                    <c:v>0.0357149324945123</c:v>
                  </c:pt>
                  <c:pt idx="10">
                    <c:v>0.0357459619753937</c:v>
                  </c:pt>
                  <c:pt idx="11">
                    <c:v>0.107237885926181</c:v>
                  </c:pt>
                  <c:pt idx="12">
                    <c:v>0.0823376096623816</c:v>
                  </c:pt>
                  <c:pt idx="13">
                    <c:v>0.137513642835741</c:v>
                  </c:pt>
                  <c:pt idx="14">
                    <c:v>0.023468633455955</c:v>
                  </c:pt>
                  <c:pt idx="15">
                    <c:v>0.0977077126383893</c:v>
                  </c:pt>
                  <c:pt idx="16">
                    <c:v>0.0889554657541555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0.0222444838159831</c:v>
                  </c:pt>
                  <c:pt idx="1">
                    <c:v>0.0257859869923698</c:v>
                  </c:pt>
                  <c:pt idx="2">
                    <c:v>0.0224803940280024</c:v>
                  </c:pt>
                  <c:pt idx="3">
                    <c:v>0.0130860318310029</c:v>
                  </c:pt>
                  <c:pt idx="4">
                    <c:v>0.045714966094623</c:v>
                  </c:pt>
                  <c:pt idx="5">
                    <c:v>0.0132928203803944</c:v>
                  </c:pt>
                  <c:pt idx="6">
                    <c:v>0.0</c:v>
                  </c:pt>
                  <c:pt idx="7">
                    <c:v>0.0232862628073917</c:v>
                  </c:pt>
                  <c:pt idx="8">
                    <c:v>0.0750343700767797</c:v>
                  </c:pt>
                  <c:pt idx="9">
                    <c:v>0.0357149324945123</c:v>
                  </c:pt>
                  <c:pt idx="10">
                    <c:v>0.0357459619753937</c:v>
                  </c:pt>
                  <c:pt idx="11">
                    <c:v>0.107237885926181</c:v>
                  </c:pt>
                  <c:pt idx="12">
                    <c:v>0.0823376096623816</c:v>
                  </c:pt>
                  <c:pt idx="13">
                    <c:v>0.137513642835741</c:v>
                  </c:pt>
                  <c:pt idx="14">
                    <c:v>0.023468633455955</c:v>
                  </c:pt>
                  <c:pt idx="15">
                    <c:v>0.0977077126383893</c:v>
                  </c:pt>
                  <c:pt idx="16">
                    <c:v>0.0889554657541555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1.490380415670868</c:v>
                </c:pt>
                <c:pt idx="1">
                  <c:v>1.592967478856051</c:v>
                </c:pt>
                <c:pt idx="2">
                  <c:v>1.641068764044173</c:v>
                </c:pt>
                <c:pt idx="3">
                  <c:v>2.364785112079359</c:v>
                </c:pt>
                <c:pt idx="4">
                  <c:v>3.131475177481676</c:v>
                </c:pt>
                <c:pt idx="5">
                  <c:v>4.036846661502671</c:v>
                </c:pt>
                <c:pt idx="6">
                  <c:v>5.77594400206426</c:v>
                </c:pt>
                <c:pt idx="7">
                  <c:v>6.98587884221751</c:v>
                </c:pt>
                <c:pt idx="8">
                  <c:v>7.243833302637043</c:v>
                </c:pt>
                <c:pt idx="9">
                  <c:v>7.419542632367443</c:v>
                </c:pt>
                <c:pt idx="10">
                  <c:v>7.45719043683046</c:v>
                </c:pt>
                <c:pt idx="11">
                  <c:v>7.464990845237187</c:v>
                </c:pt>
                <c:pt idx="12">
                  <c:v>7.557240434364517</c:v>
                </c:pt>
                <c:pt idx="13">
                  <c:v>7.58819148409212</c:v>
                </c:pt>
                <c:pt idx="14">
                  <c:v>7.674243140097288</c:v>
                </c:pt>
                <c:pt idx="15">
                  <c:v>8.10450142012313</c:v>
                </c:pt>
                <c:pt idx="16">
                  <c:v>8.06705480592407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0.448928301883785</c:v>
                  </c:pt>
                  <c:pt idx="1">
                    <c:v>0.252910688898693</c:v>
                  </c:pt>
                  <c:pt idx="2">
                    <c:v>0.173050238894204</c:v>
                  </c:pt>
                  <c:pt idx="3">
                    <c:v>0.544360379319867</c:v>
                  </c:pt>
                  <c:pt idx="4">
                    <c:v>0.724391646090107</c:v>
                  </c:pt>
                  <c:pt idx="5">
                    <c:v>0.0527571737748816</c:v>
                  </c:pt>
                  <c:pt idx="6">
                    <c:v>0.0724352630406449</c:v>
                  </c:pt>
                  <c:pt idx="7">
                    <c:v>0.402847785689786</c:v>
                  </c:pt>
                  <c:pt idx="8">
                    <c:v>0.199104294246755</c:v>
                  </c:pt>
                  <c:pt idx="9">
                    <c:v>0.0535753725080045</c:v>
                  </c:pt>
                  <c:pt idx="10">
                    <c:v>0.180138640351446</c:v>
                  </c:pt>
                  <c:pt idx="11">
                    <c:v>0.404836612914321</c:v>
                  </c:pt>
                  <c:pt idx="12">
                    <c:v>0.352286504491294</c:v>
                  </c:pt>
                  <c:pt idx="13">
                    <c:v>0.588037834257192</c:v>
                  </c:pt>
                  <c:pt idx="14">
                    <c:v>0.193893493904895</c:v>
                  </c:pt>
                  <c:pt idx="15">
                    <c:v>0.48569160233661</c:v>
                  </c:pt>
                  <c:pt idx="16">
                    <c:v>0.299766876578231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0.448928301883785</c:v>
                  </c:pt>
                  <c:pt idx="1">
                    <c:v>0.252910688898693</c:v>
                  </c:pt>
                  <c:pt idx="2">
                    <c:v>0.173050238894204</c:v>
                  </c:pt>
                  <c:pt idx="3">
                    <c:v>0.544360379319867</c:v>
                  </c:pt>
                  <c:pt idx="4">
                    <c:v>0.724391646090107</c:v>
                  </c:pt>
                  <c:pt idx="5">
                    <c:v>0.0527571737748816</c:v>
                  </c:pt>
                  <c:pt idx="6">
                    <c:v>0.0724352630406449</c:v>
                  </c:pt>
                  <c:pt idx="7">
                    <c:v>0.402847785689786</c:v>
                  </c:pt>
                  <c:pt idx="8">
                    <c:v>0.199104294246755</c:v>
                  </c:pt>
                  <c:pt idx="9">
                    <c:v>0.0535753725080045</c:v>
                  </c:pt>
                  <c:pt idx="10">
                    <c:v>0.180138640351446</c:v>
                  </c:pt>
                  <c:pt idx="11">
                    <c:v>0.404836612914321</c:v>
                  </c:pt>
                  <c:pt idx="12">
                    <c:v>0.352286504491294</c:v>
                  </c:pt>
                  <c:pt idx="13">
                    <c:v>0.588037834257192</c:v>
                  </c:pt>
                  <c:pt idx="14">
                    <c:v>0.193893493904895</c:v>
                  </c:pt>
                  <c:pt idx="15">
                    <c:v>0.48569160233661</c:v>
                  </c:pt>
                  <c:pt idx="16">
                    <c:v>0.299766876578231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47.04969482136052</c:v>
                </c:pt>
                <c:pt idx="1">
                  <c:v>47.0993677596862</c:v>
                </c:pt>
                <c:pt idx="2">
                  <c:v>44.82839394638526</c:v>
                </c:pt>
                <c:pt idx="3">
                  <c:v>40.75514042102332</c:v>
                </c:pt>
                <c:pt idx="4">
                  <c:v>35.81966414917738</c:v>
                </c:pt>
                <c:pt idx="5">
                  <c:v>32.64961776632602</c:v>
                </c:pt>
                <c:pt idx="6">
                  <c:v>29.14809837694488</c:v>
                </c:pt>
                <c:pt idx="7">
                  <c:v>28.25944849184154</c:v>
                </c:pt>
                <c:pt idx="8">
                  <c:v>28.14046974650778</c:v>
                </c:pt>
                <c:pt idx="9">
                  <c:v>28.36262014121981</c:v>
                </c:pt>
                <c:pt idx="10">
                  <c:v>28.12983409532241</c:v>
                </c:pt>
                <c:pt idx="11">
                  <c:v>28.29365176476272</c:v>
                </c:pt>
                <c:pt idx="12">
                  <c:v>28.35880978423457</c:v>
                </c:pt>
                <c:pt idx="13">
                  <c:v>28.1287185157074</c:v>
                </c:pt>
                <c:pt idx="14">
                  <c:v>27.51850017494111</c:v>
                </c:pt>
                <c:pt idx="15">
                  <c:v>28.53944239891548</c:v>
                </c:pt>
                <c:pt idx="16">
                  <c:v>27.05746382547434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0.0252313894011806</c:v>
                  </c:pt>
                  <c:pt idx="2">
                    <c:v>0.0253998232423099</c:v>
                  </c:pt>
                  <c:pt idx="3">
                    <c:v>0.0256091624448563</c:v>
                  </c:pt>
                  <c:pt idx="4">
                    <c:v>0.0683288641838191</c:v>
                  </c:pt>
                  <c:pt idx="5">
                    <c:v>0.045057300281288</c:v>
                  </c:pt>
                  <c:pt idx="6">
                    <c:v>0.0262089970678625</c:v>
                  </c:pt>
                  <c:pt idx="7">
                    <c:v>0.0263103466311566</c:v>
                  </c:pt>
                  <c:pt idx="8">
                    <c:v>0.0263734409875859</c:v>
                  </c:pt>
                  <c:pt idx="9">
                    <c:v>0.0264172871072664</c:v>
                  </c:pt>
                  <c:pt idx="10">
                    <c:v>0.0528804774067261</c:v>
                  </c:pt>
                  <c:pt idx="11">
                    <c:v>0.0699542962142835</c:v>
                  </c:pt>
                  <c:pt idx="12">
                    <c:v>0.0700864100881537</c:v>
                  </c:pt>
                  <c:pt idx="13">
                    <c:v>0.095606243259463</c:v>
                  </c:pt>
                  <c:pt idx="14">
                    <c:v>0.0530328018963811</c:v>
                  </c:pt>
                  <c:pt idx="15">
                    <c:v>0.0795492028445717</c:v>
                  </c:pt>
                  <c:pt idx="16">
                    <c:v>0.0702384360275395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0.0252313894011806</c:v>
                  </c:pt>
                  <c:pt idx="2">
                    <c:v>0.0253998232423099</c:v>
                  </c:pt>
                  <c:pt idx="3">
                    <c:v>0.0256091624448563</c:v>
                  </c:pt>
                  <c:pt idx="4">
                    <c:v>0.0683288641838191</c:v>
                  </c:pt>
                  <c:pt idx="5">
                    <c:v>0.045057300281288</c:v>
                  </c:pt>
                  <c:pt idx="6">
                    <c:v>0.0262089970678625</c:v>
                  </c:pt>
                  <c:pt idx="7">
                    <c:v>0.0263103466311566</c:v>
                  </c:pt>
                  <c:pt idx="8">
                    <c:v>0.0263734409875859</c:v>
                  </c:pt>
                  <c:pt idx="9">
                    <c:v>0.0264172871072664</c:v>
                  </c:pt>
                  <c:pt idx="10">
                    <c:v>0.0528804774067261</c:v>
                  </c:pt>
                  <c:pt idx="11">
                    <c:v>0.0699542962142835</c:v>
                  </c:pt>
                  <c:pt idx="12">
                    <c:v>0.0700864100881537</c:v>
                  </c:pt>
                  <c:pt idx="13">
                    <c:v>0.095606243259463</c:v>
                  </c:pt>
                  <c:pt idx="14">
                    <c:v>0.0530328018963811</c:v>
                  </c:pt>
                  <c:pt idx="15">
                    <c:v>0.0795492028445717</c:v>
                  </c:pt>
                  <c:pt idx="16">
                    <c:v>0.0702384360275395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0.0</c:v>
                </c:pt>
                <c:pt idx="1">
                  <c:v>0.0145673494627999</c:v>
                </c:pt>
                <c:pt idx="2">
                  <c:v>0.322621085298964</c:v>
                </c:pt>
                <c:pt idx="3">
                  <c:v>1.567258424113425</c:v>
                </c:pt>
                <c:pt idx="4">
                  <c:v>2.922473794545273</c:v>
                </c:pt>
                <c:pt idx="5">
                  <c:v>4.055157025315917</c:v>
                </c:pt>
                <c:pt idx="6">
                  <c:v>4.887562198479526</c:v>
                </c:pt>
                <c:pt idx="7">
                  <c:v>5.316599998489721</c:v>
                </c:pt>
                <c:pt idx="8">
                  <c:v>5.375029778534786</c:v>
                </c:pt>
                <c:pt idx="9">
                  <c:v>5.475477988327707</c:v>
                </c:pt>
                <c:pt idx="10">
                  <c:v>5.602357368346626</c:v>
                </c:pt>
                <c:pt idx="11">
                  <c:v>5.663418484077925</c:v>
                </c:pt>
                <c:pt idx="12">
                  <c:v>5.765878920956601</c:v>
                </c:pt>
                <c:pt idx="13">
                  <c:v>5.725659958291315</c:v>
                </c:pt>
                <c:pt idx="14">
                  <c:v>5.710350707065938</c:v>
                </c:pt>
                <c:pt idx="15">
                  <c:v>5.970607977897361</c:v>
                </c:pt>
                <c:pt idx="16">
                  <c:v>5.732403962953613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0.090148247994278</c:v>
                </c:pt>
                <c:pt idx="1">
                  <c:v>0.305610394928973</c:v>
                </c:pt>
                <c:pt idx="2">
                  <c:v>0.600095142234508</c:v>
                </c:pt>
                <c:pt idx="3">
                  <c:v>0.995557354895065</c:v>
                </c:pt>
                <c:pt idx="4">
                  <c:v>1.57264201881384</c:v>
                </c:pt>
                <c:pt idx="5">
                  <c:v>2.39082424975729</c:v>
                </c:pt>
                <c:pt idx="6">
                  <c:v>3.477857147423138</c:v>
                </c:pt>
                <c:pt idx="7">
                  <c:v>4.955347256422643</c:v>
                </c:pt>
                <c:pt idx="8">
                  <c:v>6.870598028152135</c:v>
                </c:pt>
                <c:pt idx="9">
                  <c:v>9.16656624326121</c:v>
                </c:pt>
                <c:pt idx="10">
                  <c:v>11.8349826199126</c:v>
                </c:pt>
                <c:pt idx="11">
                  <c:v>14.82898891448946</c:v>
                </c:pt>
                <c:pt idx="12">
                  <c:v>18.16983044517485</c:v>
                </c:pt>
                <c:pt idx="13">
                  <c:v>21.82837661892225</c:v>
                </c:pt>
                <c:pt idx="14">
                  <c:v>25.71063103126266</c:v>
                </c:pt>
                <c:pt idx="15">
                  <c:v>29.87250865009783</c:v>
                </c:pt>
                <c:pt idx="16">
                  <c:v>34.25856922955292</c:v>
                </c:pt>
                <c:pt idx="17">
                  <c:v>38.78661705129002</c:v>
                </c:pt>
                <c:pt idx="18">
                  <c:v>43.58126767434203</c:v>
                </c:pt>
                <c:pt idx="19">
                  <c:v>48.41522535701669</c:v>
                </c:pt>
                <c:pt idx="20">
                  <c:v>52.82273765847077</c:v>
                </c:pt>
                <c:pt idx="21">
                  <c:v>56.72715828397183</c:v>
                </c:pt>
                <c:pt idx="22">
                  <c:v>60.19107285759665</c:v>
                </c:pt>
                <c:pt idx="23">
                  <c:v>63.29305815318124</c:v>
                </c:pt>
                <c:pt idx="24">
                  <c:v>66.1091237294626</c:v>
                </c:pt>
                <c:pt idx="25">
                  <c:v>68.62589094426954</c:v>
                </c:pt>
                <c:pt idx="26">
                  <c:v>70.88504651724996</c:v>
                </c:pt>
                <c:pt idx="27">
                  <c:v>72.91931588088723</c:v>
                </c:pt>
                <c:pt idx="28">
                  <c:v>74.73980971300664</c:v>
                </c:pt>
                <c:pt idx="29">
                  <c:v>76.37435701001591</c:v>
                </c:pt>
                <c:pt idx="30">
                  <c:v>77.81871472521268</c:v>
                </c:pt>
                <c:pt idx="31">
                  <c:v>79.10182247743285</c:v>
                </c:pt>
                <c:pt idx="32">
                  <c:v>80.22300399645059</c:v>
                </c:pt>
                <c:pt idx="33">
                  <c:v>81.18579206305105</c:v>
                </c:pt>
                <c:pt idx="34">
                  <c:v>82.03838418414261</c:v>
                </c:pt>
                <c:pt idx="35">
                  <c:v>82.78273631900318</c:v>
                </c:pt>
                <c:pt idx="36">
                  <c:v>83.42953000560803</c:v>
                </c:pt>
                <c:pt idx="37">
                  <c:v>84.00256715846653</c:v>
                </c:pt>
                <c:pt idx="38">
                  <c:v>84.50032140405889</c:v>
                </c:pt>
                <c:pt idx="39">
                  <c:v>84.93107731994128</c:v>
                </c:pt>
                <c:pt idx="40">
                  <c:v>85.3030316098478</c:v>
                </c:pt>
                <c:pt idx="41">
                  <c:v>85.62785277342941</c:v>
                </c:pt>
                <c:pt idx="42">
                  <c:v>85.91386022579303</c:v>
                </c:pt>
                <c:pt idx="43">
                  <c:v>86.16345151837979</c:v>
                </c:pt>
                <c:pt idx="44">
                  <c:v>86.38306899826313</c:v>
                </c:pt>
                <c:pt idx="45">
                  <c:v>86.5791726912736</c:v>
                </c:pt>
                <c:pt idx="46">
                  <c:v>86.75629251893692</c:v>
                </c:pt>
                <c:pt idx="47">
                  <c:v>86.92032434674668</c:v>
                </c:pt>
                <c:pt idx="48">
                  <c:v>87.07513236509239</c:v>
                </c:pt>
                <c:pt idx="49">
                  <c:v>87.21806678843886</c:v>
                </c:pt>
                <c:pt idx="50">
                  <c:v>87.34312380100816</c:v>
                </c:pt>
                <c:pt idx="51">
                  <c:v>87.45520726441503</c:v>
                </c:pt>
                <c:pt idx="52">
                  <c:v>87.55812829304625</c:v>
                </c:pt>
                <c:pt idx="53">
                  <c:v>87.65140030303779</c:v>
                </c:pt>
                <c:pt idx="54">
                  <c:v>87.73526631079285</c:v>
                </c:pt>
                <c:pt idx="55">
                  <c:v>87.81132383230438</c:v>
                </c:pt>
                <c:pt idx="56">
                  <c:v>87.88227249877259</c:v>
                </c:pt>
                <c:pt idx="57">
                  <c:v>87.9482803827666</c:v>
                </c:pt>
                <c:pt idx="58">
                  <c:v>88.00829165791783</c:v>
                </c:pt>
                <c:pt idx="59">
                  <c:v>88.06365145583677</c:v>
                </c:pt>
                <c:pt idx="60">
                  <c:v>88.11633883857007</c:v>
                </c:pt>
                <c:pt idx="61">
                  <c:v>88.16692457912151</c:v>
                </c:pt>
                <c:pt idx="62">
                  <c:v>88.21455985600867</c:v>
                </c:pt>
                <c:pt idx="63">
                  <c:v>88.25815216540356</c:v>
                </c:pt>
                <c:pt idx="64">
                  <c:v>88.2984065942724</c:v>
                </c:pt>
                <c:pt idx="65">
                  <c:v>88.33581957541691</c:v>
                </c:pt>
                <c:pt idx="66">
                  <c:v>88.37042100030445</c:v>
                </c:pt>
                <c:pt idx="67">
                  <c:v>88.4023702900945</c:v>
                </c:pt>
                <c:pt idx="68">
                  <c:v>88.43195522342414</c:v>
                </c:pt>
                <c:pt idx="69">
                  <c:v>88.45943368746307</c:v>
                </c:pt>
                <c:pt idx="70">
                  <c:v>88.48511397460055</c:v>
                </c:pt>
                <c:pt idx="71">
                  <c:v>88.5084099776327</c:v>
                </c:pt>
                <c:pt idx="72">
                  <c:v>88.5298978399409</c:v>
                </c:pt>
                <c:pt idx="73">
                  <c:v>88.55022345166383</c:v>
                </c:pt>
                <c:pt idx="74">
                  <c:v>88.5598696040251</c:v>
                </c:pt>
                <c:pt idx="75">
                  <c:v>88.5598696040251</c:v>
                </c:pt>
                <c:pt idx="76">
                  <c:v>88.5598696040251</c:v>
                </c:pt>
                <c:pt idx="77">
                  <c:v>88.5598696040251</c:v>
                </c:pt>
                <c:pt idx="78">
                  <c:v>88.5598696040251</c:v>
                </c:pt>
                <c:pt idx="79">
                  <c:v>88.5598696040251</c:v>
                </c:pt>
                <c:pt idx="80">
                  <c:v>88.5598696040251</c:v>
                </c:pt>
                <c:pt idx="81">
                  <c:v>88.5598696040251</c:v>
                </c:pt>
                <c:pt idx="82">
                  <c:v>88.5598696040251</c:v>
                </c:pt>
                <c:pt idx="83">
                  <c:v>88.5598696040251</c:v>
                </c:pt>
                <c:pt idx="84">
                  <c:v>88.5598696040251</c:v>
                </c:pt>
                <c:pt idx="85">
                  <c:v>88.5598696040251</c:v>
                </c:pt>
                <c:pt idx="86">
                  <c:v>88.5598696040251</c:v>
                </c:pt>
                <c:pt idx="87">
                  <c:v>88.5598696040251</c:v>
                </c:pt>
                <c:pt idx="88">
                  <c:v>88.5598696040251</c:v>
                </c:pt>
                <c:pt idx="89">
                  <c:v>88.5598696040251</c:v>
                </c:pt>
                <c:pt idx="90">
                  <c:v>88.5598696040251</c:v>
                </c:pt>
                <c:pt idx="91">
                  <c:v>88.5598696040251</c:v>
                </c:pt>
                <c:pt idx="92">
                  <c:v>88.5598696040251</c:v>
                </c:pt>
                <c:pt idx="93">
                  <c:v>88.5598696040251</c:v>
                </c:pt>
                <c:pt idx="94">
                  <c:v>88.5598696040251</c:v>
                </c:pt>
                <c:pt idx="95">
                  <c:v>88.5598696040251</c:v>
                </c:pt>
                <c:pt idx="96">
                  <c:v>88.5598696040251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0.391865063120372</c:v>
                  </c:pt>
                  <c:pt idx="1">
                    <c:v>0.251248024013904</c:v>
                  </c:pt>
                  <c:pt idx="2">
                    <c:v>0.121581320040895</c:v>
                  </c:pt>
                  <c:pt idx="3">
                    <c:v>0.340990955227104</c:v>
                  </c:pt>
                  <c:pt idx="4">
                    <c:v>0.379220730220278</c:v>
                  </c:pt>
                  <c:pt idx="5">
                    <c:v>0.0460476805494602</c:v>
                  </c:pt>
                  <c:pt idx="6">
                    <c:v>0.0401776243905543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0.391865063120372</c:v>
                  </c:pt>
                  <c:pt idx="1">
                    <c:v>0.251248024013904</c:v>
                  </c:pt>
                  <c:pt idx="2">
                    <c:v>0.121581320040895</c:v>
                  </c:pt>
                  <c:pt idx="3">
                    <c:v>0.340990955227104</c:v>
                  </c:pt>
                  <c:pt idx="4">
                    <c:v>0.379220730220278</c:v>
                  </c:pt>
                  <c:pt idx="5">
                    <c:v>0.0460476805494602</c:v>
                  </c:pt>
                  <c:pt idx="6">
                    <c:v>0.0401776243905543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46.12764460641029</c:v>
                </c:pt>
                <c:pt idx="1">
                  <c:v>45.30280409494359</c:v>
                </c:pt>
                <c:pt idx="2">
                  <c:v>39.8015376265782</c:v>
                </c:pt>
                <c:pt idx="3">
                  <c:v>31.61483482906095</c:v>
                </c:pt>
                <c:pt idx="4">
                  <c:v>22.24033100503409</c:v>
                </c:pt>
                <c:pt idx="5">
                  <c:v>13.88337568566223</c:v>
                </c:pt>
                <c:pt idx="6">
                  <c:v>3.839031053580863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0.090967340921292</c:v>
                  </c:pt>
                  <c:pt idx="1">
                    <c:v>0.0733901519307757</c:v>
                  </c:pt>
                  <c:pt idx="2">
                    <c:v>0.0229830200209109</c:v>
                  </c:pt>
                  <c:pt idx="3">
                    <c:v>0.314610863181284</c:v>
                  </c:pt>
                  <c:pt idx="4">
                    <c:v>0.558405435090128</c:v>
                  </c:pt>
                  <c:pt idx="5">
                    <c:v>0.0848696900591336</c:v>
                  </c:pt>
                  <c:pt idx="6">
                    <c:v>0.274864529497258</c:v>
                  </c:pt>
                  <c:pt idx="7">
                    <c:v>0.432692303950493</c:v>
                  </c:pt>
                  <c:pt idx="8">
                    <c:v>0.427114449533726</c:v>
                  </c:pt>
                  <c:pt idx="9">
                    <c:v>0.310747733360216</c:v>
                  </c:pt>
                  <c:pt idx="10">
                    <c:v>0.45644921497499</c:v>
                  </c:pt>
                  <c:pt idx="11">
                    <c:v>0.957874327913563</c:v>
                  </c:pt>
                  <c:pt idx="12">
                    <c:v>0.803250629529942</c:v>
                  </c:pt>
                  <c:pt idx="13">
                    <c:v>0.841821483259209</c:v>
                  </c:pt>
                  <c:pt idx="14">
                    <c:v>0.542023287852922</c:v>
                  </c:pt>
                  <c:pt idx="15">
                    <c:v>0.768287056286385</c:v>
                  </c:pt>
                  <c:pt idx="16">
                    <c:v>0.719178983381602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0.090967340921292</c:v>
                  </c:pt>
                  <c:pt idx="1">
                    <c:v>0.0733901519307757</c:v>
                  </c:pt>
                  <c:pt idx="2">
                    <c:v>0.0229830200209109</c:v>
                  </c:pt>
                  <c:pt idx="3">
                    <c:v>0.314610863181284</c:v>
                  </c:pt>
                  <c:pt idx="4">
                    <c:v>0.558405435090128</c:v>
                  </c:pt>
                  <c:pt idx="5">
                    <c:v>0.0848696900591336</c:v>
                  </c:pt>
                  <c:pt idx="6">
                    <c:v>0.274864529497258</c:v>
                  </c:pt>
                  <c:pt idx="7">
                    <c:v>0.432692303950493</c:v>
                  </c:pt>
                  <c:pt idx="8">
                    <c:v>0.427114449533726</c:v>
                  </c:pt>
                  <c:pt idx="9">
                    <c:v>0.310747733360216</c:v>
                  </c:pt>
                  <c:pt idx="10">
                    <c:v>0.45644921497499</c:v>
                  </c:pt>
                  <c:pt idx="11">
                    <c:v>0.957874327913563</c:v>
                  </c:pt>
                  <c:pt idx="12">
                    <c:v>0.803250629529942</c:v>
                  </c:pt>
                  <c:pt idx="13">
                    <c:v>0.841821483259209</c:v>
                  </c:pt>
                  <c:pt idx="14">
                    <c:v>0.542023287852922</c:v>
                  </c:pt>
                  <c:pt idx="15">
                    <c:v>0.768287056286385</c:v>
                  </c:pt>
                  <c:pt idx="16">
                    <c:v>0.719178983381602</c:v>
                  </c:pt>
                </c:numCache>
              </c:numRef>
            </c:minus>
          </c:errBars>
          <c:xVal>
            <c:numRef>
              <c:f>Metabolites!$E$25:$E$41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2.20595801734133</c:v>
                </c:pt>
                <c:pt idx="1">
                  <c:v>5.403245011901048</c:v>
                </c:pt>
                <c:pt idx="2">
                  <c:v>11.21571377020449</c:v>
                </c:pt>
                <c:pt idx="3">
                  <c:v>19.82788493450537</c:v>
                </c:pt>
                <c:pt idx="4">
                  <c:v>28.48625044679739</c:v>
                </c:pt>
                <c:pt idx="5">
                  <c:v>38.65040889181817</c:v>
                </c:pt>
                <c:pt idx="6">
                  <c:v>48.70311704175837</c:v>
                </c:pt>
                <c:pt idx="7">
                  <c:v>52.95449624625405</c:v>
                </c:pt>
                <c:pt idx="8">
                  <c:v>52.60420549282777</c:v>
                </c:pt>
                <c:pt idx="9">
                  <c:v>52.922729358424</c:v>
                </c:pt>
                <c:pt idx="10">
                  <c:v>52.99263358020377</c:v>
                </c:pt>
                <c:pt idx="11">
                  <c:v>53.06440689882255</c:v>
                </c:pt>
                <c:pt idx="12">
                  <c:v>54.07546862418142</c:v>
                </c:pt>
                <c:pt idx="13">
                  <c:v>54.17699540195961</c:v>
                </c:pt>
                <c:pt idx="14">
                  <c:v>54.5288979407382</c:v>
                </c:pt>
                <c:pt idx="15">
                  <c:v>57.35211603593922</c:v>
                </c:pt>
                <c:pt idx="16">
                  <c:v>55.30576641080977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0.0661831193963158</c:v>
                </c:pt>
                <c:pt idx="1">
                  <c:v>0.509437500621108</c:v>
                </c:pt>
                <c:pt idx="2">
                  <c:v>1.595470526999369</c:v>
                </c:pt>
                <c:pt idx="3">
                  <c:v>3.482739517122466</c:v>
                </c:pt>
                <c:pt idx="4">
                  <c:v>6.819857164792384</c:v>
                </c:pt>
                <c:pt idx="5">
                  <c:v>11.20869724986818</c:v>
                </c:pt>
                <c:pt idx="6">
                  <c:v>16.28274520614706</c:v>
                </c:pt>
                <c:pt idx="7">
                  <c:v>22.48240043774896</c:v>
                </c:pt>
                <c:pt idx="8">
                  <c:v>29.005032323368</c:v>
                </c:pt>
                <c:pt idx="9">
                  <c:v>35.42868473181552</c:v>
                </c:pt>
                <c:pt idx="10">
                  <c:v>42.08489110534736</c:v>
                </c:pt>
                <c:pt idx="11">
                  <c:v>49.09833397756764</c:v>
                </c:pt>
                <c:pt idx="12">
                  <c:v>56.51721610431466</c:v>
                </c:pt>
                <c:pt idx="13">
                  <c:v>63.99980651750363</c:v>
                </c:pt>
                <c:pt idx="14">
                  <c:v>71.43490224926794</c:v>
                </c:pt>
                <c:pt idx="15">
                  <c:v>78.9181930050885</c:v>
                </c:pt>
                <c:pt idx="16">
                  <c:v>87.2215297194701</c:v>
                </c:pt>
                <c:pt idx="17">
                  <c:v>96.37436915938881</c:v>
                </c:pt>
                <c:pt idx="18">
                  <c:v>105.2284885867452</c:v>
                </c:pt>
                <c:pt idx="19">
                  <c:v>113.2261183836025</c:v>
                </c:pt>
                <c:pt idx="20">
                  <c:v>118.2313208445636</c:v>
                </c:pt>
                <c:pt idx="21">
                  <c:v>119.912179778251</c:v>
                </c:pt>
                <c:pt idx="22">
                  <c:v>120.4430553156952</c:v>
                </c:pt>
                <c:pt idx="23">
                  <c:v>120.6580348746769</c:v>
                </c:pt>
                <c:pt idx="24">
                  <c:v>120.7902601595995</c:v>
                </c:pt>
                <c:pt idx="25">
                  <c:v>120.9304198337995</c:v>
                </c:pt>
                <c:pt idx="26">
                  <c:v>121.0901661380045</c:v>
                </c:pt>
                <c:pt idx="27">
                  <c:v>121.2513371185304</c:v>
                </c:pt>
                <c:pt idx="28">
                  <c:v>121.43008028891</c:v>
                </c:pt>
                <c:pt idx="29">
                  <c:v>121.606136980789</c:v>
                </c:pt>
                <c:pt idx="30">
                  <c:v>121.7721154408352</c:v>
                </c:pt>
                <c:pt idx="31">
                  <c:v>121.9353337005544</c:v>
                </c:pt>
                <c:pt idx="32">
                  <c:v>122.095781667334</c:v>
                </c:pt>
                <c:pt idx="33">
                  <c:v>122.247193050646</c:v>
                </c:pt>
                <c:pt idx="34">
                  <c:v>122.3990688594613</c:v>
                </c:pt>
                <c:pt idx="35">
                  <c:v>122.5445245642964</c:v>
                </c:pt>
                <c:pt idx="36">
                  <c:v>122.6751442123523</c:v>
                </c:pt>
                <c:pt idx="37">
                  <c:v>122.7919352814042</c:v>
                </c:pt>
                <c:pt idx="38">
                  <c:v>122.8986369797852</c:v>
                </c:pt>
                <c:pt idx="39">
                  <c:v>123.0015476246946</c:v>
                </c:pt>
                <c:pt idx="40">
                  <c:v>123.1036024097749</c:v>
                </c:pt>
                <c:pt idx="41">
                  <c:v>123.1966685867955</c:v>
                </c:pt>
                <c:pt idx="42">
                  <c:v>123.2817242069951</c:v>
                </c:pt>
                <c:pt idx="43">
                  <c:v>123.3673299485186</c:v>
                </c:pt>
                <c:pt idx="44">
                  <c:v>123.446882275625</c:v>
                </c:pt>
                <c:pt idx="45">
                  <c:v>123.5268625326459</c:v>
                </c:pt>
                <c:pt idx="46">
                  <c:v>123.6141805137911</c:v>
                </c:pt>
                <c:pt idx="47">
                  <c:v>123.7024157104519</c:v>
                </c:pt>
                <c:pt idx="48">
                  <c:v>123.7865275659061</c:v>
                </c:pt>
                <c:pt idx="49">
                  <c:v>123.8647457842815</c:v>
                </c:pt>
                <c:pt idx="50">
                  <c:v>123.9375856804454</c:v>
                </c:pt>
                <c:pt idx="51">
                  <c:v>124.0062777660267</c:v>
                </c:pt>
                <c:pt idx="52">
                  <c:v>124.0703034958204</c:v>
                </c:pt>
                <c:pt idx="53">
                  <c:v>124.1290153771423</c:v>
                </c:pt>
                <c:pt idx="54">
                  <c:v>124.1824784347895</c:v>
                </c:pt>
                <c:pt idx="55">
                  <c:v>124.2333493174692</c:v>
                </c:pt>
                <c:pt idx="56">
                  <c:v>124.2785173050089</c:v>
                </c:pt>
                <c:pt idx="57">
                  <c:v>124.3208341205074</c:v>
                </c:pt>
                <c:pt idx="58">
                  <c:v>124.3611423310406</c:v>
                </c:pt>
                <c:pt idx="59">
                  <c:v>124.3992468622168</c:v>
                </c:pt>
                <c:pt idx="60">
                  <c:v>124.4388221953452</c:v>
                </c:pt>
                <c:pt idx="61">
                  <c:v>124.4720445099821</c:v>
                </c:pt>
                <c:pt idx="62">
                  <c:v>124.505335985269</c:v>
                </c:pt>
                <c:pt idx="63">
                  <c:v>124.5415908185786</c:v>
                </c:pt>
                <c:pt idx="64">
                  <c:v>124.5700568732561</c:v>
                </c:pt>
                <c:pt idx="65">
                  <c:v>124.5968689334042</c:v>
                </c:pt>
                <c:pt idx="66">
                  <c:v>124.6280234618258</c:v>
                </c:pt>
                <c:pt idx="67">
                  <c:v>124.6596603564762</c:v>
                </c:pt>
                <c:pt idx="68">
                  <c:v>124.6859900503956</c:v>
                </c:pt>
                <c:pt idx="69">
                  <c:v>124.7116304822432</c:v>
                </c:pt>
                <c:pt idx="70">
                  <c:v>124.7356163334543</c:v>
                </c:pt>
                <c:pt idx="71">
                  <c:v>124.754915085356</c:v>
                </c:pt>
                <c:pt idx="72">
                  <c:v>124.7756615220513</c:v>
                </c:pt>
                <c:pt idx="73">
                  <c:v>124.7942715979886</c:v>
                </c:pt>
                <c:pt idx="74">
                  <c:v>124.811916355361</c:v>
                </c:pt>
                <c:pt idx="75">
                  <c:v>124.8299057437693</c:v>
                </c:pt>
                <c:pt idx="76">
                  <c:v>124.844587143119</c:v>
                </c:pt>
                <c:pt idx="77">
                  <c:v>124.8570630210605</c:v>
                </c:pt>
                <c:pt idx="78">
                  <c:v>124.8715375245672</c:v>
                </c:pt>
                <c:pt idx="79">
                  <c:v>124.888286124025</c:v>
                </c:pt>
                <c:pt idx="80">
                  <c:v>124.904138565568</c:v>
                </c:pt>
                <c:pt idx="81">
                  <c:v>124.9190954353035</c:v>
                </c:pt>
                <c:pt idx="82">
                  <c:v>124.9329498373885</c:v>
                </c:pt>
                <c:pt idx="83">
                  <c:v>124.9457011857159</c:v>
                </c:pt>
                <c:pt idx="84">
                  <c:v>124.9610026864873</c:v>
                </c:pt>
                <c:pt idx="85">
                  <c:v>124.9763041872586</c:v>
                </c:pt>
                <c:pt idx="86">
                  <c:v>124.9894001666219</c:v>
                </c:pt>
                <c:pt idx="87">
                  <c:v>125.0051154590792</c:v>
                </c:pt>
                <c:pt idx="88">
                  <c:v>125.019452227393</c:v>
                </c:pt>
                <c:pt idx="89">
                  <c:v>125.0257247466888</c:v>
                </c:pt>
                <c:pt idx="90">
                  <c:v>125.0343405225857</c:v>
                </c:pt>
                <c:pt idx="91">
                  <c:v>125.0463334481912</c:v>
                </c:pt>
                <c:pt idx="92">
                  <c:v>125.0572233200391</c:v>
                </c:pt>
                <c:pt idx="93">
                  <c:v>125.0686647187658</c:v>
                </c:pt>
                <c:pt idx="94">
                  <c:v>125.0798998077567</c:v>
                </c:pt>
                <c:pt idx="95">
                  <c:v>125.090514795326</c:v>
                </c:pt>
                <c:pt idx="96">
                  <c:v>125.0974549346664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676520"/>
        <c:axId val="-2106235528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14274.0</c:v>
                </c:pt>
                <c:pt idx="1">
                  <c:v>38781.0</c:v>
                </c:pt>
                <c:pt idx="2">
                  <c:v>8878.0</c:v>
                </c:pt>
                <c:pt idx="3">
                  <c:v>15406.0</c:v>
                </c:pt>
                <c:pt idx="4">
                  <c:v>20910.0</c:v>
                </c:pt>
                <c:pt idx="5">
                  <c:v>25526.0</c:v>
                </c:pt>
                <c:pt idx="6">
                  <c:v>26006.0</c:v>
                </c:pt>
                <c:pt idx="7">
                  <c:v>34650.0</c:v>
                </c:pt>
                <c:pt idx="8">
                  <c:v>29346.0</c:v>
                </c:pt>
                <c:pt idx="9">
                  <c:v>25987.0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0.0164568464267608</c:v>
                  </c:pt>
                  <c:pt idx="1">
                    <c:v>0.00795539004567096</c:v>
                  </c:pt>
                  <c:pt idx="2">
                    <c:v>0.0146979289683547</c:v>
                  </c:pt>
                  <c:pt idx="3">
                    <c:v>0.0136169938444253</c:v>
                  </c:pt>
                  <c:pt idx="4">
                    <c:v>0.0239388561841923</c:v>
                  </c:pt>
                  <c:pt idx="5">
                    <c:v>0.0139491866730562</c:v>
                  </c:pt>
                  <c:pt idx="6">
                    <c:v>0.057403733115031</c:v>
                  </c:pt>
                  <c:pt idx="7">
                    <c:v>0.0183972471923419</c:v>
                  </c:pt>
                  <c:pt idx="8">
                    <c:v>0.0175589394671155</c:v>
                  </c:pt>
                  <c:pt idx="9">
                    <c:v>0.0274238817370757</c:v>
                  </c:pt>
                  <c:pt idx="10">
                    <c:v>0.0268530182096831</c:v>
                  </c:pt>
                  <c:pt idx="11">
                    <c:v>0.0538460736394125</c:v>
                  </c:pt>
                  <c:pt idx="12">
                    <c:v>0.0388499444527581</c:v>
                  </c:pt>
                  <c:pt idx="13">
                    <c:v>0.0287492690461426</c:v>
                  </c:pt>
                  <c:pt idx="14">
                    <c:v>0.0161561160311392</c:v>
                  </c:pt>
                  <c:pt idx="15">
                    <c:v>0.0272081750225698</c:v>
                  </c:pt>
                  <c:pt idx="16">
                    <c:v>0.0415363076404813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0.0164568464267608</c:v>
                  </c:pt>
                  <c:pt idx="1">
                    <c:v>0.00795539004567096</c:v>
                  </c:pt>
                  <c:pt idx="2">
                    <c:v>0.0146979289683547</c:v>
                  </c:pt>
                  <c:pt idx="3">
                    <c:v>0.0136169938444253</c:v>
                  </c:pt>
                  <c:pt idx="4">
                    <c:v>0.0239388561841923</c:v>
                  </c:pt>
                  <c:pt idx="5">
                    <c:v>0.0139491866730562</c:v>
                  </c:pt>
                  <c:pt idx="6">
                    <c:v>0.057403733115031</c:v>
                  </c:pt>
                  <c:pt idx="7">
                    <c:v>0.0183972471923419</c:v>
                  </c:pt>
                  <c:pt idx="8">
                    <c:v>0.0175589394671155</c:v>
                  </c:pt>
                  <c:pt idx="9">
                    <c:v>0.0274238817370757</c:v>
                  </c:pt>
                  <c:pt idx="10">
                    <c:v>0.0268530182096831</c:v>
                  </c:pt>
                  <c:pt idx="11">
                    <c:v>0.0538460736394125</c:v>
                  </c:pt>
                  <c:pt idx="12">
                    <c:v>0.0388499444527581</c:v>
                  </c:pt>
                  <c:pt idx="13">
                    <c:v>0.0287492690461426</c:v>
                  </c:pt>
                  <c:pt idx="14">
                    <c:v>0.0161561160311392</c:v>
                  </c:pt>
                  <c:pt idx="15">
                    <c:v>0.0272081750225698</c:v>
                  </c:pt>
                  <c:pt idx="16">
                    <c:v>0.0415363076404813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8.3154576579648</c:v>
                </c:pt>
                <c:pt idx="1">
                  <c:v>8.76337363784323</c:v>
                </c:pt>
                <c:pt idx="2">
                  <c:v>9.100989052177077</c:v>
                </c:pt>
                <c:pt idx="3">
                  <c:v>9.344935819690975</c:v>
                </c:pt>
                <c:pt idx="4">
                  <c:v>9.471160609871113</c:v>
                </c:pt>
                <c:pt idx="5">
                  <c:v>9.582209933752924</c:v>
                </c:pt>
                <c:pt idx="6">
                  <c:v>9.631956253697444</c:v>
                </c:pt>
                <c:pt idx="7">
                  <c:v>9.705386353469846</c:v>
                </c:pt>
                <c:pt idx="8">
                  <c:v>9.636094974757735</c:v>
                </c:pt>
                <c:pt idx="9">
                  <c:v>9.57603114083819</c:v>
                </c:pt>
                <c:pt idx="10">
                  <c:v>9.554942068553137</c:v>
                </c:pt>
                <c:pt idx="11">
                  <c:v>9.559398306485857</c:v>
                </c:pt>
                <c:pt idx="12">
                  <c:v>9.45639119759464</c:v>
                </c:pt>
                <c:pt idx="13">
                  <c:v>9.41610843955584</c:v>
                </c:pt>
                <c:pt idx="14">
                  <c:v>9.2697391286839</c:v>
                </c:pt>
                <c:pt idx="15">
                  <c:v>9.236547752678536</c:v>
                </c:pt>
                <c:pt idx="16">
                  <c:v>9.35656756992099</c:v>
                </c:pt>
              </c:numCache>
            </c:numRef>
          </c:yVal>
          <c:smooth val="0"/>
        </c:ser>
        <c:ser>
          <c:idx val="5"/>
          <c:order val="9"/>
          <c:tx>
            <c:v>R. intestinalis</c:v>
          </c:tx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RI'!$S$4:$S$20</c:f>
                <c:numCache>
                  <c:formatCode>General</c:formatCode>
                  <c:ptCount val="17"/>
                  <c:pt idx="0">
                    <c:v>0.108612691511909</c:v>
                  </c:pt>
                  <c:pt idx="1">
                    <c:v>0.124997935453925</c:v>
                  </c:pt>
                  <c:pt idx="2">
                    <c:v>0.141869606998562</c:v>
                  </c:pt>
                  <c:pt idx="3">
                    <c:v>0.252134606562166</c:v>
                  </c:pt>
                  <c:pt idx="4">
                    <c:v>0.0224247363646667</c:v>
                  </c:pt>
                  <c:pt idx="5">
                    <c:v>0.08688254706741</c:v>
                  </c:pt>
                  <c:pt idx="6">
                    <c:v>0.0699825025767946</c:v>
                  </c:pt>
                  <c:pt idx="7">
                    <c:v>0.0668714319027267</c:v>
                  </c:pt>
                  <c:pt idx="8">
                    <c:v>0.0313624425776054</c:v>
                  </c:pt>
                  <c:pt idx="9">
                    <c:v>0.0520908951900664</c:v>
                  </c:pt>
                  <c:pt idx="10">
                    <c:v>0.0399659995425057</c:v>
                  </c:pt>
                  <c:pt idx="11">
                    <c:v>0.0349913611632202</c:v>
                  </c:pt>
                  <c:pt idx="12">
                    <c:v>0.111477109716988</c:v>
                  </c:pt>
                  <c:pt idx="13">
                    <c:v>0.019257740217951</c:v>
                  </c:pt>
                  <c:pt idx="14">
                    <c:v>0.0388358775055126</c:v>
                  </c:pt>
                  <c:pt idx="15">
                    <c:v>0.0392619897448888</c:v>
                  </c:pt>
                  <c:pt idx="16">
                    <c:v>0.0545405192537651</c:v>
                  </c:pt>
                </c:numCache>
              </c:numRef>
            </c:plus>
            <c:minus>
              <c:numRef>
                <c:f>'Determination cell counts RI'!$S$4:$S$20</c:f>
                <c:numCache>
                  <c:formatCode>General</c:formatCode>
                  <c:ptCount val="17"/>
                  <c:pt idx="0">
                    <c:v>0.108612691511909</c:v>
                  </c:pt>
                  <c:pt idx="1">
                    <c:v>0.124997935453925</c:v>
                  </c:pt>
                  <c:pt idx="2">
                    <c:v>0.141869606998562</c:v>
                  </c:pt>
                  <c:pt idx="3">
                    <c:v>0.252134606562166</c:v>
                  </c:pt>
                  <c:pt idx="4">
                    <c:v>0.0224247363646667</c:v>
                  </c:pt>
                  <c:pt idx="5">
                    <c:v>0.08688254706741</c:v>
                  </c:pt>
                  <c:pt idx="6">
                    <c:v>0.0699825025767946</c:v>
                  </c:pt>
                  <c:pt idx="7">
                    <c:v>0.0668714319027267</c:v>
                  </c:pt>
                  <c:pt idx="8">
                    <c:v>0.0313624425776054</c:v>
                  </c:pt>
                  <c:pt idx="9">
                    <c:v>0.0520908951900664</c:v>
                  </c:pt>
                  <c:pt idx="10">
                    <c:v>0.0399659995425057</c:v>
                  </c:pt>
                  <c:pt idx="11">
                    <c:v>0.0349913611632202</c:v>
                  </c:pt>
                  <c:pt idx="12">
                    <c:v>0.111477109716988</c:v>
                  </c:pt>
                  <c:pt idx="13">
                    <c:v>0.019257740217951</c:v>
                  </c:pt>
                  <c:pt idx="14">
                    <c:v>0.0388358775055126</c:v>
                  </c:pt>
                  <c:pt idx="15">
                    <c:v>0.0392619897448888</c:v>
                  </c:pt>
                  <c:pt idx="16">
                    <c:v>0.0545405192537651</c:v>
                  </c:pt>
                </c:numCache>
              </c:numRef>
            </c:minus>
          </c:errBars>
          <c:xVal>
            <c:numRef>
              <c:f>'Determination cell counts RI'!$D$4:$D$20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RI'!$R$4:$R$20</c:f>
              <c:numCache>
                <c:formatCode>0.00</c:formatCode>
                <c:ptCount val="17"/>
                <c:pt idx="0">
                  <c:v>8.235709982439021</c:v>
                </c:pt>
                <c:pt idx="1">
                  <c:v>8.797665339400063</c:v>
                </c:pt>
                <c:pt idx="2">
                  <c:v>9.039276612036047</c:v>
                </c:pt>
                <c:pt idx="3">
                  <c:v>9.255781989191317</c:v>
                </c:pt>
                <c:pt idx="4">
                  <c:v>9.56269304084096</c:v>
                </c:pt>
                <c:pt idx="5">
                  <c:v>9.538783402517542</c:v>
                </c:pt>
                <c:pt idx="6">
                  <c:v>9.628271461780642</c:v>
                </c:pt>
                <c:pt idx="7">
                  <c:v>9.744843222112884</c:v>
                </c:pt>
                <c:pt idx="8">
                  <c:v>9.723497701716807</c:v>
                </c:pt>
                <c:pt idx="9">
                  <c:v>9.587620169739397</c:v>
                </c:pt>
                <c:pt idx="10">
                  <c:v>9.440209400161326</c:v>
                </c:pt>
                <c:pt idx="11">
                  <c:v>9.366603745757737</c:v>
                </c:pt>
                <c:pt idx="12">
                  <c:v>9.188182837945436</c:v>
                </c:pt>
                <c:pt idx="13">
                  <c:v>9.214260899680214</c:v>
                </c:pt>
                <c:pt idx="14">
                  <c:v>8.919465975889316</c:v>
                </c:pt>
                <c:pt idx="15">
                  <c:v>8.836673520677068</c:v>
                </c:pt>
                <c:pt idx="16">
                  <c:v>8.42804224583733</c:v>
                </c:pt>
              </c:numCache>
            </c:numRef>
          </c:yVal>
          <c:smooth val="0"/>
        </c:ser>
        <c:ser>
          <c:idx val="7"/>
          <c:order val="10"/>
          <c:tx>
            <c:v>F. praunsitzii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 F. p'!$S$4:$S$20</c:f>
                <c:numCache>
                  <c:formatCode>General</c:formatCode>
                  <c:ptCount val="17"/>
                  <c:pt idx="0">
                    <c:v>0.0733103002094023</c:v>
                  </c:pt>
                  <c:pt idx="1">
                    <c:v>0.0672466018475733</c:v>
                  </c:pt>
                  <c:pt idx="2">
                    <c:v>0.105322083095473</c:v>
                  </c:pt>
                  <c:pt idx="3">
                    <c:v>0.27755453939368</c:v>
                  </c:pt>
                  <c:pt idx="4">
                    <c:v>0.224606861533615</c:v>
                  </c:pt>
                  <c:pt idx="5">
                    <c:v>0.12047847117521</c:v>
                  </c:pt>
                  <c:pt idx="6">
                    <c:v>0.158593776296917</c:v>
                  </c:pt>
                  <c:pt idx="7">
                    <c:v>0.221346225852168</c:v>
                  </c:pt>
                  <c:pt idx="8">
                    <c:v>0.0994444720884912</c:v>
                  </c:pt>
                  <c:pt idx="9">
                    <c:v>0.0076120015152644</c:v>
                  </c:pt>
                  <c:pt idx="10">
                    <c:v>0.0421691451318761</c:v>
                  </c:pt>
                  <c:pt idx="11">
                    <c:v>0.0402218137742654</c:v>
                  </c:pt>
                  <c:pt idx="12">
                    <c:v>0.0659470676968375</c:v>
                  </c:pt>
                  <c:pt idx="13">
                    <c:v>0.0113586388972634</c:v>
                  </c:pt>
                  <c:pt idx="14">
                    <c:v>0.0514110378879725</c:v>
                  </c:pt>
                  <c:pt idx="15">
                    <c:v>0.0231137773440794</c:v>
                  </c:pt>
                  <c:pt idx="16">
                    <c:v>0.121135823660348</c:v>
                  </c:pt>
                </c:numCache>
              </c:numRef>
            </c:plus>
            <c:minus>
              <c:numRef>
                <c:f>'Determination cell count F. p'!$S$4:$S$20</c:f>
                <c:numCache>
                  <c:formatCode>General</c:formatCode>
                  <c:ptCount val="17"/>
                  <c:pt idx="0">
                    <c:v>0.0733103002094023</c:v>
                  </c:pt>
                  <c:pt idx="1">
                    <c:v>0.0672466018475733</c:v>
                  </c:pt>
                  <c:pt idx="2">
                    <c:v>0.105322083095473</c:v>
                  </c:pt>
                  <c:pt idx="3">
                    <c:v>0.27755453939368</c:v>
                  </c:pt>
                  <c:pt idx="4">
                    <c:v>0.224606861533615</c:v>
                  </c:pt>
                  <c:pt idx="5">
                    <c:v>0.12047847117521</c:v>
                  </c:pt>
                  <c:pt idx="6">
                    <c:v>0.158593776296917</c:v>
                  </c:pt>
                  <c:pt idx="7">
                    <c:v>0.221346225852168</c:v>
                  </c:pt>
                  <c:pt idx="8">
                    <c:v>0.0994444720884912</c:v>
                  </c:pt>
                  <c:pt idx="9">
                    <c:v>0.0076120015152644</c:v>
                  </c:pt>
                  <c:pt idx="10">
                    <c:v>0.0421691451318761</c:v>
                  </c:pt>
                  <c:pt idx="11">
                    <c:v>0.0402218137742654</c:v>
                  </c:pt>
                  <c:pt idx="12">
                    <c:v>0.0659470676968375</c:v>
                  </c:pt>
                  <c:pt idx="13">
                    <c:v>0.0113586388972634</c:v>
                  </c:pt>
                  <c:pt idx="14">
                    <c:v>0.0514110378879725</c:v>
                  </c:pt>
                  <c:pt idx="15">
                    <c:v>0.0231137773440794</c:v>
                  </c:pt>
                  <c:pt idx="16">
                    <c:v>0.121135823660348</c:v>
                  </c:pt>
                </c:numCache>
              </c:numRef>
            </c:minus>
          </c:errBars>
          <c:xVal>
            <c:numRef>
              <c:f>'Determination cell count F. p'!$D$4:$D$20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 F. p'!$R$4:$R$20</c:f>
              <c:numCache>
                <c:formatCode>0.00</c:formatCode>
                <c:ptCount val="17"/>
                <c:pt idx="0">
                  <c:v>6.877577216412138</c:v>
                </c:pt>
                <c:pt idx="1">
                  <c:v>7.181724755335377</c:v>
                </c:pt>
                <c:pt idx="2">
                  <c:v>7.285178329712602</c:v>
                </c:pt>
                <c:pt idx="3">
                  <c:v>7.060822915753394</c:v>
                </c:pt>
                <c:pt idx="4">
                  <c:v>7.61243624202399</c:v>
                </c:pt>
                <c:pt idx="5">
                  <c:v>7.573059682310891</c:v>
                </c:pt>
                <c:pt idx="6">
                  <c:v>7.632984774170291</c:v>
                </c:pt>
                <c:pt idx="7">
                  <c:v>7.770833199997218</c:v>
                </c:pt>
                <c:pt idx="8">
                  <c:v>7.840147885886817</c:v>
                </c:pt>
                <c:pt idx="9">
                  <c:v>7.767149538047977</c:v>
                </c:pt>
                <c:pt idx="10">
                  <c:v>7.761826277286571</c:v>
                </c:pt>
                <c:pt idx="11">
                  <c:v>7.735008322504294</c:v>
                </c:pt>
                <c:pt idx="12">
                  <c:v>7.689328635280295</c:v>
                </c:pt>
                <c:pt idx="13">
                  <c:v>7.727261275476963</c:v>
                </c:pt>
                <c:pt idx="14">
                  <c:v>7.493937028274218</c:v>
                </c:pt>
                <c:pt idx="15">
                  <c:v>7.596503599098707</c:v>
                </c:pt>
                <c:pt idx="16">
                  <c:v>6.847840806776736</c:v>
                </c:pt>
              </c:numCache>
            </c:numRef>
          </c:yVal>
          <c:smooth val="0"/>
        </c:ser>
        <c:ser>
          <c:idx val="11"/>
          <c:order val="11"/>
          <c:tx>
            <c:v>qPCR Total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'Total cell count'!$K$5:$K$21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'Total cell count'!$P$5:$P$21</c:f>
              <c:numCache>
                <c:formatCode>0.00</c:formatCode>
                <c:ptCount val="17"/>
                <c:pt idx="0">
                  <c:v>8.25434377838462</c:v>
                </c:pt>
                <c:pt idx="1">
                  <c:v>8.808055878941223</c:v>
                </c:pt>
                <c:pt idx="2">
                  <c:v>9.046860442152855</c:v>
                </c:pt>
                <c:pt idx="3">
                  <c:v>9.258545383178168</c:v>
                </c:pt>
                <c:pt idx="4">
                  <c:v>9.56753592210937</c:v>
                </c:pt>
                <c:pt idx="5">
                  <c:v>9.543457753502513</c:v>
                </c:pt>
                <c:pt idx="6">
                  <c:v>9.63263975363767</c:v>
                </c:pt>
                <c:pt idx="7">
                  <c:v>9.74942969714336</c:v>
                </c:pt>
                <c:pt idx="8">
                  <c:v>9.729141991388273</c:v>
                </c:pt>
                <c:pt idx="9">
                  <c:v>9.594137220138845</c:v>
                </c:pt>
                <c:pt idx="10">
                  <c:v>9.449222760093484</c:v>
                </c:pt>
                <c:pt idx="11">
                  <c:v>9.376630625413754</c:v>
                </c:pt>
                <c:pt idx="12">
                  <c:v>9.201738927620704</c:v>
                </c:pt>
                <c:pt idx="13">
                  <c:v>9.228186164109784</c:v>
                </c:pt>
                <c:pt idx="14">
                  <c:v>8.935469984864344</c:v>
                </c:pt>
                <c:pt idx="15">
                  <c:v>8.86096271950182</c:v>
                </c:pt>
                <c:pt idx="16">
                  <c:v>8.439312547358543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317208"/>
        <c:axId val="-2095001256"/>
      </c:scatterChart>
      <c:valAx>
        <c:axId val="-211067652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06235528"/>
        <c:crosses val="autoZero"/>
        <c:crossBetween val="midCat"/>
        <c:majorUnit val="6.0"/>
      </c:valAx>
      <c:valAx>
        <c:axId val="-2106235528"/>
        <c:scaling>
          <c:orientation val="minMax"/>
          <c:max val="14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0676520"/>
        <c:crosses val="autoZero"/>
        <c:crossBetween val="midCat"/>
      </c:valAx>
      <c:valAx>
        <c:axId val="-2095001256"/>
        <c:scaling>
          <c:orientation val="minMax"/>
          <c:max val="12.0"/>
          <c:min val="5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11317208"/>
        <c:crosses val="max"/>
        <c:crossBetween val="midCat"/>
        <c:majorUnit val="1.0"/>
        <c:minorUnit val="0.2"/>
      </c:valAx>
      <c:valAx>
        <c:axId val="-2111317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9500125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0.0222444838159831</c:v>
                  </c:pt>
                  <c:pt idx="1">
                    <c:v>0.0257859869923698</c:v>
                  </c:pt>
                  <c:pt idx="2">
                    <c:v>0.0224803940280024</c:v>
                  </c:pt>
                  <c:pt idx="3">
                    <c:v>0.0130860318310029</c:v>
                  </c:pt>
                  <c:pt idx="4">
                    <c:v>0.045714966094623</c:v>
                  </c:pt>
                  <c:pt idx="5">
                    <c:v>0.0132928203803944</c:v>
                  </c:pt>
                  <c:pt idx="6">
                    <c:v>0.0</c:v>
                  </c:pt>
                  <c:pt idx="7">
                    <c:v>0.0232862628073917</c:v>
                  </c:pt>
                  <c:pt idx="8">
                    <c:v>0.0750343700767797</c:v>
                  </c:pt>
                  <c:pt idx="9">
                    <c:v>0.0357149324945123</c:v>
                  </c:pt>
                  <c:pt idx="10">
                    <c:v>0.0357459619753937</c:v>
                  </c:pt>
                  <c:pt idx="11">
                    <c:v>0.107237885926181</c:v>
                  </c:pt>
                  <c:pt idx="12">
                    <c:v>0.0823376096623816</c:v>
                  </c:pt>
                  <c:pt idx="13">
                    <c:v>0.137513642835741</c:v>
                  </c:pt>
                  <c:pt idx="14">
                    <c:v>0.023468633455955</c:v>
                  </c:pt>
                  <c:pt idx="15">
                    <c:v>0.0977077126383893</c:v>
                  </c:pt>
                  <c:pt idx="16">
                    <c:v>0.0889554657541555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0.0222444838159831</c:v>
                  </c:pt>
                  <c:pt idx="1">
                    <c:v>0.0257859869923698</c:v>
                  </c:pt>
                  <c:pt idx="2">
                    <c:v>0.0224803940280024</c:v>
                  </c:pt>
                  <c:pt idx="3">
                    <c:v>0.0130860318310029</c:v>
                  </c:pt>
                  <c:pt idx="4">
                    <c:v>0.045714966094623</c:v>
                  </c:pt>
                  <c:pt idx="5">
                    <c:v>0.0132928203803944</c:v>
                  </c:pt>
                  <c:pt idx="6">
                    <c:v>0.0</c:v>
                  </c:pt>
                  <c:pt idx="7">
                    <c:v>0.0232862628073917</c:v>
                  </c:pt>
                  <c:pt idx="8">
                    <c:v>0.0750343700767797</c:v>
                  </c:pt>
                  <c:pt idx="9">
                    <c:v>0.0357149324945123</c:v>
                  </c:pt>
                  <c:pt idx="10">
                    <c:v>0.0357459619753937</c:v>
                  </c:pt>
                  <c:pt idx="11">
                    <c:v>0.107237885926181</c:v>
                  </c:pt>
                  <c:pt idx="12">
                    <c:v>0.0823376096623816</c:v>
                  </c:pt>
                  <c:pt idx="13">
                    <c:v>0.137513642835741</c:v>
                  </c:pt>
                  <c:pt idx="14">
                    <c:v>0.023468633455955</c:v>
                  </c:pt>
                  <c:pt idx="15">
                    <c:v>0.0977077126383893</c:v>
                  </c:pt>
                  <c:pt idx="16">
                    <c:v>0.0889554657541555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1.490380415670868</c:v>
                </c:pt>
                <c:pt idx="1">
                  <c:v>1.592967478856051</c:v>
                </c:pt>
                <c:pt idx="2">
                  <c:v>1.641068764044173</c:v>
                </c:pt>
                <c:pt idx="3">
                  <c:v>2.364785112079359</c:v>
                </c:pt>
                <c:pt idx="4">
                  <c:v>3.131475177481676</c:v>
                </c:pt>
                <c:pt idx="5">
                  <c:v>4.036846661502671</c:v>
                </c:pt>
                <c:pt idx="6">
                  <c:v>5.77594400206426</c:v>
                </c:pt>
                <c:pt idx="7">
                  <c:v>6.98587884221751</c:v>
                </c:pt>
                <c:pt idx="8">
                  <c:v>7.243833302637043</c:v>
                </c:pt>
                <c:pt idx="9">
                  <c:v>7.419542632367443</c:v>
                </c:pt>
                <c:pt idx="10">
                  <c:v>7.45719043683046</c:v>
                </c:pt>
                <c:pt idx="11">
                  <c:v>7.464990845237187</c:v>
                </c:pt>
                <c:pt idx="12">
                  <c:v>7.557240434364517</c:v>
                </c:pt>
                <c:pt idx="13">
                  <c:v>7.58819148409212</c:v>
                </c:pt>
                <c:pt idx="14">
                  <c:v>7.674243140097288</c:v>
                </c:pt>
                <c:pt idx="15">
                  <c:v>8.10450142012313</c:v>
                </c:pt>
                <c:pt idx="16">
                  <c:v>8.06705480592407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0.448928301883785</c:v>
                  </c:pt>
                  <c:pt idx="1">
                    <c:v>0.252910688898693</c:v>
                  </c:pt>
                  <c:pt idx="2">
                    <c:v>0.173050238894204</c:v>
                  </c:pt>
                  <c:pt idx="3">
                    <c:v>0.544360379319867</c:v>
                  </c:pt>
                  <c:pt idx="4">
                    <c:v>0.724391646090107</c:v>
                  </c:pt>
                  <c:pt idx="5">
                    <c:v>0.0527571737748816</c:v>
                  </c:pt>
                  <c:pt idx="6">
                    <c:v>0.0724352630406449</c:v>
                  </c:pt>
                  <c:pt idx="7">
                    <c:v>0.402847785689786</c:v>
                  </c:pt>
                  <c:pt idx="8">
                    <c:v>0.199104294246755</c:v>
                  </c:pt>
                  <c:pt idx="9">
                    <c:v>0.0535753725080045</c:v>
                  </c:pt>
                  <c:pt idx="10">
                    <c:v>0.180138640351446</c:v>
                  </c:pt>
                  <c:pt idx="11">
                    <c:v>0.404836612914321</c:v>
                  </c:pt>
                  <c:pt idx="12">
                    <c:v>0.352286504491294</c:v>
                  </c:pt>
                  <c:pt idx="13">
                    <c:v>0.588037834257192</c:v>
                  </c:pt>
                  <c:pt idx="14">
                    <c:v>0.193893493904895</c:v>
                  </c:pt>
                  <c:pt idx="15">
                    <c:v>0.48569160233661</c:v>
                  </c:pt>
                  <c:pt idx="16">
                    <c:v>0.299766876578231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0.448928301883785</c:v>
                  </c:pt>
                  <c:pt idx="1">
                    <c:v>0.252910688898693</c:v>
                  </c:pt>
                  <c:pt idx="2">
                    <c:v>0.173050238894204</c:v>
                  </c:pt>
                  <c:pt idx="3">
                    <c:v>0.544360379319867</c:v>
                  </c:pt>
                  <c:pt idx="4">
                    <c:v>0.724391646090107</c:v>
                  </c:pt>
                  <c:pt idx="5">
                    <c:v>0.0527571737748816</c:v>
                  </c:pt>
                  <c:pt idx="6">
                    <c:v>0.0724352630406449</c:v>
                  </c:pt>
                  <c:pt idx="7">
                    <c:v>0.402847785689786</c:v>
                  </c:pt>
                  <c:pt idx="8">
                    <c:v>0.199104294246755</c:v>
                  </c:pt>
                  <c:pt idx="9">
                    <c:v>0.0535753725080045</c:v>
                  </c:pt>
                  <c:pt idx="10">
                    <c:v>0.180138640351446</c:v>
                  </c:pt>
                  <c:pt idx="11">
                    <c:v>0.404836612914321</c:v>
                  </c:pt>
                  <c:pt idx="12">
                    <c:v>0.352286504491294</c:v>
                  </c:pt>
                  <c:pt idx="13">
                    <c:v>0.588037834257192</c:v>
                  </c:pt>
                  <c:pt idx="14">
                    <c:v>0.193893493904895</c:v>
                  </c:pt>
                  <c:pt idx="15">
                    <c:v>0.48569160233661</c:v>
                  </c:pt>
                  <c:pt idx="16">
                    <c:v>0.299766876578231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47.04969482136052</c:v>
                </c:pt>
                <c:pt idx="1">
                  <c:v>47.0993677596862</c:v>
                </c:pt>
                <c:pt idx="2">
                  <c:v>44.82839394638526</c:v>
                </c:pt>
                <c:pt idx="3">
                  <c:v>40.75514042102332</c:v>
                </c:pt>
                <c:pt idx="4">
                  <c:v>35.81966414917738</c:v>
                </c:pt>
                <c:pt idx="5">
                  <c:v>32.64961776632602</c:v>
                </c:pt>
                <c:pt idx="6">
                  <c:v>29.14809837694488</c:v>
                </c:pt>
                <c:pt idx="7">
                  <c:v>28.25944849184154</c:v>
                </c:pt>
                <c:pt idx="8">
                  <c:v>28.14046974650778</c:v>
                </c:pt>
                <c:pt idx="9">
                  <c:v>28.36262014121981</c:v>
                </c:pt>
                <c:pt idx="10">
                  <c:v>28.12983409532241</c:v>
                </c:pt>
                <c:pt idx="11">
                  <c:v>28.29365176476272</c:v>
                </c:pt>
                <c:pt idx="12">
                  <c:v>28.35880978423457</c:v>
                </c:pt>
                <c:pt idx="13">
                  <c:v>28.1287185157074</c:v>
                </c:pt>
                <c:pt idx="14">
                  <c:v>27.51850017494111</c:v>
                </c:pt>
                <c:pt idx="15">
                  <c:v>28.53944239891548</c:v>
                </c:pt>
                <c:pt idx="16">
                  <c:v>27.05746382547434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0.0252313894011806</c:v>
                  </c:pt>
                  <c:pt idx="2">
                    <c:v>0.0253998232423099</c:v>
                  </c:pt>
                  <c:pt idx="3">
                    <c:v>0.0256091624448563</c:v>
                  </c:pt>
                  <c:pt idx="4">
                    <c:v>0.0683288641838191</c:v>
                  </c:pt>
                  <c:pt idx="5">
                    <c:v>0.045057300281288</c:v>
                  </c:pt>
                  <c:pt idx="6">
                    <c:v>0.0262089970678625</c:v>
                  </c:pt>
                  <c:pt idx="7">
                    <c:v>0.0263103466311566</c:v>
                  </c:pt>
                  <c:pt idx="8">
                    <c:v>0.0263734409875859</c:v>
                  </c:pt>
                  <c:pt idx="9">
                    <c:v>0.0264172871072664</c:v>
                  </c:pt>
                  <c:pt idx="10">
                    <c:v>0.0528804774067261</c:v>
                  </c:pt>
                  <c:pt idx="11">
                    <c:v>0.0699542962142835</c:v>
                  </c:pt>
                  <c:pt idx="12">
                    <c:v>0.0700864100881537</c:v>
                  </c:pt>
                  <c:pt idx="13">
                    <c:v>0.095606243259463</c:v>
                  </c:pt>
                  <c:pt idx="14">
                    <c:v>0.0530328018963811</c:v>
                  </c:pt>
                  <c:pt idx="15">
                    <c:v>0.0795492028445717</c:v>
                  </c:pt>
                  <c:pt idx="16">
                    <c:v>0.0702384360275395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0.0252313894011806</c:v>
                  </c:pt>
                  <c:pt idx="2">
                    <c:v>0.0253998232423099</c:v>
                  </c:pt>
                  <c:pt idx="3">
                    <c:v>0.0256091624448563</c:v>
                  </c:pt>
                  <c:pt idx="4">
                    <c:v>0.0683288641838191</c:v>
                  </c:pt>
                  <c:pt idx="5">
                    <c:v>0.045057300281288</c:v>
                  </c:pt>
                  <c:pt idx="6">
                    <c:v>0.0262089970678625</c:v>
                  </c:pt>
                  <c:pt idx="7">
                    <c:v>0.0263103466311566</c:v>
                  </c:pt>
                  <c:pt idx="8">
                    <c:v>0.0263734409875859</c:v>
                  </c:pt>
                  <c:pt idx="9">
                    <c:v>0.0264172871072664</c:v>
                  </c:pt>
                  <c:pt idx="10">
                    <c:v>0.0528804774067261</c:v>
                  </c:pt>
                  <c:pt idx="11">
                    <c:v>0.0699542962142835</c:v>
                  </c:pt>
                  <c:pt idx="12">
                    <c:v>0.0700864100881537</c:v>
                  </c:pt>
                  <c:pt idx="13">
                    <c:v>0.095606243259463</c:v>
                  </c:pt>
                  <c:pt idx="14">
                    <c:v>0.0530328018963811</c:v>
                  </c:pt>
                  <c:pt idx="15">
                    <c:v>0.0795492028445717</c:v>
                  </c:pt>
                  <c:pt idx="16">
                    <c:v>0.0702384360275395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0.0</c:v>
                </c:pt>
                <c:pt idx="1">
                  <c:v>0.0145673494627999</c:v>
                </c:pt>
                <c:pt idx="2">
                  <c:v>0.322621085298964</c:v>
                </c:pt>
                <c:pt idx="3">
                  <c:v>1.567258424113425</c:v>
                </c:pt>
                <c:pt idx="4">
                  <c:v>2.922473794545273</c:v>
                </c:pt>
                <c:pt idx="5">
                  <c:v>4.055157025315917</c:v>
                </c:pt>
                <c:pt idx="6">
                  <c:v>4.887562198479526</c:v>
                </c:pt>
                <c:pt idx="7">
                  <c:v>5.316599998489721</c:v>
                </c:pt>
                <c:pt idx="8">
                  <c:v>5.375029778534786</c:v>
                </c:pt>
                <c:pt idx="9">
                  <c:v>5.475477988327707</c:v>
                </c:pt>
                <c:pt idx="10">
                  <c:v>5.602357368346626</c:v>
                </c:pt>
                <c:pt idx="11">
                  <c:v>5.663418484077925</c:v>
                </c:pt>
                <c:pt idx="12">
                  <c:v>5.765878920956601</c:v>
                </c:pt>
                <c:pt idx="13">
                  <c:v>5.725659958291315</c:v>
                </c:pt>
                <c:pt idx="14">
                  <c:v>5.710350707065938</c:v>
                </c:pt>
                <c:pt idx="15">
                  <c:v>5.970607977897361</c:v>
                </c:pt>
                <c:pt idx="16">
                  <c:v>5.732403962953613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0.090148247994278</c:v>
                </c:pt>
                <c:pt idx="1">
                  <c:v>0.305610394928973</c:v>
                </c:pt>
                <c:pt idx="2">
                  <c:v>0.600095142234508</c:v>
                </c:pt>
                <c:pt idx="3">
                  <c:v>0.995557354895065</c:v>
                </c:pt>
                <c:pt idx="4">
                  <c:v>1.57264201881384</c:v>
                </c:pt>
                <c:pt idx="5">
                  <c:v>2.39082424975729</c:v>
                </c:pt>
                <c:pt idx="6">
                  <c:v>3.477857147423138</c:v>
                </c:pt>
                <c:pt idx="7">
                  <c:v>4.955347256422643</c:v>
                </c:pt>
                <c:pt idx="8">
                  <c:v>6.870598028152135</c:v>
                </c:pt>
                <c:pt idx="9">
                  <c:v>9.16656624326121</c:v>
                </c:pt>
                <c:pt idx="10">
                  <c:v>11.8349826199126</c:v>
                </c:pt>
                <c:pt idx="11">
                  <c:v>14.82898891448946</c:v>
                </c:pt>
                <c:pt idx="12">
                  <c:v>18.16983044517485</c:v>
                </c:pt>
                <c:pt idx="13">
                  <c:v>21.82837661892225</c:v>
                </c:pt>
                <c:pt idx="14">
                  <c:v>25.71063103126266</c:v>
                </c:pt>
                <c:pt idx="15">
                  <c:v>29.87250865009783</c:v>
                </c:pt>
                <c:pt idx="16">
                  <c:v>34.25856922955292</c:v>
                </c:pt>
                <c:pt idx="17">
                  <c:v>38.78661705129002</c:v>
                </c:pt>
                <c:pt idx="18">
                  <c:v>43.58126767434203</c:v>
                </c:pt>
                <c:pt idx="19">
                  <c:v>48.41522535701669</c:v>
                </c:pt>
                <c:pt idx="20">
                  <c:v>52.82273765847077</c:v>
                </c:pt>
                <c:pt idx="21">
                  <c:v>56.72715828397183</c:v>
                </c:pt>
                <c:pt idx="22">
                  <c:v>60.19107285759665</c:v>
                </c:pt>
                <c:pt idx="23">
                  <c:v>63.29305815318124</c:v>
                </c:pt>
                <c:pt idx="24">
                  <c:v>66.1091237294626</c:v>
                </c:pt>
                <c:pt idx="25">
                  <c:v>68.62589094426954</c:v>
                </c:pt>
                <c:pt idx="26">
                  <c:v>70.88504651724996</c:v>
                </c:pt>
                <c:pt idx="27">
                  <c:v>72.91931588088723</c:v>
                </c:pt>
                <c:pt idx="28">
                  <c:v>74.73980971300664</c:v>
                </c:pt>
                <c:pt idx="29">
                  <c:v>76.37435701001591</c:v>
                </c:pt>
                <c:pt idx="30">
                  <c:v>77.81871472521268</c:v>
                </c:pt>
                <c:pt idx="31">
                  <c:v>79.10182247743285</c:v>
                </c:pt>
                <c:pt idx="32">
                  <c:v>80.22300399645059</c:v>
                </c:pt>
                <c:pt idx="33">
                  <c:v>81.18579206305105</c:v>
                </c:pt>
                <c:pt idx="34">
                  <c:v>82.03838418414261</c:v>
                </c:pt>
                <c:pt idx="35">
                  <c:v>82.78273631900318</c:v>
                </c:pt>
                <c:pt idx="36">
                  <c:v>83.42953000560803</c:v>
                </c:pt>
                <c:pt idx="37">
                  <c:v>84.00256715846653</c:v>
                </c:pt>
                <c:pt idx="38">
                  <c:v>84.50032140405889</c:v>
                </c:pt>
                <c:pt idx="39">
                  <c:v>84.93107731994128</c:v>
                </c:pt>
                <c:pt idx="40">
                  <c:v>85.3030316098478</c:v>
                </c:pt>
                <c:pt idx="41">
                  <c:v>85.62785277342941</c:v>
                </c:pt>
                <c:pt idx="42">
                  <c:v>85.91386022579303</c:v>
                </c:pt>
                <c:pt idx="43">
                  <c:v>86.16345151837979</c:v>
                </c:pt>
                <c:pt idx="44">
                  <c:v>86.38306899826313</c:v>
                </c:pt>
                <c:pt idx="45">
                  <c:v>86.5791726912736</c:v>
                </c:pt>
                <c:pt idx="46">
                  <c:v>86.75629251893692</c:v>
                </c:pt>
                <c:pt idx="47">
                  <c:v>86.92032434674668</c:v>
                </c:pt>
                <c:pt idx="48">
                  <c:v>87.07513236509239</c:v>
                </c:pt>
                <c:pt idx="49">
                  <c:v>87.21806678843886</c:v>
                </c:pt>
                <c:pt idx="50">
                  <c:v>87.34312380100816</c:v>
                </c:pt>
                <c:pt idx="51">
                  <c:v>87.45520726441503</c:v>
                </c:pt>
                <c:pt idx="52">
                  <c:v>87.55812829304625</c:v>
                </c:pt>
                <c:pt idx="53">
                  <c:v>87.65140030303779</c:v>
                </c:pt>
                <c:pt idx="54">
                  <c:v>87.73526631079285</c:v>
                </c:pt>
                <c:pt idx="55">
                  <c:v>87.81132383230438</c:v>
                </c:pt>
                <c:pt idx="56">
                  <c:v>87.88227249877259</c:v>
                </c:pt>
                <c:pt idx="57">
                  <c:v>87.9482803827666</c:v>
                </c:pt>
                <c:pt idx="58">
                  <c:v>88.00829165791783</c:v>
                </c:pt>
                <c:pt idx="59">
                  <c:v>88.06365145583677</c:v>
                </c:pt>
                <c:pt idx="60">
                  <c:v>88.11633883857007</c:v>
                </c:pt>
                <c:pt idx="61">
                  <c:v>88.16692457912151</c:v>
                </c:pt>
                <c:pt idx="62">
                  <c:v>88.21455985600867</c:v>
                </c:pt>
                <c:pt idx="63">
                  <c:v>88.25815216540356</c:v>
                </c:pt>
                <c:pt idx="64">
                  <c:v>88.2984065942724</c:v>
                </c:pt>
                <c:pt idx="65">
                  <c:v>88.33581957541691</c:v>
                </c:pt>
                <c:pt idx="66">
                  <c:v>88.37042100030445</c:v>
                </c:pt>
                <c:pt idx="67">
                  <c:v>88.4023702900945</c:v>
                </c:pt>
                <c:pt idx="68">
                  <c:v>88.43195522342414</c:v>
                </c:pt>
                <c:pt idx="69">
                  <c:v>88.45943368746307</c:v>
                </c:pt>
                <c:pt idx="70">
                  <c:v>88.48511397460055</c:v>
                </c:pt>
                <c:pt idx="71">
                  <c:v>88.5084099776327</c:v>
                </c:pt>
                <c:pt idx="72">
                  <c:v>88.5298978399409</c:v>
                </c:pt>
                <c:pt idx="73">
                  <c:v>88.55022345166383</c:v>
                </c:pt>
                <c:pt idx="74">
                  <c:v>88.5598696040251</c:v>
                </c:pt>
                <c:pt idx="75">
                  <c:v>88.5598696040251</c:v>
                </c:pt>
                <c:pt idx="76">
                  <c:v>88.5598696040251</c:v>
                </c:pt>
                <c:pt idx="77">
                  <c:v>88.5598696040251</c:v>
                </c:pt>
                <c:pt idx="78">
                  <c:v>88.5598696040251</c:v>
                </c:pt>
                <c:pt idx="79">
                  <c:v>88.5598696040251</c:v>
                </c:pt>
                <c:pt idx="80">
                  <c:v>88.5598696040251</c:v>
                </c:pt>
                <c:pt idx="81">
                  <c:v>88.5598696040251</c:v>
                </c:pt>
                <c:pt idx="82">
                  <c:v>88.5598696040251</c:v>
                </c:pt>
                <c:pt idx="83">
                  <c:v>88.5598696040251</c:v>
                </c:pt>
                <c:pt idx="84">
                  <c:v>88.5598696040251</c:v>
                </c:pt>
                <c:pt idx="85">
                  <c:v>88.5598696040251</c:v>
                </c:pt>
                <c:pt idx="86">
                  <c:v>88.5598696040251</c:v>
                </c:pt>
                <c:pt idx="87">
                  <c:v>88.5598696040251</c:v>
                </c:pt>
                <c:pt idx="88">
                  <c:v>88.5598696040251</c:v>
                </c:pt>
                <c:pt idx="89">
                  <c:v>88.5598696040251</c:v>
                </c:pt>
                <c:pt idx="90">
                  <c:v>88.5598696040251</c:v>
                </c:pt>
                <c:pt idx="91">
                  <c:v>88.5598696040251</c:v>
                </c:pt>
                <c:pt idx="92">
                  <c:v>88.5598696040251</c:v>
                </c:pt>
                <c:pt idx="93">
                  <c:v>88.5598696040251</c:v>
                </c:pt>
                <c:pt idx="94">
                  <c:v>88.5598696040251</c:v>
                </c:pt>
                <c:pt idx="95">
                  <c:v>88.5598696040251</c:v>
                </c:pt>
                <c:pt idx="96">
                  <c:v>88.5598696040251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0.391865063120372</c:v>
                  </c:pt>
                  <c:pt idx="1">
                    <c:v>0.251248024013904</c:v>
                  </c:pt>
                  <c:pt idx="2">
                    <c:v>0.121581320040895</c:v>
                  </c:pt>
                  <c:pt idx="3">
                    <c:v>0.340990955227104</c:v>
                  </c:pt>
                  <c:pt idx="4">
                    <c:v>0.379220730220278</c:v>
                  </c:pt>
                  <c:pt idx="5">
                    <c:v>0.0460476805494602</c:v>
                  </c:pt>
                  <c:pt idx="6">
                    <c:v>0.0401776243905543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0.391865063120372</c:v>
                  </c:pt>
                  <c:pt idx="1">
                    <c:v>0.251248024013904</c:v>
                  </c:pt>
                  <c:pt idx="2">
                    <c:v>0.121581320040895</c:v>
                  </c:pt>
                  <c:pt idx="3">
                    <c:v>0.340990955227104</c:v>
                  </c:pt>
                  <c:pt idx="4">
                    <c:v>0.379220730220278</c:v>
                  </c:pt>
                  <c:pt idx="5">
                    <c:v>0.0460476805494602</c:v>
                  </c:pt>
                  <c:pt idx="6">
                    <c:v>0.0401776243905543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46.12764460641029</c:v>
                </c:pt>
                <c:pt idx="1">
                  <c:v>45.30280409494359</c:v>
                </c:pt>
                <c:pt idx="2">
                  <c:v>39.8015376265782</c:v>
                </c:pt>
                <c:pt idx="3">
                  <c:v>31.61483482906095</c:v>
                </c:pt>
                <c:pt idx="4">
                  <c:v>22.24033100503409</c:v>
                </c:pt>
                <c:pt idx="5">
                  <c:v>13.88337568566223</c:v>
                </c:pt>
                <c:pt idx="6">
                  <c:v>3.839031053580863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0.090967340921292</c:v>
                  </c:pt>
                  <c:pt idx="1">
                    <c:v>0.0733901519307757</c:v>
                  </c:pt>
                  <c:pt idx="2">
                    <c:v>0.0229830200209109</c:v>
                  </c:pt>
                  <c:pt idx="3">
                    <c:v>0.314610863181284</c:v>
                  </c:pt>
                  <c:pt idx="4">
                    <c:v>0.558405435090128</c:v>
                  </c:pt>
                  <c:pt idx="5">
                    <c:v>0.0848696900591336</c:v>
                  </c:pt>
                  <c:pt idx="6">
                    <c:v>0.274864529497258</c:v>
                  </c:pt>
                  <c:pt idx="7">
                    <c:v>0.432692303950493</c:v>
                  </c:pt>
                  <c:pt idx="8">
                    <c:v>0.427114449533726</c:v>
                  </c:pt>
                  <c:pt idx="9">
                    <c:v>0.310747733360216</c:v>
                  </c:pt>
                  <c:pt idx="10">
                    <c:v>0.45644921497499</c:v>
                  </c:pt>
                  <c:pt idx="11">
                    <c:v>0.957874327913563</c:v>
                  </c:pt>
                  <c:pt idx="12">
                    <c:v>0.803250629529942</c:v>
                  </c:pt>
                  <c:pt idx="13">
                    <c:v>0.841821483259209</c:v>
                  </c:pt>
                  <c:pt idx="14">
                    <c:v>0.542023287852922</c:v>
                  </c:pt>
                  <c:pt idx="15">
                    <c:v>0.768287056286385</c:v>
                  </c:pt>
                  <c:pt idx="16">
                    <c:v>0.719178983381602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0.090967340921292</c:v>
                  </c:pt>
                  <c:pt idx="1">
                    <c:v>0.0733901519307757</c:v>
                  </c:pt>
                  <c:pt idx="2">
                    <c:v>0.0229830200209109</c:v>
                  </c:pt>
                  <c:pt idx="3">
                    <c:v>0.314610863181284</c:v>
                  </c:pt>
                  <c:pt idx="4">
                    <c:v>0.558405435090128</c:v>
                  </c:pt>
                  <c:pt idx="5">
                    <c:v>0.0848696900591336</c:v>
                  </c:pt>
                  <c:pt idx="6">
                    <c:v>0.274864529497258</c:v>
                  </c:pt>
                  <c:pt idx="7">
                    <c:v>0.432692303950493</c:v>
                  </c:pt>
                  <c:pt idx="8">
                    <c:v>0.427114449533726</c:v>
                  </c:pt>
                  <c:pt idx="9">
                    <c:v>0.310747733360216</c:v>
                  </c:pt>
                  <c:pt idx="10">
                    <c:v>0.45644921497499</c:v>
                  </c:pt>
                  <c:pt idx="11">
                    <c:v>0.957874327913563</c:v>
                  </c:pt>
                  <c:pt idx="12">
                    <c:v>0.803250629529942</c:v>
                  </c:pt>
                  <c:pt idx="13">
                    <c:v>0.841821483259209</c:v>
                  </c:pt>
                  <c:pt idx="14">
                    <c:v>0.542023287852922</c:v>
                  </c:pt>
                  <c:pt idx="15">
                    <c:v>0.768287056286385</c:v>
                  </c:pt>
                  <c:pt idx="16">
                    <c:v>0.719178983381602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2.20595801734133</c:v>
                </c:pt>
                <c:pt idx="1">
                  <c:v>5.403245011901048</c:v>
                </c:pt>
                <c:pt idx="2">
                  <c:v>11.21571377020449</c:v>
                </c:pt>
                <c:pt idx="3">
                  <c:v>19.82788493450537</c:v>
                </c:pt>
                <c:pt idx="4">
                  <c:v>28.48625044679739</c:v>
                </c:pt>
                <c:pt idx="5">
                  <c:v>38.65040889181817</c:v>
                </c:pt>
                <c:pt idx="6">
                  <c:v>48.70311704175837</c:v>
                </c:pt>
                <c:pt idx="7">
                  <c:v>52.95449624625405</c:v>
                </c:pt>
                <c:pt idx="8">
                  <c:v>52.60420549282777</c:v>
                </c:pt>
                <c:pt idx="9">
                  <c:v>52.922729358424</c:v>
                </c:pt>
                <c:pt idx="10">
                  <c:v>52.99263358020377</c:v>
                </c:pt>
                <c:pt idx="11">
                  <c:v>53.06440689882255</c:v>
                </c:pt>
                <c:pt idx="12">
                  <c:v>54.07546862418142</c:v>
                </c:pt>
                <c:pt idx="13">
                  <c:v>54.17699540195961</c:v>
                </c:pt>
                <c:pt idx="14">
                  <c:v>54.5288979407382</c:v>
                </c:pt>
                <c:pt idx="15">
                  <c:v>57.35211603593922</c:v>
                </c:pt>
                <c:pt idx="16">
                  <c:v>55.30576641080977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0.0661831193963158</c:v>
                </c:pt>
                <c:pt idx="1">
                  <c:v>0.509437500621108</c:v>
                </c:pt>
                <c:pt idx="2">
                  <c:v>1.595470526999369</c:v>
                </c:pt>
                <c:pt idx="3">
                  <c:v>3.482739517122466</c:v>
                </c:pt>
                <c:pt idx="4">
                  <c:v>6.819857164792384</c:v>
                </c:pt>
                <c:pt idx="5">
                  <c:v>11.20869724986818</c:v>
                </c:pt>
                <c:pt idx="6">
                  <c:v>16.28274520614706</c:v>
                </c:pt>
                <c:pt idx="7">
                  <c:v>22.48240043774896</c:v>
                </c:pt>
                <c:pt idx="8">
                  <c:v>29.005032323368</c:v>
                </c:pt>
                <c:pt idx="9">
                  <c:v>35.42868473181552</c:v>
                </c:pt>
                <c:pt idx="10">
                  <c:v>42.08489110534736</c:v>
                </c:pt>
                <c:pt idx="11">
                  <c:v>49.09833397756764</c:v>
                </c:pt>
                <c:pt idx="12">
                  <c:v>56.51721610431466</c:v>
                </c:pt>
                <c:pt idx="13">
                  <c:v>63.99980651750363</c:v>
                </c:pt>
                <c:pt idx="14">
                  <c:v>71.43490224926794</c:v>
                </c:pt>
                <c:pt idx="15">
                  <c:v>78.9181930050885</c:v>
                </c:pt>
                <c:pt idx="16">
                  <c:v>87.2215297194701</c:v>
                </c:pt>
                <c:pt idx="17">
                  <c:v>96.37436915938881</c:v>
                </c:pt>
                <c:pt idx="18">
                  <c:v>105.2284885867452</c:v>
                </c:pt>
                <c:pt idx="19">
                  <c:v>113.2261183836025</c:v>
                </c:pt>
                <c:pt idx="20">
                  <c:v>118.2313208445636</c:v>
                </c:pt>
                <c:pt idx="21">
                  <c:v>119.912179778251</c:v>
                </c:pt>
                <c:pt idx="22">
                  <c:v>120.4430553156952</c:v>
                </c:pt>
                <c:pt idx="23">
                  <c:v>120.6580348746769</c:v>
                </c:pt>
                <c:pt idx="24">
                  <c:v>120.7902601595995</c:v>
                </c:pt>
                <c:pt idx="25">
                  <c:v>120.9304198337995</c:v>
                </c:pt>
                <c:pt idx="26">
                  <c:v>121.0901661380045</c:v>
                </c:pt>
                <c:pt idx="27">
                  <c:v>121.2513371185304</c:v>
                </c:pt>
                <c:pt idx="28">
                  <c:v>121.43008028891</c:v>
                </c:pt>
                <c:pt idx="29">
                  <c:v>121.606136980789</c:v>
                </c:pt>
                <c:pt idx="30">
                  <c:v>121.7721154408352</c:v>
                </c:pt>
                <c:pt idx="31">
                  <c:v>121.9353337005544</c:v>
                </c:pt>
                <c:pt idx="32">
                  <c:v>122.095781667334</c:v>
                </c:pt>
                <c:pt idx="33">
                  <c:v>122.247193050646</c:v>
                </c:pt>
                <c:pt idx="34">
                  <c:v>122.3990688594613</c:v>
                </c:pt>
                <c:pt idx="35">
                  <c:v>122.5445245642964</c:v>
                </c:pt>
                <c:pt idx="36">
                  <c:v>122.6751442123523</c:v>
                </c:pt>
                <c:pt idx="37">
                  <c:v>122.7919352814042</c:v>
                </c:pt>
                <c:pt idx="38">
                  <c:v>122.8986369797852</c:v>
                </c:pt>
                <c:pt idx="39">
                  <c:v>123.0015476246946</c:v>
                </c:pt>
                <c:pt idx="40">
                  <c:v>123.1036024097749</c:v>
                </c:pt>
                <c:pt idx="41">
                  <c:v>123.1966685867955</c:v>
                </c:pt>
                <c:pt idx="42">
                  <c:v>123.2817242069951</c:v>
                </c:pt>
                <c:pt idx="43">
                  <c:v>123.3673299485186</c:v>
                </c:pt>
                <c:pt idx="44">
                  <c:v>123.446882275625</c:v>
                </c:pt>
                <c:pt idx="45">
                  <c:v>123.5268625326459</c:v>
                </c:pt>
                <c:pt idx="46">
                  <c:v>123.6141805137911</c:v>
                </c:pt>
                <c:pt idx="47">
                  <c:v>123.7024157104519</c:v>
                </c:pt>
                <c:pt idx="48">
                  <c:v>123.7865275659061</c:v>
                </c:pt>
                <c:pt idx="49">
                  <c:v>123.8647457842815</c:v>
                </c:pt>
                <c:pt idx="50">
                  <c:v>123.9375856804454</c:v>
                </c:pt>
                <c:pt idx="51">
                  <c:v>124.0062777660267</c:v>
                </c:pt>
                <c:pt idx="52">
                  <c:v>124.0703034958204</c:v>
                </c:pt>
                <c:pt idx="53">
                  <c:v>124.1290153771423</c:v>
                </c:pt>
                <c:pt idx="54">
                  <c:v>124.1824784347895</c:v>
                </c:pt>
                <c:pt idx="55">
                  <c:v>124.2333493174692</c:v>
                </c:pt>
                <c:pt idx="56">
                  <c:v>124.2785173050089</c:v>
                </c:pt>
                <c:pt idx="57">
                  <c:v>124.3208341205074</c:v>
                </c:pt>
                <c:pt idx="58">
                  <c:v>124.3611423310406</c:v>
                </c:pt>
                <c:pt idx="59">
                  <c:v>124.3992468622168</c:v>
                </c:pt>
                <c:pt idx="60">
                  <c:v>124.4388221953452</c:v>
                </c:pt>
                <c:pt idx="61">
                  <c:v>124.4720445099821</c:v>
                </c:pt>
                <c:pt idx="62">
                  <c:v>124.505335985269</c:v>
                </c:pt>
                <c:pt idx="63">
                  <c:v>124.5415908185786</c:v>
                </c:pt>
                <c:pt idx="64">
                  <c:v>124.5700568732561</c:v>
                </c:pt>
                <c:pt idx="65">
                  <c:v>124.5968689334042</c:v>
                </c:pt>
                <c:pt idx="66">
                  <c:v>124.6280234618258</c:v>
                </c:pt>
                <c:pt idx="67">
                  <c:v>124.6596603564762</c:v>
                </c:pt>
                <c:pt idx="68">
                  <c:v>124.6859900503956</c:v>
                </c:pt>
                <c:pt idx="69">
                  <c:v>124.7116304822432</c:v>
                </c:pt>
                <c:pt idx="70">
                  <c:v>124.7356163334543</c:v>
                </c:pt>
                <c:pt idx="71">
                  <c:v>124.754915085356</c:v>
                </c:pt>
                <c:pt idx="72">
                  <c:v>124.7756615220513</c:v>
                </c:pt>
                <c:pt idx="73">
                  <c:v>124.7942715979886</c:v>
                </c:pt>
                <c:pt idx="74">
                  <c:v>124.811916355361</c:v>
                </c:pt>
                <c:pt idx="75">
                  <c:v>124.8299057437693</c:v>
                </c:pt>
                <c:pt idx="76">
                  <c:v>124.844587143119</c:v>
                </c:pt>
                <c:pt idx="77">
                  <c:v>124.8570630210605</c:v>
                </c:pt>
                <c:pt idx="78">
                  <c:v>124.8715375245672</c:v>
                </c:pt>
                <c:pt idx="79">
                  <c:v>124.888286124025</c:v>
                </c:pt>
                <c:pt idx="80">
                  <c:v>124.904138565568</c:v>
                </c:pt>
                <c:pt idx="81">
                  <c:v>124.9190954353035</c:v>
                </c:pt>
                <c:pt idx="82">
                  <c:v>124.9329498373885</c:v>
                </c:pt>
                <c:pt idx="83">
                  <c:v>124.9457011857159</c:v>
                </c:pt>
                <c:pt idx="84">
                  <c:v>124.9610026864873</c:v>
                </c:pt>
                <c:pt idx="85">
                  <c:v>124.9763041872586</c:v>
                </c:pt>
                <c:pt idx="86">
                  <c:v>124.9894001666219</c:v>
                </c:pt>
                <c:pt idx="87">
                  <c:v>125.0051154590792</c:v>
                </c:pt>
                <c:pt idx="88">
                  <c:v>125.019452227393</c:v>
                </c:pt>
                <c:pt idx="89">
                  <c:v>125.0257247466888</c:v>
                </c:pt>
                <c:pt idx="90">
                  <c:v>125.0343405225857</c:v>
                </c:pt>
                <c:pt idx="91">
                  <c:v>125.0463334481912</c:v>
                </c:pt>
                <c:pt idx="92">
                  <c:v>125.0572233200391</c:v>
                </c:pt>
                <c:pt idx="93">
                  <c:v>125.0686647187658</c:v>
                </c:pt>
                <c:pt idx="94">
                  <c:v>125.0798998077567</c:v>
                </c:pt>
                <c:pt idx="95">
                  <c:v>125.090514795326</c:v>
                </c:pt>
                <c:pt idx="96">
                  <c:v>125.0974549346664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67048"/>
        <c:axId val="-2110160584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14274.0</c:v>
                </c:pt>
                <c:pt idx="1">
                  <c:v>38781.0</c:v>
                </c:pt>
                <c:pt idx="2">
                  <c:v>8878.0</c:v>
                </c:pt>
                <c:pt idx="3">
                  <c:v>15406.0</c:v>
                </c:pt>
                <c:pt idx="4">
                  <c:v>20910.0</c:v>
                </c:pt>
                <c:pt idx="5">
                  <c:v>25526.0</c:v>
                </c:pt>
                <c:pt idx="6">
                  <c:v>26006.0</c:v>
                </c:pt>
                <c:pt idx="7">
                  <c:v>34650.0</c:v>
                </c:pt>
                <c:pt idx="8">
                  <c:v>29346.0</c:v>
                </c:pt>
                <c:pt idx="9">
                  <c:v>25987.0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0.016007</c:v>
                  </c:pt>
                  <c:pt idx="2">
                    <c:v>0.108957396583864</c:v>
                  </c:pt>
                  <c:pt idx="3">
                    <c:v>0.0462082287945917</c:v>
                  </c:pt>
                  <c:pt idx="4">
                    <c:v>0.273527735902595</c:v>
                  </c:pt>
                  <c:pt idx="5">
                    <c:v>0.430704320243018</c:v>
                  </c:pt>
                  <c:pt idx="6">
                    <c:v>0.164283088482453</c:v>
                  </c:pt>
                  <c:pt idx="7">
                    <c:v>0.0489021927661055</c:v>
                  </c:pt>
                  <c:pt idx="8">
                    <c:v>0.0369665830356729</c:v>
                  </c:pt>
                  <c:pt idx="9">
                    <c:v>0.151292261458851</c:v>
                  </c:pt>
                  <c:pt idx="10">
                    <c:v>0.224858946162552</c:v>
                  </c:pt>
                  <c:pt idx="11">
                    <c:v>0.11089974910702</c:v>
                  </c:pt>
                  <c:pt idx="12">
                    <c:v>0.195608771064422</c:v>
                  </c:pt>
                  <c:pt idx="13">
                    <c:v>0.064028</c:v>
                  </c:pt>
                  <c:pt idx="14">
                    <c:v>0.192971228739761</c:v>
                  </c:pt>
                  <c:pt idx="15">
                    <c:v>0.0369665830356734</c:v>
                  </c:pt>
                  <c:pt idx="16">
                    <c:v>0.027724937276755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0.016007</c:v>
                  </c:pt>
                  <c:pt idx="2">
                    <c:v>0.108957396583864</c:v>
                  </c:pt>
                  <c:pt idx="3">
                    <c:v>0.0462082287945917</c:v>
                  </c:pt>
                  <c:pt idx="4">
                    <c:v>0.273527735902595</c:v>
                  </c:pt>
                  <c:pt idx="5">
                    <c:v>0.430704320243018</c:v>
                  </c:pt>
                  <c:pt idx="6">
                    <c:v>0.164283088482453</c:v>
                  </c:pt>
                  <c:pt idx="7">
                    <c:v>0.0489021927661055</c:v>
                  </c:pt>
                  <c:pt idx="8">
                    <c:v>0.0369665830356729</c:v>
                  </c:pt>
                  <c:pt idx="9">
                    <c:v>0.151292261458851</c:v>
                  </c:pt>
                  <c:pt idx="10">
                    <c:v>0.224858946162552</c:v>
                  </c:pt>
                  <c:pt idx="11">
                    <c:v>0.11089974910702</c:v>
                  </c:pt>
                  <c:pt idx="12">
                    <c:v>0.195608771064422</c:v>
                  </c:pt>
                  <c:pt idx="13">
                    <c:v>0.064028</c:v>
                  </c:pt>
                  <c:pt idx="14">
                    <c:v>0.192971228739761</c:v>
                  </c:pt>
                  <c:pt idx="15">
                    <c:v>0.0369665830356734</c:v>
                  </c:pt>
                  <c:pt idx="16">
                    <c:v>0.027724937276755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0.4059827</c:v>
                </c:pt>
                <c:pt idx="1">
                  <c:v>1.370651</c:v>
                </c:pt>
                <c:pt idx="2">
                  <c:v>2.832623666666667</c:v>
                </c:pt>
                <c:pt idx="3">
                  <c:v>3.969120666666667</c:v>
                </c:pt>
                <c:pt idx="4">
                  <c:v>5.494506000000001</c:v>
                </c:pt>
                <c:pt idx="5">
                  <c:v>6.64701</c:v>
                </c:pt>
                <c:pt idx="6">
                  <c:v>8.066297333333334</c:v>
                </c:pt>
                <c:pt idx="7">
                  <c:v>7.169905333333335</c:v>
                </c:pt>
                <c:pt idx="8">
                  <c:v>5.227722666666667</c:v>
                </c:pt>
                <c:pt idx="9">
                  <c:v>4.288645333333333</c:v>
                </c:pt>
                <c:pt idx="10">
                  <c:v>3.776421333333333</c:v>
                </c:pt>
                <c:pt idx="11">
                  <c:v>3.189498</c:v>
                </c:pt>
                <c:pt idx="12">
                  <c:v>3.072113333333333</c:v>
                </c:pt>
                <c:pt idx="13">
                  <c:v>2.581232</c:v>
                </c:pt>
                <c:pt idx="14">
                  <c:v>2.026322666666667</c:v>
                </c:pt>
                <c:pt idx="15">
                  <c:v>1.599469333333333</c:v>
                </c:pt>
                <c:pt idx="16">
                  <c:v>1.4827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314632"/>
        <c:axId val="-2110631976"/>
      </c:scatterChart>
      <c:valAx>
        <c:axId val="2071067048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0160584"/>
        <c:crosses val="autoZero"/>
        <c:crossBetween val="midCat"/>
        <c:majorUnit val="6.0"/>
      </c:valAx>
      <c:valAx>
        <c:axId val="-2110160584"/>
        <c:scaling>
          <c:orientation val="minMax"/>
          <c:max val="14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71067048"/>
        <c:crosses val="autoZero"/>
        <c:crossBetween val="midCat"/>
      </c:valAx>
      <c:valAx>
        <c:axId val="-2110631976"/>
        <c:scaling>
          <c:orientation val="minMax"/>
          <c:max val="11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10314632"/>
        <c:crosses val="max"/>
        <c:crossBetween val="midCat"/>
        <c:majorUnit val="1.0"/>
        <c:minorUnit val="0.2"/>
      </c:valAx>
      <c:valAx>
        <c:axId val="-2110314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1063197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22</xdr:col>
      <xdr:colOff>152400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PhD/ELN/BATCH/Monocultures/Faecalibacterium%20prausnitzii/2014_10_29_Batch4_FP_Fructose%20%20%20/Batch_4_FP_Calcul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rmentation"/>
      <sheetName val="Calculation"/>
      <sheetName val="Plate Count"/>
      <sheetName val="Flow cytometer"/>
      <sheetName val="Calibration F. prausnitzii"/>
      <sheetName val="Determination cell count"/>
      <sheetName val="OD600nm"/>
      <sheetName val="CDM"/>
      <sheetName val="H2"/>
      <sheetName val="CO2"/>
      <sheetName val="Metabolites"/>
      <sheetName val="D-Fructose"/>
      <sheetName val="Formic acid"/>
      <sheetName val="Acetic acid"/>
      <sheetName val="Propionic acid"/>
      <sheetName val="Butyric acid"/>
      <sheetName val="Lactic acid"/>
      <sheetName val="Ethanol"/>
      <sheetName val="Graph"/>
      <sheetName val="Graph (2)"/>
      <sheetName val="Carbon recovery"/>
    </sheetNames>
    <sheetDataSet>
      <sheetData sheetId="0"/>
      <sheetData sheetId="1"/>
      <sheetData sheetId="2"/>
      <sheetData sheetId="3"/>
      <sheetData sheetId="4">
        <row r="4">
          <cell r="R4">
            <v>8.6158560019212569</v>
          </cell>
        </row>
        <row r="5">
          <cell r="R5">
            <v>7.5787871690098934</v>
          </cell>
        </row>
        <row r="7">
          <cell r="R7">
            <v>5.1662524519541604</v>
          </cell>
        </row>
        <row r="8">
          <cell r="R8">
            <v>4.3271429450900092</v>
          </cell>
        </row>
        <row r="9">
          <cell r="R9">
            <v>8.5970052819172</v>
          </cell>
        </row>
        <row r="12">
          <cell r="R12">
            <v>7.6386549561082937</v>
          </cell>
        </row>
        <row r="13">
          <cell r="R13">
            <v>7.3179159600467427</v>
          </cell>
        </row>
        <row r="14">
          <cell r="R14">
            <v>6.9795002471622967</v>
          </cell>
        </row>
        <row r="15">
          <cell r="R15">
            <v>6.7271414012566968</v>
          </cell>
        </row>
        <row r="16">
          <cell r="R16">
            <v>6.2583457855668376</v>
          </cell>
        </row>
        <row r="17">
          <cell r="R17">
            <v>5.8987549482286576</v>
          </cell>
        </row>
        <row r="18">
          <cell r="R18">
            <v>5.5136855181177333</v>
          </cell>
        </row>
        <row r="23">
          <cell r="L23">
            <v>7.6159380716908052</v>
          </cell>
        </row>
        <row r="24">
          <cell r="L24">
            <v>10.997216745498585</v>
          </cell>
        </row>
        <row r="26">
          <cell r="L26">
            <v>18.925162836196829</v>
          </cell>
        </row>
        <row r="27">
          <cell r="L27">
            <v>22.150716984552947</v>
          </cell>
        </row>
        <row r="28">
          <cell r="L28">
            <v>7.9267727615103674</v>
          </cell>
        </row>
        <row r="31">
          <cell r="L31">
            <v>11.083116857376252</v>
          </cell>
        </row>
        <row r="32">
          <cell r="L32">
            <v>13.441737818883412</v>
          </cell>
        </row>
        <row r="33">
          <cell r="L33">
            <v>14.034818339513295</v>
          </cell>
        </row>
        <row r="34">
          <cell r="L34">
            <v>13.999122309850209</v>
          </cell>
        </row>
        <row r="35">
          <cell r="L35">
            <v>15.792017944819285</v>
          </cell>
        </row>
        <row r="36">
          <cell r="L36">
            <v>16.969425527420196</v>
          </cell>
        </row>
        <row r="37">
          <cell r="L37">
            <v>17.467782664464469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</sheetDataSet>
  </externalBook>
</externalLink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5" sqref="C5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75.6640625" style="2" customWidth="1"/>
    <col min="4" max="16384" width="8.83203125" style="2"/>
  </cols>
  <sheetData>
    <row r="1" spans="1:3">
      <c r="A1" s="126" t="s">
        <v>0</v>
      </c>
      <c r="B1" s="127"/>
      <c r="C1" s="34">
        <v>42088</v>
      </c>
    </row>
    <row r="2" spans="1:3" ht="16">
      <c r="A2" s="126" t="s">
        <v>1</v>
      </c>
      <c r="B2" s="128"/>
      <c r="C2" s="32" t="s">
        <v>161</v>
      </c>
    </row>
    <row r="3" spans="1:3">
      <c r="A3" s="11"/>
      <c r="B3" s="11"/>
      <c r="C3" s="10"/>
    </row>
    <row r="4" spans="1:3">
      <c r="A4" s="129" t="s">
        <v>49</v>
      </c>
      <c r="B4" s="129"/>
      <c r="C4" s="7" t="s">
        <v>107</v>
      </c>
    </row>
    <row r="6" spans="1:3">
      <c r="A6" s="41" t="s">
        <v>83</v>
      </c>
      <c r="B6" s="41" t="s">
        <v>84</v>
      </c>
      <c r="C6" s="41" t="s">
        <v>69</v>
      </c>
    </row>
    <row r="7" spans="1:3">
      <c r="A7" s="32" t="s">
        <v>85</v>
      </c>
      <c r="B7" s="37" t="s">
        <v>86</v>
      </c>
      <c r="C7" s="37" t="s">
        <v>101</v>
      </c>
    </row>
    <row r="8" spans="1:3">
      <c r="A8" s="32" t="s">
        <v>87</v>
      </c>
      <c r="B8" s="37" t="s">
        <v>88</v>
      </c>
      <c r="C8" s="37" t="s">
        <v>101</v>
      </c>
    </row>
    <row r="9" spans="1:3">
      <c r="A9" s="32" t="s">
        <v>89</v>
      </c>
      <c r="B9" s="37" t="s">
        <v>90</v>
      </c>
      <c r="C9" s="37" t="s">
        <v>101</v>
      </c>
    </row>
    <row r="10" spans="1:3">
      <c r="A10" s="32" t="s">
        <v>91</v>
      </c>
      <c r="B10" s="37" t="s">
        <v>92</v>
      </c>
      <c r="C10" s="37" t="s">
        <v>101</v>
      </c>
    </row>
    <row r="11" spans="1:3">
      <c r="A11" s="29" t="s">
        <v>152</v>
      </c>
      <c r="B11" s="29" t="s">
        <v>153</v>
      </c>
      <c r="C11" s="29" t="s">
        <v>101</v>
      </c>
    </row>
    <row r="12" spans="1:3">
      <c r="A12" s="32" t="s">
        <v>73</v>
      </c>
      <c r="B12" s="37" t="s">
        <v>93</v>
      </c>
      <c r="C12" s="37" t="s">
        <v>101</v>
      </c>
    </row>
    <row r="13" spans="1:3" ht="16">
      <c r="A13" s="70" t="s">
        <v>77</v>
      </c>
      <c r="B13" s="37" t="s">
        <v>94</v>
      </c>
      <c r="C13" s="37" t="s">
        <v>101</v>
      </c>
    </row>
    <row r="14" spans="1:3" ht="16">
      <c r="A14" s="70" t="s">
        <v>76</v>
      </c>
      <c r="B14" s="37" t="s">
        <v>94</v>
      </c>
      <c r="C14" s="37" t="s">
        <v>101</v>
      </c>
    </row>
    <row r="15" spans="1:3" ht="16">
      <c r="A15" s="32" t="s">
        <v>109</v>
      </c>
      <c r="B15" s="37" t="s">
        <v>95</v>
      </c>
      <c r="C15" s="37" t="s">
        <v>101</v>
      </c>
    </row>
    <row r="16" spans="1:3" ht="16">
      <c r="A16" s="32" t="s">
        <v>108</v>
      </c>
      <c r="B16" s="37" t="s">
        <v>94</v>
      </c>
      <c r="C16" s="37" t="s">
        <v>101</v>
      </c>
    </row>
    <row r="17" spans="1:3" ht="16">
      <c r="A17" s="32" t="s">
        <v>110</v>
      </c>
      <c r="B17" s="37" t="s">
        <v>94</v>
      </c>
      <c r="C17" s="37" t="s">
        <v>101</v>
      </c>
    </row>
    <row r="18" spans="1:3" ht="16">
      <c r="A18" s="32" t="s">
        <v>111</v>
      </c>
      <c r="B18" s="37" t="s">
        <v>154</v>
      </c>
      <c r="C18" s="37" t="s">
        <v>101</v>
      </c>
    </row>
    <row r="19" spans="1:3" ht="16">
      <c r="A19" s="32" t="s">
        <v>75</v>
      </c>
      <c r="B19" s="37" t="s">
        <v>155</v>
      </c>
      <c r="C19" s="37" t="s">
        <v>101</v>
      </c>
    </row>
    <row r="20" spans="1:3" ht="16">
      <c r="A20" s="32" t="s">
        <v>112</v>
      </c>
      <c r="B20" s="37" t="s">
        <v>96</v>
      </c>
      <c r="C20" s="37" t="s">
        <v>101</v>
      </c>
    </row>
    <row r="21" spans="1:3" ht="16">
      <c r="A21" s="32" t="s">
        <v>113</v>
      </c>
      <c r="B21" s="37" t="s">
        <v>97</v>
      </c>
      <c r="C21" s="37" t="s">
        <v>101</v>
      </c>
    </row>
    <row r="22" spans="1:3" ht="16">
      <c r="A22" s="32" t="s">
        <v>114</v>
      </c>
      <c r="B22" s="37" t="s">
        <v>98</v>
      </c>
      <c r="C22" s="37" t="s">
        <v>101</v>
      </c>
    </row>
    <row r="23" spans="1:3" ht="16">
      <c r="A23" s="32" t="s">
        <v>115</v>
      </c>
      <c r="B23" s="37" t="s">
        <v>98</v>
      </c>
      <c r="C23" s="37" t="s">
        <v>101</v>
      </c>
    </row>
    <row r="24" spans="1:3">
      <c r="A24" s="32" t="s">
        <v>99</v>
      </c>
      <c r="B24" s="37" t="s">
        <v>98</v>
      </c>
      <c r="C24" s="37" t="s">
        <v>101</v>
      </c>
    </row>
    <row r="25" spans="1:3">
      <c r="A25" s="32" t="s">
        <v>100</v>
      </c>
      <c r="B25" s="37" t="s">
        <v>98</v>
      </c>
      <c r="C25" s="37" t="s">
        <v>101</v>
      </c>
    </row>
    <row r="26" spans="1:3">
      <c r="A26" s="32" t="s">
        <v>74</v>
      </c>
      <c r="B26" s="37" t="s">
        <v>102</v>
      </c>
      <c r="C26" s="37" t="s">
        <v>103</v>
      </c>
    </row>
    <row r="27" spans="1:3">
      <c r="A27" s="32" t="s">
        <v>104</v>
      </c>
      <c r="B27" s="37" t="s">
        <v>101</v>
      </c>
      <c r="C27" s="37" t="s">
        <v>106</v>
      </c>
    </row>
    <row r="28" spans="1:3">
      <c r="A28" s="32" t="s">
        <v>105</v>
      </c>
      <c r="B28" s="37" t="s">
        <v>101</v>
      </c>
      <c r="C28" s="37" t="s">
        <v>106</v>
      </c>
    </row>
    <row r="29" spans="1:3" ht="16">
      <c r="A29" s="29" t="s">
        <v>147</v>
      </c>
      <c r="B29" s="29" t="s">
        <v>148</v>
      </c>
      <c r="C29" s="29" t="s">
        <v>149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2" sqref="H22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30" t="s">
        <v>4</v>
      </c>
      <c r="B1" s="130" t="s">
        <v>117</v>
      </c>
      <c r="C1" s="130" t="s">
        <v>117</v>
      </c>
      <c r="D1" s="130" t="s">
        <v>5</v>
      </c>
      <c r="E1" s="130" t="s">
        <v>19</v>
      </c>
      <c r="F1" s="130" t="s">
        <v>24</v>
      </c>
      <c r="G1" s="129" t="s">
        <v>25</v>
      </c>
      <c r="H1" s="126" t="s">
        <v>26</v>
      </c>
      <c r="I1" s="4" t="s">
        <v>27</v>
      </c>
      <c r="J1" s="53" t="s">
        <v>27</v>
      </c>
    </row>
    <row r="2" spans="1:10">
      <c r="A2" s="131"/>
      <c r="B2" s="131"/>
      <c r="C2" s="131"/>
      <c r="D2" s="131"/>
      <c r="E2" s="131"/>
      <c r="F2" s="131"/>
      <c r="G2" s="129"/>
      <c r="H2" s="126"/>
      <c r="I2" s="5" t="s">
        <v>28</v>
      </c>
      <c r="J2" s="54" t="s">
        <v>23</v>
      </c>
    </row>
    <row r="3" spans="1:10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E3" s="40">
        <v>1</v>
      </c>
      <c r="F3" s="50">
        <v>8.5000000000000006E-2</v>
      </c>
      <c r="G3" s="50">
        <v>8.5000000000000006E-2</v>
      </c>
      <c r="H3" s="50">
        <v>8.5000000000000006E-2</v>
      </c>
      <c r="I3" s="51">
        <f>E3*(AVERAGE(F3:H3)*1.6007-0.0118)</f>
        <v>0.12425949999999999</v>
      </c>
      <c r="J3" s="51">
        <f>E3*(STDEV(F3:H3)*1.6007)</f>
        <v>0</v>
      </c>
    </row>
    <row r="4" spans="1:10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40">
        <v>1</v>
      </c>
      <c r="F4" s="50">
        <v>0.26100000000000001</v>
      </c>
      <c r="G4" s="50">
        <v>0.26100000000000001</v>
      </c>
      <c r="H4" s="50">
        <v>0.26100000000000001</v>
      </c>
      <c r="I4" s="51">
        <f>E4*(AVERAGE(F4:H4)*1.6007-0.0118)</f>
        <v>0.40598270000000003</v>
      </c>
      <c r="J4" s="51">
        <f t="shared" ref="J4:J9" si="1">E4*(STDEV(F4:H4)*1.6007)</f>
        <v>0</v>
      </c>
    </row>
    <row r="5" spans="1:10">
      <c r="A5" s="65">
        <v>1</v>
      </c>
      <c r="B5" s="32">
        <v>110</v>
      </c>
      <c r="C5" s="32">
        <f>C4+B5</f>
        <v>120</v>
      </c>
      <c r="D5" s="13">
        <f t="shared" si="0"/>
        <v>2</v>
      </c>
      <c r="E5" s="40">
        <v>10</v>
      </c>
      <c r="F5" s="50">
        <v>9.1999999999999998E-2</v>
      </c>
      <c r="G5" s="50">
        <v>9.2999999999999999E-2</v>
      </c>
      <c r="H5" s="50">
        <v>9.4E-2</v>
      </c>
      <c r="I5" s="51">
        <f t="shared" ref="I5:I9" si="2">E5*(AVERAGE(F5:H5)*1.6007-0.0118)</f>
        <v>1.3706510000000003</v>
      </c>
      <c r="J5" s="51">
        <f t="shared" si="1"/>
        <v>1.6007000000000014E-2</v>
      </c>
    </row>
    <row r="6" spans="1:10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E6" s="40">
        <v>10</v>
      </c>
      <c r="F6" s="50">
        <v>0.192</v>
      </c>
      <c r="G6" s="50">
        <v>0.17899999999999999</v>
      </c>
      <c r="H6" s="50">
        <v>0.182</v>
      </c>
      <c r="I6" s="51">
        <f t="shared" si="2"/>
        <v>2.8326236666666667</v>
      </c>
      <c r="J6" s="51">
        <f t="shared" si="1"/>
        <v>0.10895739658386372</v>
      </c>
    </row>
    <row r="7" spans="1:10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E7" s="40">
        <v>10</v>
      </c>
      <c r="F7" s="50">
        <v>0.25700000000000001</v>
      </c>
      <c r="G7" s="50">
        <v>0.252</v>
      </c>
      <c r="H7" s="50">
        <v>0.25700000000000001</v>
      </c>
      <c r="I7" s="51">
        <f t="shared" si="2"/>
        <v>3.9691206666666674</v>
      </c>
      <c r="J7" s="51">
        <f t="shared" si="1"/>
        <v>4.620822879459173E-2</v>
      </c>
    </row>
    <row r="8" spans="1:10">
      <c r="A8" s="65">
        <v>4</v>
      </c>
      <c r="B8" s="32">
        <v>80</v>
      </c>
      <c r="C8" s="32">
        <f t="shared" ref="C8:C18" si="3">C7+B8</f>
        <v>360</v>
      </c>
      <c r="D8" s="13">
        <f t="shared" si="0"/>
        <v>6</v>
      </c>
      <c r="E8" s="40">
        <v>20</v>
      </c>
      <c r="F8" s="50">
        <v>0.18</v>
      </c>
      <c r="G8" s="50">
        <v>0.187</v>
      </c>
      <c r="H8" s="50">
        <v>0.17</v>
      </c>
      <c r="I8" s="51">
        <f t="shared" si="2"/>
        <v>5.4945060000000012</v>
      </c>
      <c r="J8" s="51">
        <f t="shared" si="1"/>
        <v>0.27352773590259521</v>
      </c>
    </row>
    <row r="9" spans="1:10">
      <c r="A9" s="65">
        <v>5</v>
      </c>
      <c r="B9" s="32">
        <v>80</v>
      </c>
      <c r="C9" s="32">
        <f t="shared" si="3"/>
        <v>440</v>
      </c>
      <c r="D9" s="13">
        <f t="shared" si="0"/>
        <v>7.333333333333333</v>
      </c>
      <c r="E9" s="40">
        <v>20</v>
      </c>
      <c r="F9" s="50">
        <v>0.22600000000000001</v>
      </c>
      <c r="G9" s="50">
        <v>0.2</v>
      </c>
      <c r="H9" s="50">
        <v>0.219</v>
      </c>
      <c r="I9" s="51">
        <f t="shared" si="2"/>
        <v>6.6470099999999999</v>
      </c>
      <c r="J9" s="51">
        <f t="shared" si="1"/>
        <v>0.43070432024301769</v>
      </c>
    </row>
    <row r="10" spans="1:10">
      <c r="A10" s="65">
        <v>6</v>
      </c>
      <c r="B10" s="32">
        <v>80</v>
      </c>
      <c r="C10" s="32">
        <f t="shared" si="3"/>
        <v>520</v>
      </c>
      <c r="D10" s="13">
        <f t="shared" si="0"/>
        <v>8.6666666666666661</v>
      </c>
      <c r="E10" s="40">
        <v>20</v>
      </c>
      <c r="F10" s="50">
        <v>0.255</v>
      </c>
      <c r="G10" s="50">
        <v>0.26500000000000001</v>
      </c>
      <c r="H10" s="50">
        <v>0.25800000000000001</v>
      </c>
      <c r="I10" s="51">
        <f t="shared" ref="I10:I20" si="4">E10*(AVERAGE(F10:H10)*1.6007-0.0118)</f>
        <v>8.0662973333333348</v>
      </c>
      <c r="J10" s="51">
        <f t="shared" ref="J10:J20" si="5">E10*(STDEV(F10:H10)*1.6007)</f>
        <v>0.16428308848245271</v>
      </c>
    </row>
    <row r="11" spans="1:10">
      <c r="A11" s="65">
        <v>7</v>
      </c>
      <c r="B11" s="32">
        <v>80</v>
      </c>
      <c r="C11" s="32">
        <f t="shared" si="3"/>
        <v>600</v>
      </c>
      <c r="D11" s="13">
        <f t="shared" si="0"/>
        <v>10</v>
      </c>
      <c r="E11" s="40">
        <v>20</v>
      </c>
      <c r="F11" s="50">
        <v>0.23100000000000001</v>
      </c>
      <c r="G11" s="50">
        <v>0.23300000000000001</v>
      </c>
      <c r="H11" s="50">
        <v>0.23</v>
      </c>
      <c r="I11" s="51">
        <f t="shared" si="4"/>
        <v>7.1699053333333351</v>
      </c>
      <c r="J11" s="51">
        <f t="shared" si="5"/>
        <v>4.8902192766105468E-2</v>
      </c>
    </row>
    <row r="12" spans="1:10">
      <c r="A12" s="65">
        <v>8</v>
      </c>
      <c r="B12" s="32">
        <v>80</v>
      </c>
      <c r="C12" s="32">
        <f t="shared" si="3"/>
        <v>680</v>
      </c>
      <c r="D12" s="13">
        <f t="shared" si="0"/>
        <v>11.333333333333334</v>
      </c>
      <c r="E12" s="40">
        <v>20</v>
      </c>
      <c r="F12" s="50">
        <v>0.17</v>
      </c>
      <c r="G12" s="50">
        <v>0.17199999999999999</v>
      </c>
      <c r="H12" s="50">
        <v>0.17</v>
      </c>
      <c r="I12" s="51">
        <f t="shared" si="4"/>
        <v>5.2277226666666667</v>
      </c>
      <c r="J12" s="51">
        <f t="shared" si="5"/>
        <v>3.6966583035672886E-2</v>
      </c>
    </row>
    <row r="13" spans="1:10">
      <c r="A13" s="65">
        <v>9</v>
      </c>
      <c r="B13" s="32">
        <v>80</v>
      </c>
      <c r="C13" s="32">
        <f t="shared" si="3"/>
        <v>760</v>
      </c>
      <c r="D13" s="13">
        <f t="shared" si="0"/>
        <v>12.666666666666666</v>
      </c>
      <c r="E13" s="40">
        <v>20</v>
      </c>
      <c r="F13" s="50">
        <v>0.13600000000000001</v>
      </c>
      <c r="G13" s="50">
        <v>0.14299999999999999</v>
      </c>
      <c r="H13" s="50">
        <v>0.14499999999999999</v>
      </c>
      <c r="I13" s="51">
        <f t="shared" si="4"/>
        <v>4.2886453333333332</v>
      </c>
      <c r="J13" s="51">
        <f t="shared" si="5"/>
        <v>0.15129226145885064</v>
      </c>
    </row>
    <row r="14" spans="1:10">
      <c r="A14" s="65">
        <v>10</v>
      </c>
      <c r="B14" s="32">
        <v>80</v>
      </c>
      <c r="C14" s="32">
        <f t="shared" si="3"/>
        <v>840</v>
      </c>
      <c r="D14" s="13">
        <f t="shared" si="0"/>
        <v>14</v>
      </c>
      <c r="E14" s="40">
        <v>20</v>
      </c>
      <c r="F14" s="50">
        <v>0.13200000000000001</v>
      </c>
      <c r="G14" s="50">
        <v>0.11799999999999999</v>
      </c>
      <c r="H14" s="50">
        <v>0.126</v>
      </c>
      <c r="I14" s="51">
        <f t="shared" si="4"/>
        <v>3.776421333333333</v>
      </c>
      <c r="J14" s="51">
        <f t="shared" si="5"/>
        <v>0.22485894616255195</v>
      </c>
    </row>
    <row r="15" spans="1:10">
      <c r="A15" s="65">
        <v>11</v>
      </c>
      <c r="B15" s="32">
        <v>80</v>
      </c>
      <c r="C15" s="32">
        <f t="shared" si="3"/>
        <v>920</v>
      </c>
      <c r="D15" s="13">
        <f t="shared" si="0"/>
        <v>15.333333333333334</v>
      </c>
      <c r="E15" s="40">
        <v>20</v>
      </c>
      <c r="F15" s="50">
        <v>0.105</v>
      </c>
      <c r="G15" s="50">
        <v>0.105</v>
      </c>
      <c r="H15" s="50">
        <v>0.111</v>
      </c>
      <c r="I15" s="51">
        <f t="shared" si="4"/>
        <v>3.1894979999999999</v>
      </c>
      <c r="J15" s="51">
        <f t="shared" si="5"/>
        <v>0.11089974910702018</v>
      </c>
    </row>
    <row r="16" spans="1:10">
      <c r="A16" s="65">
        <v>12</v>
      </c>
      <c r="B16" s="32">
        <v>80</v>
      </c>
      <c r="C16" s="32">
        <f t="shared" si="3"/>
        <v>1000</v>
      </c>
      <c r="D16" s="13">
        <f t="shared" si="0"/>
        <v>16.666666666666668</v>
      </c>
      <c r="E16" s="40">
        <v>20</v>
      </c>
      <c r="F16" s="50">
        <v>0.11</v>
      </c>
      <c r="G16" s="50">
        <v>9.8000000000000004E-2</v>
      </c>
      <c r="H16" s="50">
        <v>0.10199999999999999</v>
      </c>
      <c r="I16" s="51">
        <f t="shared" si="4"/>
        <v>3.0721133333333333</v>
      </c>
      <c r="J16" s="51">
        <f t="shared" si="5"/>
        <v>0.19560877106442165</v>
      </c>
    </row>
    <row r="17" spans="1:10">
      <c r="A17" s="65">
        <v>13</v>
      </c>
      <c r="B17" s="32">
        <v>80</v>
      </c>
      <c r="C17" s="32">
        <f t="shared" si="3"/>
        <v>1080</v>
      </c>
      <c r="D17" s="13">
        <f t="shared" si="0"/>
        <v>18</v>
      </c>
      <c r="E17" s="40">
        <v>20</v>
      </c>
      <c r="F17" s="50">
        <v>0.09</v>
      </c>
      <c r="G17" s="50">
        <v>8.7999999999999995E-2</v>
      </c>
      <c r="H17" s="50">
        <v>8.5999999999999993E-2</v>
      </c>
      <c r="I17" s="51">
        <f t="shared" si="4"/>
        <v>2.581232</v>
      </c>
      <c r="J17" s="51">
        <f t="shared" si="5"/>
        <v>6.4028000000000057E-2</v>
      </c>
    </row>
    <row r="18" spans="1:10">
      <c r="A18" s="65">
        <v>14</v>
      </c>
      <c r="B18" s="32">
        <v>360</v>
      </c>
      <c r="C18" s="32">
        <f t="shared" si="3"/>
        <v>1440</v>
      </c>
      <c r="D18" s="13">
        <f t="shared" si="0"/>
        <v>24</v>
      </c>
      <c r="E18" s="40">
        <v>20</v>
      </c>
      <c r="F18" s="50">
        <v>7.0000000000000007E-2</v>
      </c>
      <c r="G18" s="50">
        <v>7.6999999999999999E-2</v>
      </c>
      <c r="H18" s="50">
        <v>6.5000000000000002E-2</v>
      </c>
      <c r="I18" s="51">
        <f>E18*(AVERAGE(F18:H18)*1.6007-0.0118)</f>
        <v>2.0263226666666667</v>
      </c>
      <c r="J18" s="51">
        <f t="shared" si="5"/>
        <v>0.19297122873976139</v>
      </c>
    </row>
    <row r="19" spans="1:10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E19" s="40">
        <v>20</v>
      </c>
      <c r="F19" s="50">
        <v>5.6000000000000001E-2</v>
      </c>
      <c r="G19" s="50">
        <v>5.8000000000000003E-2</v>
      </c>
      <c r="H19" s="50">
        <v>5.8000000000000003E-2</v>
      </c>
      <c r="I19" s="51">
        <f>E19*(AVERAGE(F19:H19)*1.6007-0.0118)</f>
        <v>1.5994693333333334</v>
      </c>
      <c r="J19" s="51">
        <f t="shared" si="5"/>
        <v>3.6966583035673392E-2</v>
      </c>
    </row>
    <row r="20" spans="1:10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E20" s="40">
        <v>10</v>
      </c>
      <c r="F20" s="50">
        <v>9.8000000000000004E-2</v>
      </c>
      <c r="G20" s="50">
        <v>0.10100000000000001</v>
      </c>
      <c r="H20" s="50">
        <v>0.10100000000000001</v>
      </c>
      <c r="I20" s="51">
        <f t="shared" si="4"/>
        <v>1.4827000000000004</v>
      </c>
      <c r="J20" s="51">
        <f t="shared" si="5"/>
        <v>2.7724937276755044E-2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9" sqref="D19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30" t="s">
        <v>4</v>
      </c>
      <c r="B1" s="130" t="s">
        <v>117</v>
      </c>
      <c r="C1" s="130" t="s">
        <v>117</v>
      </c>
      <c r="D1" s="130" t="s">
        <v>5</v>
      </c>
      <c r="E1" s="4" t="s">
        <v>29</v>
      </c>
      <c r="F1" s="4" t="s">
        <v>2</v>
      </c>
      <c r="G1" s="4" t="s">
        <v>32</v>
      </c>
    </row>
    <row r="2" spans="1:7">
      <c r="A2" s="131"/>
      <c r="B2" s="131"/>
      <c r="C2" s="131"/>
      <c r="D2" s="131"/>
      <c r="E2" s="5" t="s">
        <v>30</v>
      </c>
      <c r="F2" s="5" t="s">
        <v>31</v>
      </c>
      <c r="G2" s="5" t="s">
        <v>33</v>
      </c>
    </row>
    <row r="3" spans="1:7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65">
        <v>1</v>
      </c>
      <c r="B5" s="32">
        <v>110</v>
      </c>
      <c r="C5" s="32">
        <f>C4+B5</f>
        <v>120</v>
      </c>
      <c r="D5" s="13">
        <f t="shared" si="0"/>
        <v>2</v>
      </c>
      <c r="E5" s="1"/>
      <c r="F5" s="1"/>
      <c r="G5" s="1" t="e">
        <f>(F5-$C$22)/E5*1000*Calculation!I6/Calculation!K5</f>
        <v>#DIV/0!</v>
      </c>
    </row>
    <row r="6" spans="1:7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E7" s="1"/>
      <c r="F7" s="1"/>
      <c r="G7" s="1" t="e">
        <f>(F7-$C$22)/E7*1000*Calculation!I8/Calculation!K7</f>
        <v>#DIV/0!</v>
      </c>
    </row>
    <row r="8" spans="1:7">
      <c r="A8" s="65">
        <v>4</v>
      </c>
      <c r="B8" s="32">
        <v>80</v>
      </c>
      <c r="C8" s="32">
        <f t="shared" ref="C8:C18" si="1">C7+B8</f>
        <v>360</v>
      </c>
      <c r="D8" s="13">
        <f t="shared" si="0"/>
        <v>6</v>
      </c>
      <c r="E8" s="1"/>
      <c r="F8" s="1"/>
      <c r="G8" s="1" t="e">
        <f>(F8-$C$22)/E8*1000*Calculation!I9/Calculation!K8</f>
        <v>#DIV/0!</v>
      </c>
    </row>
    <row r="9" spans="1:7">
      <c r="A9" s="65">
        <v>5</v>
      </c>
      <c r="B9" s="32">
        <v>80</v>
      </c>
      <c r="C9" s="32">
        <f t="shared" si="1"/>
        <v>440</v>
      </c>
      <c r="D9" s="13">
        <f t="shared" si="0"/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65">
        <v>6</v>
      </c>
      <c r="B10" s="32">
        <v>80</v>
      </c>
      <c r="C10" s="32">
        <f t="shared" si="1"/>
        <v>520</v>
      </c>
      <c r="D10" s="13">
        <f t="shared" si="0"/>
        <v>8.6666666666666661</v>
      </c>
      <c r="E10" s="1"/>
      <c r="F10" s="1"/>
      <c r="G10" s="1" t="e">
        <f>(F10-$C$22)/E10*1000*Calculation!I11/Calculation!K10</f>
        <v>#DIV/0!</v>
      </c>
    </row>
    <row r="11" spans="1:7">
      <c r="A11" s="65">
        <v>7</v>
      </c>
      <c r="B11" s="32">
        <v>80</v>
      </c>
      <c r="C11" s="32">
        <f t="shared" si="1"/>
        <v>600</v>
      </c>
      <c r="D11" s="13">
        <f t="shared" si="0"/>
        <v>10</v>
      </c>
      <c r="E11" s="1"/>
      <c r="F11" s="1"/>
      <c r="G11" s="1" t="e">
        <f>(F11-$C$22)/E11*1000*Calculation!I12/Calculation!K11</f>
        <v>#DIV/0!</v>
      </c>
    </row>
    <row r="12" spans="1:7">
      <c r="A12" s="65">
        <v>8</v>
      </c>
      <c r="B12" s="32">
        <v>80</v>
      </c>
      <c r="C12" s="32">
        <f t="shared" si="1"/>
        <v>680</v>
      </c>
      <c r="D12" s="13">
        <f t="shared" si="0"/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65">
        <v>9</v>
      </c>
      <c r="B13" s="32">
        <v>80</v>
      </c>
      <c r="C13" s="32">
        <f t="shared" si="1"/>
        <v>760</v>
      </c>
      <c r="D13" s="13">
        <f t="shared" si="0"/>
        <v>12.666666666666666</v>
      </c>
      <c r="E13" s="37"/>
      <c r="F13" s="37"/>
      <c r="G13" s="37" t="e">
        <f>(F13-$C$22)/E13*1000*Calculation!I14/Calculation!K13</f>
        <v>#DIV/0!</v>
      </c>
    </row>
    <row r="14" spans="1:7">
      <c r="A14" s="65">
        <v>10</v>
      </c>
      <c r="B14" s="32">
        <v>80</v>
      </c>
      <c r="C14" s="32">
        <f t="shared" si="1"/>
        <v>840</v>
      </c>
      <c r="D14" s="13">
        <f t="shared" si="0"/>
        <v>14</v>
      </c>
      <c r="E14" s="37"/>
      <c r="F14" s="37"/>
      <c r="G14" s="37" t="e">
        <f>(F14-$C$22)/E14*1000*Calculation!I15/Calculation!K14</f>
        <v>#DIV/0!</v>
      </c>
    </row>
    <row r="15" spans="1:7">
      <c r="A15" s="65">
        <v>11</v>
      </c>
      <c r="B15" s="32">
        <v>80</v>
      </c>
      <c r="C15" s="32">
        <f t="shared" si="1"/>
        <v>920</v>
      </c>
      <c r="D15" s="13">
        <f t="shared" si="0"/>
        <v>15.333333333333334</v>
      </c>
      <c r="E15" s="37"/>
      <c r="F15" s="37"/>
      <c r="G15" s="37" t="e">
        <f>(F15-$C$22)/E15*1000*Calculation!I16/Calculation!K15</f>
        <v>#DIV/0!</v>
      </c>
    </row>
    <row r="16" spans="1:7">
      <c r="A16" s="65">
        <v>12</v>
      </c>
      <c r="B16" s="32">
        <v>80</v>
      </c>
      <c r="C16" s="32">
        <f t="shared" si="1"/>
        <v>1000</v>
      </c>
      <c r="D16" s="13">
        <f t="shared" si="0"/>
        <v>16.666666666666668</v>
      </c>
      <c r="E16" s="37"/>
      <c r="F16" s="37"/>
      <c r="G16" s="37" t="e">
        <f>(F16-$C$22)/E16*1000*Calculation!I17/Calculation!K16</f>
        <v>#DIV/0!</v>
      </c>
    </row>
    <row r="17" spans="1:7" ht="15" customHeight="1">
      <c r="A17" s="65">
        <v>13</v>
      </c>
      <c r="B17" s="32">
        <v>80</v>
      </c>
      <c r="C17" s="32">
        <f t="shared" si="1"/>
        <v>1080</v>
      </c>
      <c r="D17" s="13">
        <f t="shared" si="0"/>
        <v>18</v>
      </c>
      <c r="E17" s="37"/>
      <c r="F17" s="37"/>
      <c r="G17" s="37" t="e">
        <f>(F17-$C$22)/E17*1000*Calculation!I18/Calculation!K17</f>
        <v>#DIV/0!</v>
      </c>
    </row>
    <row r="18" spans="1:7">
      <c r="A18" s="65">
        <v>14</v>
      </c>
      <c r="B18" s="32">
        <v>360</v>
      </c>
      <c r="C18" s="32">
        <f t="shared" si="1"/>
        <v>1440</v>
      </c>
      <c r="D18" s="13">
        <f t="shared" si="0"/>
        <v>24</v>
      </c>
      <c r="E18" s="37"/>
      <c r="F18" s="37"/>
      <c r="G18" s="37" t="e">
        <f>(F18-$C$22)/E18*1000*Calculation!I19/Calculation!K18</f>
        <v>#DIV/0!</v>
      </c>
    </row>
    <row r="19" spans="1:7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E19" s="40"/>
      <c r="F19" s="40"/>
      <c r="G19" s="40" t="e">
        <f>(F19-$C$22)/E19*1000*Calculation!I21/Calculation!K19</f>
        <v>#DIV/0!</v>
      </c>
    </row>
    <row r="20" spans="1:7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E20" s="40"/>
      <c r="F20" s="40"/>
      <c r="G20" s="40" t="e">
        <f>(F20-$C$22)/E20*1000*Calculation!I22/Calculation!K20</f>
        <v>#DIV/0!</v>
      </c>
    </row>
    <row r="22" spans="1:7">
      <c r="A22" s="152" t="s">
        <v>3</v>
      </c>
      <c r="B22" s="153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workbookViewId="0">
      <selection activeCell="B102" sqref="B102:B104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</cols>
  <sheetData>
    <row r="1" spans="1:10">
      <c r="A1" s="23" t="s">
        <v>50</v>
      </c>
      <c r="B1" s="12">
        <v>70.3</v>
      </c>
      <c r="C1" s="26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29" t="s">
        <v>5</v>
      </c>
      <c r="B3" s="129" t="s">
        <v>36</v>
      </c>
      <c r="C3" s="129"/>
      <c r="D3" s="129" t="s">
        <v>52</v>
      </c>
      <c r="E3" s="129"/>
      <c r="F3" s="129"/>
      <c r="G3" s="23" t="s">
        <v>53</v>
      </c>
    </row>
    <row r="4" spans="1:10">
      <c r="A4" s="129"/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</row>
    <row r="5" spans="1:10">
      <c r="A5" s="12">
        <v>0</v>
      </c>
      <c r="B5" s="76">
        <v>2156.7600000000002</v>
      </c>
      <c r="C5" s="12">
        <f>B5/1000</f>
        <v>2.1567600000000002</v>
      </c>
      <c r="D5" s="12">
        <f>C5/1000*$B$1</f>
        <v>0.151620228</v>
      </c>
      <c r="E5" s="12">
        <f>D5/22.4</f>
        <v>6.7687601785714289E-3</v>
      </c>
      <c r="F5" s="12">
        <f>E5/Calculation!K$4*1000</f>
        <v>4.4122079597543901E-3</v>
      </c>
      <c r="G5" s="12">
        <f>(0+F5)/2*30</f>
        <v>6.6183119396315854E-2</v>
      </c>
      <c r="I5" s="79">
        <v>-0.16666666666666666</v>
      </c>
      <c r="J5" t="s">
        <v>167</v>
      </c>
    </row>
    <row r="6" spans="1:10">
      <c r="A6" s="12">
        <v>0.5</v>
      </c>
      <c r="B6" s="76">
        <v>12287.91</v>
      </c>
      <c r="C6" s="12">
        <f t="shared" ref="C6:C69" si="0">B6/1000</f>
        <v>12.28791</v>
      </c>
      <c r="D6" s="12">
        <f>C6/1000*$B$1</f>
        <v>0.86384007299999999</v>
      </c>
      <c r="E6" s="12">
        <f>D6/22.4</f>
        <v>3.8564288973214289E-2</v>
      </c>
      <c r="F6" s="12">
        <f>E6/Calculation!K$4*1000</f>
        <v>2.5138084121898389E-2</v>
      </c>
      <c r="G6" s="12">
        <f>G5+(F6+F5)/2*30</f>
        <v>0.5094375006211076</v>
      </c>
      <c r="I6" s="79">
        <v>0.16666666666666666</v>
      </c>
      <c r="J6" t="s">
        <v>168</v>
      </c>
    </row>
    <row r="7" spans="1:10">
      <c r="A7" s="12">
        <v>1</v>
      </c>
      <c r="B7" s="76">
        <v>23103.48</v>
      </c>
      <c r="C7" s="12">
        <f t="shared" si="0"/>
        <v>23.103480000000001</v>
      </c>
      <c r="D7" s="12">
        <f t="shared" ref="D7:D69" si="1">C7/1000*$B$1</f>
        <v>1.6241746440000002</v>
      </c>
      <c r="E7" s="12">
        <f t="shared" ref="E7:E69" si="2">D7/22.4</f>
        <v>7.2507796607142877E-2</v>
      </c>
      <c r="F7" s="12">
        <f>E7/Calculation!K$4*1000</f>
        <v>4.7264117636652371E-2</v>
      </c>
      <c r="G7" s="12">
        <f t="shared" ref="G7:G70" si="3">G6+(F7+F6)/2*30</f>
        <v>1.595470526999369</v>
      </c>
      <c r="I7" s="79">
        <v>2</v>
      </c>
      <c r="J7" t="s">
        <v>169</v>
      </c>
    </row>
    <row r="8" spans="1:10">
      <c r="A8" s="12">
        <v>1.5</v>
      </c>
      <c r="B8" s="76">
        <v>38398.400000000001</v>
      </c>
      <c r="C8" s="12">
        <f t="shared" si="0"/>
        <v>38.398400000000002</v>
      </c>
      <c r="D8" s="12">
        <f t="shared" si="1"/>
        <v>2.6994075199999998</v>
      </c>
      <c r="E8" s="12">
        <f t="shared" si="2"/>
        <v>0.12050926428571429</v>
      </c>
      <c r="F8" s="12">
        <f>E8/Calculation!K$4*1000</f>
        <v>7.8553815038220745E-2</v>
      </c>
      <c r="G8" s="12">
        <f t="shared" si="3"/>
        <v>3.4827395171224658</v>
      </c>
      <c r="I8" s="79">
        <v>3.3333333333333335</v>
      </c>
      <c r="J8" t="s">
        <v>170</v>
      </c>
    </row>
    <row r="9" spans="1:10">
      <c r="A9" s="12">
        <v>2</v>
      </c>
      <c r="B9" s="76">
        <v>68299.100000000006</v>
      </c>
      <c r="C9" s="12">
        <f t="shared" si="0"/>
        <v>68.29910000000001</v>
      </c>
      <c r="D9" s="12">
        <f t="shared" si="1"/>
        <v>4.8014267300000011</v>
      </c>
      <c r="E9" s="12">
        <f t="shared" si="2"/>
        <v>0.21434940758928578</v>
      </c>
      <c r="F9" s="12">
        <f>E9/Calculation!K$5*1000</f>
        <v>0.14392069480644046</v>
      </c>
      <c r="G9" s="12">
        <f t="shared" si="3"/>
        <v>6.819857164792384</v>
      </c>
      <c r="I9" s="79">
        <v>4.666666666666667</v>
      </c>
      <c r="J9" t="s">
        <v>171</v>
      </c>
    </row>
    <row r="10" spans="1:10">
      <c r="A10" s="12">
        <v>2.5</v>
      </c>
      <c r="B10" s="76">
        <v>70552.289999999994</v>
      </c>
      <c r="C10" s="12">
        <f t="shared" si="0"/>
        <v>70.552289999999999</v>
      </c>
      <c r="D10" s="12">
        <f t="shared" si="1"/>
        <v>4.9598259870000003</v>
      </c>
      <c r="E10" s="12">
        <f t="shared" si="2"/>
        <v>0.22142080299107145</v>
      </c>
      <c r="F10" s="12">
        <f>E10/Calculation!K$5*1000</f>
        <v>0.14866864419861284</v>
      </c>
      <c r="G10" s="12">
        <f t="shared" si="3"/>
        <v>11.208697249868184</v>
      </c>
      <c r="I10" s="79">
        <v>6</v>
      </c>
      <c r="J10" t="s">
        <v>172</v>
      </c>
    </row>
    <row r="11" spans="1:10">
      <c r="A11" s="12">
        <v>3</v>
      </c>
      <c r="B11" s="76">
        <v>89977.279999999999</v>
      </c>
      <c r="C11" s="12">
        <f t="shared" si="0"/>
        <v>89.977279999999993</v>
      </c>
      <c r="D11" s="12">
        <f t="shared" si="1"/>
        <v>6.3254027839999996</v>
      </c>
      <c r="E11" s="12">
        <f t="shared" si="2"/>
        <v>0.28238405285714285</v>
      </c>
      <c r="F11" s="12">
        <f>E11/Calculation!K$5*1000</f>
        <v>0.18960121955331233</v>
      </c>
      <c r="G11" s="12">
        <f t="shared" si="3"/>
        <v>16.282745206147062</v>
      </c>
      <c r="I11" s="79">
        <v>7.333333333333333</v>
      </c>
      <c r="J11" t="s">
        <v>173</v>
      </c>
    </row>
    <row r="12" spans="1:10">
      <c r="A12" s="12">
        <v>3.5</v>
      </c>
      <c r="B12" s="76">
        <v>102502.74</v>
      </c>
      <c r="C12" s="12">
        <f t="shared" si="0"/>
        <v>102.50274</v>
      </c>
      <c r="D12" s="12">
        <f t="shared" si="1"/>
        <v>7.2059426220000002</v>
      </c>
      <c r="E12" s="12">
        <f t="shared" si="2"/>
        <v>0.32169386705357145</v>
      </c>
      <c r="F12" s="12">
        <f>E12/Calculation!K$6*1000</f>
        <v>0.22370912922014738</v>
      </c>
      <c r="G12" s="12">
        <f t="shared" si="3"/>
        <v>22.482400437748957</v>
      </c>
      <c r="I12" s="79">
        <v>8.6666666666666661</v>
      </c>
      <c r="J12" t="s">
        <v>174</v>
      </c>
    </row>
    <row r="13" spans="1:10">
      <c r="A13" s="12">
        <v>4</v>
      </c>
      <c r="B13" s="76">
        <v>96740.4</v>
      </c>
      <c r="C13" s="12">
        <f t="shared" si="0"/>
        <v>96.740399999999994</v>
      </c>
      <c r="D13" s="12">
        <f t="shared" si="1"/>
        <v>6.8008501199999989</v>
      </c>
      <c r="E13" s="12">
        <f t="shared" si="2"/>
        <v>0.3036093803571428</v>
      </c>
      <c r="F13" s="12">
        <f>E13/Calculation!K$6*1000</f>
        <v>0.21113299648778894</v>
      </c>
      <c r="G13" s="12">
        <f t="shared" si="3"/>
        <v>29.005032323368003</v>
      </c>
      <c r="I13" s="79">
        <v>10</v>
      </c>
      <c r="J13" t="s">
        <v>175</v>
      </c>
    </row>
    <row r="14" spans="1:10">
      <c r="A14" s="12">
        <v>4.5</v>
      </c>
      <c r="B14" s="76">
        <v>99479.27</v>
      </c>
      <c r="C14" s="12">
        <f t="shared" si="0"/>
        <v>99.47927</v>
      </c>
      <c r="D14" s="12">
        <f t="shared" si="1"/>
        <v>6.9933926809999996</v>
      </c>
      <c r="E14" s="12">
        <f t="shared" si="2"/>
        <v>0.31220503040178571</v>
      </c>
      <c r="F14" s="12">
        <f>E14/Calculation!K$6*1000</f>
        <v>0.21711049740871249</v>
      </c>
      <c r="G14" s="12">
        <f t="shared" si="3"/>
        <v>35.428684731815522</v>
      </c>
      <c r="I14" s="79">
        <v>11.333333333333334</v>
      </c>
      <c r="J14" t="s">
        <v>176</v>
      </c>
    </row>
    <row r="15" spans="1:10">
      <c r="A15" s="12">
        <v>5</v>
      </c>
      <c r="B15" s="76">
        <v>100307.17</v>
      </c>
      <c r="C15" s="12">
        <f t="shared" si="0"/>
        <v>100.30717</v>
      </c>
      <c r="D15" s="12">
        <f t="shared" si="1"/>
        <v>7.0515940509999995</v>
      </c>
      <c r="E15" s="12">
        <f t="shared" si="2"/>
        <v>0.31480330584821431</v>
      </c>
      <c r="F15" s="12">
        <f>E15/Calculation!K$7*1000</f>
        <v>0.22663659416007653</v>
      </c>
      <c r="G15" s="12">
        <f t="shared" si="3"/>
        <v>42.08489110534736</v>
      </c>
      <c r="I15" s="79">
        <v>12.666666666666666</v>
      </c>
      <c r="J15" t="s">
        <v>177</v>
      </c>
    </row>
    <row r="16" spans="1:10">
      <c r="A16" s="12">
        <v>5.5</v>
      </c>
      <c r="B16" s="76">
        <v>106631.64</v>
      </c>
      <c r="C16" s="12">
        <f t="shared" si="0"/>
        <v>106.63164</v>
      </c>
      <c r="D16" s="12">
        <f t="shared" si="1"/>
        <v>7.4962042919999998</v>
      </c>
      <c r="E16" s="12">
        <f t="shared" si="2"/>
        <v>0.3346519773214286</v>
      </c>
      <c r="F16" s="12">
        <f>E16/Calculation!K$7*1000</f>
        <v>0.24092626398794206</v>
      </c>
      <c r="G16" s="12">
        <f t="shared" si="3"/>
        <v>49.098333977567641</v>
      </c>
      <c r="I16" s="79">
        <v>14</v>
      </c>
      <c r="J16" t="s">
        <v>178</v>
      </c>
    </row>
    <row r="17" spans="1:10">
      <c r="A17" s="12">
        <v>6</v>
      </c>
      <c r="B17" s="76">
        <v>107873.48</v>
      </c>
      <c r="C17" s="12">
        <f t="shared" si="0"/>
        <v>107.87348</v>
      </c>
      <c r="D17" s="12">
        <f t="shared" si="1"/>
        <v>7.5835056439999988</v>
      </c>
      <c r="E17" s="12">
        <f t="shared" si="2"/>
        <v>0.33854935910714284</v>
      </c>
      <c r="F17" s="12">
        <f>E17/Calculation!K$8*1000</f>
        <v>0.25366587779519273</v>
      </c>
      <c r="G17" s="12">
        <f t="shared" si="3"/>
        <v>56.517216104314663</v>
      </c>
      <c r="I17" s="79">
        <v>15.333333333333334</v>
      </c>
      <c r="J17" t="s">
        <v>179</v>
      </c>
    </row>
    <row r="18" spans="1:10">
      <c r="A18" s="12">
        <v>6.5</v>
      </c>
      <c r="B18" s="76">
        <v>104262.02</v>
      </c>
      <c r="C18" s="12">
        <f t="shared" si="0"/>
        <v>104.26202000000001</v>
      </c>
      <c r="D18" s="12">
        <f t="shared" si="1"/>
        <v>7.3296200060000007</v>
      </c>
      <c r="E18" s="12">
        <f t="shared" si="2"/>
        <v>0.32721517883928575</v>
      </c>
      <c r="F18" s="12">
        <f>E18/Calculation!K$8*1000</f>
        <v>0.24517348308407166</v>
      </c>
      <c r="G18" s="12">
        <f t="shared" si="3"/>
        <v>63.999806517503629</v>
      </c>
      <c r="I18" s="79">
        <v>16.666666666666668</v>
      </c>
      <c r="J18" t="s">
        <v>180</v>
      </c>
    </row>
    <row r="19" spans="1:10">
      <c r="A19" s="12">
        <v>7</v>
      </c>
      <c r="B19" s="76">
        <v>106526.98</v>
      </c>
      <c r="C19" s="12">
        <f t="shared" si="0"/>
        <v>106.52697999999999</v>
      </c>
      <c r="D19" s="12">
        <f t="shared" si="1"/>
        <v>7.4888466939999994</v>
      </c>
      <c r="E19" s="12">
        <f t="shared" si="2"/>
        <v>0.33432351312499997</v>
      </c>
      <c r="F19" s="12">
        <f>E19/Calculation!K$8*1000</f>
        <v>0.25049956570021603</v>
      </c>
      <c r="G19" s="12">
        <f t="shared" si="3"/>
        <v>71.43490224926795</v>
      </c>
      <c r="I19" s="79">
        <v>18</v>
      </c>
      <c r="J19" t="s">
        <v>181</v>
      </c>
    </row>
    <row r="20" spans="1:10">
      <c r="A20" s="12">
        <v>7.5</v>
      </c>
      <c r="B20" s="76">
        <v>101736</v>
      </c>
      <c r="C20" s="12">
        <f t="shared" si="0"/>
        <v>101.736</v>
      </c>
      <c r="D20" s="12">
        <f t="shared" si="1"/>
        <v>7.1520408</v>
      </c>
      <c r="E20" s="12">
        <f t="shared" si="2"/>
        <v>0.31928753571428575</v>
      </c>
      <c r="F20" s="12">
        <f>E20/Calculation!K$9*1000</f>
        <v>0.2483864846878206</v>
      </c>
      <c r="G20" s="12">
        <f t="shared" si="3"/>
        <v>78.918193005088497</v>
      </c>
      <c r="I20" s="79">
        <v>24</v>
      </c>
      <c r="J20" t="s">
        <v>182</v>
      </c>
    </row>
    <row r="21" spans="1:10">
      <c r="A21" s="12">
        <v>8</v>
      </c>
      <c r="B21" s="76">
        <v>124993.53</v>
      </c>
      <c r="C21" s="12">
        <f t="shared" si="0"/>
        <v>124.99352999999999</v>
      </c>
      <c r="D21" s="12">
        <f t="shared" si="1"/>
        <v>8.7870451589999998</v>
      </c>
      <c r="E21" s="12">
        <f t="shared" si="2"/>
        <v>0.39227880174107144</v>
      </c>
      <c r="F21" s="12">
        <f>E21/Calculation!K$9*1000</f>
        <v>0.30516929627095268</v>
      </c>
      <c r="G21" s="12">
        <f t="shared" si="3"/>
        <v>87.221529719470098</v>
      </c>
      <c r="I21" s="79">
        <v>30</v>
      </c>
      <c r="J21" t="s">
        <v>183</v>
      </c>
    </row>
    <row r="22" spans="1:10">
      <c r="A22" s="12">
        <v>8.5</v>
      </c>
      <c r="B22" s="76">
        <v>124932.38</v>
      </c>
      <c r="C22" s="12">
        <f t="shared" si="0"/>
        <v>124.93238000000001</v>
      </c>
      <c r="D22" s="12">
        <f t="shared" si="1"/>
        <v>8.7827463140000006</v>
      </c>
      <c r="E22" s="12">
        <f t="shared" si="2"/>
        <v>0.39208688901785721</v>
      </c>
      <c r="F22" s="12">
        <f>E22/Calculation!K$9*1000</f>
        <v>0.3050199997236277</v>
      </c>
      <c r="G22" s="12">
        <f t="shared" si="3"/>
        <v>96.374369159388806</v>
      </c>
      <c r="I22" s="79">
        <v>48</v>
      </c>
      <c r="J22" t="s">
        <v>184</v>
      </c>
    </row>
    <row r="23" spans="1:10">
      <c r="A23" s="12">
        <v>9</v>
      </c>
      <c r="B23" s="76">
        <v>112486.89</v>
      </c>
      <c r="C23" s="12">
        <f t="shared" si="0"/>
        <v>112.48689</v>
      </c>
      <c r="D23" s="12">
        <f t="shared" si="1"/>
        <v>7.9078283670000005</v>
      </c>
      <c r="E23" s="12">
        <f t="shared" si="2"/>
        <v>0.35302805209821431</v>
      </c>
      <c r="F23" s="12">
        <f>E23/Calculation!K$10*1000</f>
        <v>0.2852546287668013</v>
      </c>
      <c r="G23" s="12">
        <f t="shared" si="3"/>
        <v>105.22848858674524</v>
      </c>
    </row>
    <row r="24" spans="1:10">
      <c r="A24" s="12">
        <v>9.5</v>
      </c>
      <c r="B24" s="76">
        <v>97764.68</v>
      </c>
      <c r="C24" s="12">
        <f t="shared" si="0"/>
        <v>97.764679999999998</v>
      </c>
      <c r="D24" s="12">
        <f t="shared" si="1"/>
        <v>6.8728570039999992</v>
      </c>
      <c r="E24" s="12">
        <f t="shared" si="2"/>
        <v>0.30682397339285711</v>
      </c>
      <c r="F24" s="12">
        <f>E24/Calculation!K$10*1000</f>
        <v>0.24792069102368386</v>
      </c>
      <c r="G24" s="12">
        <f t="shared" si="3"/>
        <v>113.22611838360253</v>
      </c>
    </row>
    <row r="25" spans="1:10">
      <c r="A25" s="12">
        <v>10</v>
      </c>
      <c r="B25" s="76">
        <v>32593.72</v>
      </c>
      <c r="C25" s="12">
        <f t="shared" si="0"/>
        <v>32.593720000000005</v>
      </c>
      <c r="D25" s="12">
        <f t="shared" si="1"/>
        <v>2.2913385160000002</v>
      </c>
      <c r="E25" s="12">
        <f t="shared" si="2"/>
        <v>0.1022918980357143</v>
      </c>
      <c r="F25" s="12">
        <f>E25/Calculation!K$11*1000</f>
        <v>8.5759473040387016E-2</v>
      </c>
      <c r="G25" s="12">
        <f t="shared" si="3"/>
        <v>118.23132084456358</v>
      </c>
    </row>
    <row r="26" spans="1:10">
      <c r="A26" s="12">
        <v>10.5</v>
      </c>
      <c r="B26" s="76">
        <v>9994.73</v>
      </c>
      <c r="C26" s="12">
        <f t="shared" si="0"/>
        <v>9.9947299999999988</v>
      </c>
      <c r="D26" s="12">
        <f t="shared" si="1"/>
        <v>0.70262951899999992</v>
      </c>
      <c r="E26" s="12">
        <f t="shared" si="2"/>
        <v>3.1367389241071429E-2</v>
      </c>
      <c r="F26" s="12">
        <f>E26/Calculation!K$11*1000</f>
        <v>2.6297789205434276E-2</v>
      </c>
      <c r="G26" s="12">
        <f t="shared" si="3"/>
        <v>119.9121797782509</v>
      </c>
    </row>
    <row r="27" spans="1:10">
      <c r="A27" s="12">
        <v>11</v>
      </c>
      <c r="B27" s="76">
        <v>3456.23</v>
      </c>
      <c r="C27" s="12">
        <f t="shared" si="0"/>
        <v>3.4562300000000001</v>
      </c>
      <c r="D27" s="12">
        <f t="shared" si="1"/>
        <v>0.24297296900000001</v>
      </c>
      <c r="E27" s="12">
        <f t="shared" si="2"/>
        <v>1.0847007544642859E-2</v>
      </c>
      <c r="F27" s="12">
        <f>E27/Calculation!K$11*1000</f>
        <v>9.0939132908540929E-3</v>
      </c>
      <c r="G27" s="12">
        <f t="shared" si="3"/>
        <v>120.44305531569523</v>
      </c>
    </row>
    <row r="28" spans="1:10">
      <c r="A28" s="12">
        <v>11.5</v>
      </c>
      <c r="B28" s="76">
        <v>1909.81</v>
      </c>
      <c r="C28" s="12">
        <f t="shared" si="0"/>
        <v>1.90981</v>
      </c>
      <c r="D28" s="12">
        <f t="shared" si="1"/>
        <v>0.13425964300000001</v>
      </c>
      <c r="E28" s="12">
        <f t="shared" si="2"/>
        <v>5.9937340625000005E-3</v>
      </c>
      <c r="F28" s="12">
        <f>E28/Calculation!K$12*1000</f>
        <v>5.238057307925946E-3</v>
      </c>
      <c r="G28" s="12">
        <f t="shared" si="3"/>
        <v>120.65803487467693</v>
      </c>
    </row>
    <row r="29" spans="1:10">
      <c r="A29" s="12">
        <v>12</v>
      </c>
      <c r="B29" s="76">
        <v>1304.17</v>
      </c>
      <c r="C29" s="12">
        <f t="shared" si="0"/>
        <v>1.3041700000000001</v>
      </c>
      <c r="D29" s="12">
        <f t="shared" si="1"/>
        <v>9.1683151000000004E-2</v>
      </c>
      <c r="E29" s="12">
        <f t="shared" si="2"/>
        <v>4.0929978125000006E-3</v>
      </c>
      <c r="F29" s="12">
        <f>E29/Calculation!K$12*1000</f>
        <v>3.5769616869101017E-3</v>
      </c>
      <c r="G29" s="12">
        <f t="shared" si="3"/>
        <v>120.79026015959947</v>
      </c>
    </row>
    <row r="30" spans="1:10">
      <c r="A30" s="12">
        <v>12.5</v>
      </c>
      <c r="B30" s="76">
        <v>2102.67</v>
      </c>
      <c r="C30" s="12">
        <f t="shared" si="0"/>
        <v>2.1026700000000003</v>
      </c>
      <c r="D30" s="12">
        <f t="shared" si="1"/>
        <v>0.147817701</v>
      </c>
      <c r="E30" s="12">
        <f t="shared" si="2"/>
        <v>6.5990045089285715E-3</v>
      </c>
      <c r="F30" s="12">
        <f>E30/Calculation!K$12*1000</f>
        <v>5.7670165930938933E-3</v>
      </c>
      <c r="G30" s="12">
        <f t="shared" si="3"/>
        <v>120.93041983379953</v>
      </c>
    </row>
    <row r="31" spans="1:10">
      <c r="A31" s="12">
        <v>13</v>
      </c>
      <c r="B31" s="76">
        <v>1700.48</v>
      </c>
      <c r="C31" s="12">
        <f t="shared" si="0"/>
        <v>1.70048</v>
      </c>
      <c r="D31" s="12">
        <f t="shared" si="1"/>
        <v>0.11954374400000001</v>
      </c>
      <c r="E31" s="12">
        <f t="shared" si="2"/>
        <v>5.3367742857142863E-3</v>
      </c>
      <c r="F31" s="12">
        <f>E31/Calculation!K$13*1000</f>
        <v>4.8827370205704271E-3</v>
      </c>
      <c r="G31" s="12">
        <f t="shared" si="3"/>
        <v>121.09016613800449</v>
      </c>
    </row>
    <row r="32" spans="1:10">
      <c r="A32" s="12">
        <v>13.5</v>
      </c>
      <c r="B32" s="76">
        <v>2041.52</v>
      </c>
      <c r="C32" s="12">
        <f t="shared" si="0"/>
        <v>2.0415199999999998</v>
      </c>
      <c r="D32" s="12">
        <f t="shared" si="1"/>
        <v>0.14351885599999997</v>
      </c>
      <c r="E32" s="12">
        <f t="shared" si="2"/>
        <v>6.4070917857142846E-3</v>
      </c>
      <c r="F32" s="12">
        <f>E32/Calculation!K$13*1000</f>
        <v>5.8619950144870479E-3</v>
      </c>
      <c r="G32" s="12">
        <f t="shared" si="3"/>
        <v>121.25133711853036</v>
      </c>
    </row>
    <row r="33" spans="1:7">
      <c r="A33" s="12">
        <v>14</v>
      </c>
      <c r="B33" s="76">
        <v>2013.29</v>
      </c>
      <c r="C33" s="12">
        <f t="shared" si="0"/>
        <v>2.01329</v>
      </c>
      <c r="D33" s="12">
        <f t="shared" si="1"/>
        <v>0.14153428700000001</v>
      </c>
      <c r="E33" s="12">
        <f t="shared" si="2"/>
        <v>6.3184949553571432E-3</v>
      </c>
      <c r="F33" s="12">
        <f>E33/Calculation!K$14*1000</f>
        <v>6.0542163441542488E-3</v>
      </c>
      <c r="G33" s="12">
        <f t="shared" si="3"/>
        <v>121.43008028890998</v>
      </c>
    </row>
    <row r="34" spans="1:7">
      <c r="A34" s="12">
        <v>14.5</v>
      </c>
      <c r="B34" s="76">
        <v>1889.81</v>
      </c>
      <c r="C34" s="12">
        <f t="shared" si="0"/>
        <v>1.88981</v>
      </c>
      <c r="D34" s="12">
        <f t="shared" si="1"/>
        <v>0.13285364299999999</v>
      </c>
      <c r="E34" s="12">
        <f t="shared" si="2"/>
        <v>5.9309662053571429E-3</v>
      </c>
      <c r="F34" s="12">
        <f>E34/Calculation!K$14*1000</f>
        <v>5.6828964477775882E-3</v>
      </c>
      <c r="G34" s="12">
        <f t="shared" si="3"/>
        <v>121.60613698078896</v>
      </c>
    </row>
    <row r="35" spans="1:7">
      <c r="A35" s="12">
        <v>15</v>
      </c>
      <c r="B35" s="76">
        <v>1789.86</v>
      </c>
      <c r="C35" s="12">
        <f t="shared" si="0"/>
        <v>1.78986</v>
      </c>
      <c r="D35" s="12">
        <f t="shared" si="1"/>
        <v>0.12582715799999999</v>
      </c>
      <c r="E35" s="12">
        <f t="shared" si="2"/>
        <v>5.6172838392857145E-3</v>
      </c>
      <c r="F35" s="12">
        <f>E35/Calculation!K$14*1000</f>
        <v>5.382334221968977E-3</v>
      </c>
      <c r="G35" s="12">
        <f t="shared" si="3"/>
        <v>121.77211544083517</v>
      </c>
    </row>
    <row r="36" spans="1:7">
      <c r="A36" s="12">
        <v>15.5</v>
      </c>
      <c r="B36" s="76">
        <v>1760.46</v>
      </c>
      <c r="C36" s="12">
        <f t="shared" si="0"/>
        <v>1.7604600000000001</v>
      </c>
      <c r="D36" s="12">
        <f t="shared" si="1"/>
        <v>0.12376033800000001</v>
      </c>
      <c r="E36" s="12">
        <f t="shared" si="2"/>
        <v>5.5250150892857154E-3</v>
      </c>
      <c r="F36" s="12">
        <f>E36/Calculation!K$15*1000</f>
        <v>5.4988830926485802E-3</v>
      </c>
      <c r="G36" s="12">
        <f t="shared" si="3"/>
        <v>121.93533370055442</v>
      </c>
    </row>
    <row r="37" spans="1:7">
      <c r="A37" s="12">
        <v>16</v>
      </c>
      <c r="B37" s="76">
        <v>1664.02</v>
      </c>
      <c r="C37" s="12">
        <f t="shared" si="0"/>
        <v>1.6640200000000001</v>
      </c>
      <c r="D37" s="12">
        <f t="shared" si="1"/>
        <v>0.116980606</v>
      </c>
      <c r="E37" s="12">
        <f t="shared" si="2"/>
        <v>5.2223484821428577E-3</v>
      </c>
      <c r="F37" s="12">
        <f>E37/Calculation!K$15*1000</f>
        <v>5.1976480259870086E-3</v>
      </c>
      <c r="G37" s="12">
        <f t="shared" si="3"/>
        <v>122.09578166733395</v>
      </c>
    </row>
    <row r="38" spans="1:7">
      <c r="A38" s="12">
        <v>16.5</v>
      </c>
      <c r="B38" s="76">
        <v>1567.59</v>
      </c>
      <c r="C38" s="12">
        <f t="shared" si="0"/>
        <v>1.5675899999999998</v>
      </c>
      <c r="D38" s="12">
        <f t="shared" si="1"/>
        <v>0.11020157699999998</v>
      </c>
      <c r="E38" s="12">
        <f t="shared" si="2"/>
        <v>4.9197132589285713E-3</v>
      </c>
      <c r="F38" s="12">
        <f>E38/Calculation!K$15*1000</f>
        <v>4.8964441948155515E-3</v>
      </c>
      <c r="G38" s="12">
        <f t="shared" si="3"/>
        <v>122.24719305064599</v>
      </c>
    </row>
    <row r="39" spans="1:7">
      <c r="A39" s="12">
        <v>17</v>
      </c>
      <c r="B39" s="76">
        <v>1593.47</v>
      </c>
      <c r="C39" s="12">
        <f t="shared" si="0"/>
        <v>1.5934699999999999</v>
      </c>
      <c r="D39" s="12">
        <f t="shared" si="1"/>
        <v>0.112020941</v>
      </c>
      <c r="E39" s="12">
        <f t="shared" si="2"/>
        <v>5.0009348660714293E-3</v>
      </c>
      <c r="F39" s="12">
        <f>E39/Calculation!K$16*1000</f>
        <v>5.2286097262062015E-3</v>
      </c>
      <c r="G39" s="12">
        <f t="shared" si="3"/>
        <v>122.39906885946132</v>
      </c>
    </row>
    <row r="40" spans="1:7">
      <c r="A40" s="12">
        <v>17.5</v>
      </c>
      <c r="B40" s="76">
        <v>1361.8</v>
      </c>
      <c r="C40" s="12">
        <f t="shared" si="0"/>
        <v>1.3617999999999999</v>
      </c>
      <c r="D40" s="12">
        <f t="shared" si="1"/>
        <v>9.5734539999999979E-2</v>
      </c>
      <c r="E40" s="12">
        <f t="shared" si="2"/>
        <v>4.2738633928571419E-3</v>
      </c>
      <c r="F40" s="12">
        <f>E40/Calculation!K$16*1000</f>
        <v>4.468437262796038E-3</v>
      </c>
      <c r="G40" s="12">
        <f t="shared" si="3"/>
        <v>122.54452456429635</v>
      </c>
    </row>
    <row r="41" spans="1:7">
      <c r="A41" s="12">
        <v>18</v>
      </c>
      <c r="B41" s="76">
        <v>1223.03</v>
      </c>
      <c r="C41" s="12">
        <f t="shared" si="0"/>
        <v>1.2230300000000001</v>
      </c>
      <c r="D41" s="12">
        <f t="shared" si="1"/>
        <v>8.5979009000000009E-2</v>
      </c>
      <c r="E41" s="12">
        <f t="shared" si="2"/>
        <v>3.8383486160714292E-3</v>
      </c>
      <c r="F41" s="12">
        <f>E41/Calculation!K$17*1000</f>
        <v>4.2395392742672258E-3</v>
      </c>
      <c r="G41" s="12">
        <f t="shared" si="3"/>
        <v>122.67514421235231</v>
      </c>
    </row>
    <row r="42" spans="1:7">
      <c r="A42" s="12">
        <v>18.5</v>
      </c>
      <c r="B42" s="76">
        <v>1023.11</v>
      </c>
      <c r="C42" s="12">
        <f t="shared" si="0"/>
        <v>1.02311</v>
      </c>
      <c r="D42" s="12">
        <f t="shared" si="1"/>
        <v>7.1924633000000002E-2</v>
      </c>
      <c r="E42" s="12">
        <f t="shared" si="2"/>
        <v>3.2109211160714288E-3</v>
      </c>
      <c r="F42" s="12">
        <f>E42/Calculation!K$17*1000</f>
        <v>3.5465319958590882E-3</v>
      </c>
      <c r="G42" s="12">
        <f t="shared" si="3"/>
        <v>122.79193528140421</v>
      </c>
    </row>
    <row r="43" spans="1:7">
      <c r="A43" s="12">
        <v>19</v>
      </c>
      <c r="B43" s="76">
        <v>1028.99</v>
      </c>
      <c r="C43" s="12">
        <f t="shared" si="0"/>
        <v>1.0289900000000001</v>
      </c>
      <c r="D43" s="12">
        <f t="shared" si="1"/>
        <v>7.2337997000000001E-2</v>
      </c>
      <c r="E43" s="12">
        <f t="shared" si="2"/>
        <v>3.2293748660714287E-3</v>
      </c>
      <c r="F43" s="12">
        <f>E43/Calculation!K$17*1000</f>
        <v>3.5669145628710922E-3</v>
      </c>
      <c r="G43" s="12">
        <f t="shared" si="3"/>
        <v>122.89863697978517</v>
      </c>
    </row>
    <row r="44" spans="1:7">
      <c r="A44" s="12">
        <v>19.5</v>
      </c>
      <c r="B44" s="76">
        <v>950.2</v>
      </c>
      <c r="C44" s="12">
        <f t="shared" si="0"/>
        <v>0.95020000000000004</v>
      </c>
      <c r="D44" s="12">
        <f t="shared" si="1"/>
        <v>6.6799059999999993E-2</v>
      </c>
      <c r="E44" s="12">
        <f t="shared" si="2"/>
        <v>2.9821008928571429E-3</v>
      </c>
      <c r="F44" s="12">
        <f>E44/Calculation!K$17*1000</f>
        <v>3.2937950977561608E-3</v>
      </c>
      <c r="G44" s="12">
        <f t="shared" si="3"/>
        <v>123.00154762469458</v>
      </c>
    </row>
    <row r="45" spans="1:7">
      <c r="A45" s="12">
        <v>20</v>
      </c>
      <c r="B45" s="76">
        <v>1012.53</v>
      </c>
      <c r="C45" s="12">
        <f t="shared" si="0"/>
        <v>1.0125299999999999</v>
      </c>
      <c r="D45" s="12">
        <f t="shared" si="1"/>
        <v>7.1180858999999999E-2</v>
      </c>
      <c r="E45" s="12">
        <f t="shared" si="2"/>
        <v>3.1777169196428572E-3</v>
      </c>
      <c r="F45" s="12">
        <f>E45/Calculation!K$17*1000</f>
        <v>3.5098572409293259E-3</v>
      </c>
      <c r="G45" s="12">
        <f t="shared" si="3"/>
        <v>123.10360240977487</v>
      </c>
    </row>
    <row r="46" spans="1:7">
      <c r="A46" s="12">
        <v>20.5</v>
      </c>
      <c r="B46" s="76">
        <v>777.33</v>
      </c>
      <c r="C46" s="12">
        <f t="shared" si="0"/>
        <v>0.77733000000000008</v>
      </c>
      <c r="D46" s="12">
        <f t="shared" si="1"/>
        <v>5.4646299000000009E-2</v>
      </c>
      <c r="E46" s="12">
        <f t="shared" si="2"/>
        <v>2.4395669196428577E-3</v>
      </c>
      <c r="F46" s="12">
        <f>E46/Calculation!K$17*1000</f>
        <v>2.6945545604491654E-3</v>
      </c>
      <c r="G46" s="12">
        <f t="shared" si="3"/>
        <v>123.19666858679554</v>
      </c>
    </row>
    <row r="47" spans="1:7">
      <c r="A47" s="12">
        <v>21</v>
      </c>
      <c r="B47" s="76">
        <v>858.47</v>
      </c>
      <c r="C47" s="12">
        <f t="shared" si="0"/>
        <v>0.85847000000000007</v>
      </c>
      <c r="D47" s="12">
        <f t="shared" si="1"/>
        <v>6.0350441000000005E-2</v>
      </c>
      <c r="E47" s="12">
        <f t="shared" si="2"/>
        <v>2.6942161160714291E-3</v>
      </c>
      <c r="F47" s="12">
        <f>E47/Calculation!K$17*1000</f>
        <v>2.9758201195229763E-3</v>
      </c>
      <c r="G47" s="12">
        <f t="shared" si="3"/>
        <v>123.28172420699512</v>
      </c>
    </row>
    <row r="48" spans="1:7">
      <c r="A48" s="12">
        <v>21.5</v>
      </c>
      <c r="B48" s="76">
        <v>787.91</v>
      </c>
      <c r="C48" s="12">
        <f t="shared" si="0"/>
        <v>0.78791</v>
      </c>
      <c r="D48" s="12">
        <f t="shared" si="1"/>
        <v>5.5390072999999998E-2</v>
      </c>
      <c r="E48" s="12">
        <f t="shared" si="2"/>
        <v>2.4727711160714289E-3</v>
      </c>
      <c r="F48" s="12">
        <f>E48/Calculation!K$17*1000</f>
        <v>2.7312293153789273E-3</v>
      </c>
      <c r="G48" s="12">
        <f t="shared" si="3"/>
        <v>123.36732994851864</v>
      </c>
    </row>
    <row r="49" spans="1:7">
      <c r="A49" s="12">
        <v>22</v>
      </c>
      <c r="B49" s="76">
        <v>742.05</v>
      </c>
      <c r="C49" s="12">
        <f t="shared" si="0"/>
        <v>0.74204999999999999</v>
      </c>
      <c r="D49" s="12">
        <f t="shared" si="1"/>
        <v>5.2166114999999992E-2</v>
      </c>
      <c r="E49" s="12">
        <f t="shared" si="2"/>
        <v>2.328844419642857E-3</v>
      </c>
      <c r="F49" s="12">
        <f>E49/Calculation!K$17*1000</f>
        <v>2.5722591583771403E-3</v>
      </c>
      <c r="G49" s="12">
        <f t="shared" si="3"/>
        <v>123.44688227562499</v>
      </c>
    </row>
    <row r="50" spans="1:7">
      <c r="A50" s="12">
        <v>22.5</v>
      </c>
      <c r="B50" s="76">
        <v>796.14</v>
      </c>
      <c r="C50" s="12">
        <f t="shared" si="0"/>
        <v>0.79613999999999996</v>
      </c>
      <c r="D50" s="12">
        <f t="shared" si="1"/>
        <v>5.5968641999999999E-2</v>
      </c>
      <c r="E50" s="12">
        <f t="shared" si="2"/>
        <v>2.4986000892857144E-3</v>
      </c>
      <c r="F50" s="12">
        <f>E50/Calculation!K$17*1000</f>
        <v>2.7597579763498103E-3</v>
      </c>
      <c r="G50" s="12">
        <f t="shared" si="3"/>
        <v>123.52686253264589</v>
      </c>
    </row>
    <row r="51" spans="1:7">
      <c r="A51" s="12">
        <v>23</v>
      </c>
      <c r="B51" s="76">
        <v>883.17</v>
      </c>
      <c r="C51" s="12">
        <f t="shared" si="0"/>
        <v>0.88317000000000001</v>
      </c>
      <c r="D51" s="12">
        <f t="shared" si="1"/>
        <v>6.2086850999999992E-2</v>
      </c>
      <c r="E51" s="12">
        <f t="shared" si="2"/>
        <v>2.771734419642857E-3</v>
      </c>
      <c r="F51" s="12">
        <f>E51/Calculation!K$17*1000</f>
        <v>3.0614407666652373E-3</v>
      </c>
      <c r="G51" s="12">
        <f t="shared" si="3"/>
        <v>123.61418051379111</v>
      </c>
    </row>
    <row r="52" spans="1:7">
      <c r="A52" s="12">
        <v>23.5</v>
      </c>
      <c r="B52" s="76">
        <v>813.78</v>
      </c>
      <c r="C52" s="12">
        <f t="shared" si="0"/>
        <v>0.81377999999999995</v>
      </c>
      <c r="D52" s="12">
        <f t="shared" si="1"/>
        <v>5.7208733999999997E-2</v>
      </c>
      <c r="E52" s="12">
        <f t="shared" si="2"/>
        <v>2.5539613392857145E-3</v>
      </c>
      <c r="F52" s="12">
        <f>E52/Calculation!K$17*1000</f>
        <v>2.8209056773858226E-3</v>
      </c>
      <c r="G52" s="12">
        <f t="shared" si="3"/>
        <v>123.70241571045187</v>
      </c>
    </row>
    <row r="53" spans="1:7">
      <c r="A53" s="12">
        <v>24</v>
      </c>
      <c r="B53" s="76">
        <v>758.51</v>
      </c>
      <c r="C53" s="12">
        <f t="shared" si="0"/>
        <v>0.75851000000000002</v>
      </c>
      <c r="D53" s="12">
        <f t="shared" si="1"/>
        <v>5.3323253000000001E-2</v>
      </c>
      <c r="E53" s="12">
        <f t="shared" si="2"/>
        <v>2.3805023660714289E-3</v>
      </c>
      <c r="F53" s="12">
        <f>E53/Calculation!K$18*1000</f>
        <v>2.7865513528961181E-3</v>
      </c>
      <c r="G53" s="12">
        <f t="shared" si="3"/>
        <v>123.7865275659061</v>
      </c>
    </row>
    <row r="54" spans="1:7">
      <c r="A54" s="12">
        <v>24.5</v>
      </c>
      <c r="B54" s="76">
        <v>660.91</v>
      </c>
      <c r="C54" s="12">
        <f t="shared" si="0"/>
        <v>0.66091</v>
      </c>
      <c r="D54" s="12">
        <f t="shared" si="1"/>
        <v>4.6461972999999997E-2</v>
      </c>
      <c r="E54" s="12">
        <f t="shared" si="2"/>
        <v>2.0741952232142856E-3</v>
      </c>
      <c r="F54" s="12">
        <f>E54/Calculation!K$18*1000</f>
        <v>2.4279965387965525E-3</v>
      </c>
      <c r="G54" s="12">
        <f t="shared" si="3"/>
        <v>123.86474578428148</v>
      </c>
    </row>
    <row r="55" spans="1:7">
      <c r="A55" s="12">
        <v>25</v>
      </c>
      <c r="B55" s="76">
        <v>660.91</v>
      </c>
      <c r="C55" s="12">
        <f t="shared" si="0"/>
        <v>0.66091</v>
      </c>
      <c r="D55" s="12">
        <f t="shared" si="1"/>
        <v>4.6461972999999997E-2</v>
      </c>
      <c r="E55" s="12">
        <f t="shared" si="2"/>
        <v>2.0741952232142856E-3</v>
      </c>
      <c r="F55" s="12">
        <f>E55/Calculation!K$18*1000</f>
        <v>2.4279965387965525E-3</v>
      </c>
      <c r="G55" s="12">
        <f t="shared" si="3"/>
        <v>123.93758568044538</v>
      </c>
    </row>
    <row r="56" spans="1:7">
      <c r="A56" s="12">
        <v>25.5</v>
      </c>
      <c r="B56" s="76">
        <v>585.64</v>
      </c>
      <c r="C56" s="12">
        <f t="shared" si="0"/>
        <v>0.58563999999999994</v>
      </c>
      <c r="D56" s="12">
        <f t="shared" si="1"/>
        <v>4.1170491999999989E-2</v>
      </c>
      <c r="E56" s="12">
        <f t="shared" si="2"/>
        <v>1.8379683928571426E-3</v>
      </c>
      <c r="F56" s="12">
        <f>E56/Calculation!K$18*1000</f>
        <v>2.1514758332916929E-3</v>
      </c>
      <c r="G56" s="12">
        <f t="shared" si="3"/>
        <v>124.0062777660267</v>
      </c>
    </row>
    <row r="57" spans="1:7">
      <c r="A57" s="12">
        <v>26</v>
      </c>
      <c r="B57" s="76">
        <v>576.23</v>
      </c>
      <c r="C57" s="12">
        <f t="shared" si="0"/>
        <v>0.57623000000000002</v>
      </c>
      <c r="D57" s="12">
        <f t="shared" si="1"/>
        <v>4.0508969000000006E-2</v>
      </c>
      <c r="E57" s="12">
        <f t="shared" si="2"/>
        <v>1.808436116071429E-3</v>
      </c>
      <c r="F57" s="12">
        <f>E57/Calculation!K$18*1000</f>
        <v>2.1169061529568898E-3</v>
      </c>
      <c r="G57" s="12">
        <f t="shared" si="3"/>
        <v>124.07030349582043</v>
      </c>
    </row>
    <row r="58" spans="1:7">
      <c r="A58" s="12">
        <v>26.5</v>
      </c>
      <c r="B58" s="76">
        <v>489.21</v>
      </c>
      <c r="C58" s="12">
        <f t="shared" si="0"/>
        <v>0.48920999999999998</v>
      </c>
      <c r="D58" s="12">
        <f t="shared" si="1"/>
        <v>3.4391462999999997E-2</v>
      </c>
      <c r="E58" s="12">
        <f t="shared" si="2"/>
        <v>1.5353331696428571E-3</v>
      </c>
      <c r="F58" s="12">
        <f>E58/Calculation!K$18*1000</f>
        <v>1.7972192685004938E-3</v>
      </c>
      <c r="G58" s="12">
        <f t="shared" si="3"/>
        <v>124.12901537714228</v>
      </c>
    </row>
    <row r="59" spans="1:7">
      <c r="A59" s="12">
        <v>27</v>
      </c>
      <c r="B59" s="76">
        <v>480.98</v>
      </c>
      <c r="C59" s="12">
        <f t="shared" si="0"/>
        <v>0.48098000000000002</v>
      </c>
      <c r="D59" s="12">
        <f t="shared" si="1"/>
        <v>3.3812893999999996E-2</v>
      </c>
      <c r="E59" s="12">
        <f t="shared" si="2"/>
        <v>1.5095041964285714E-3</v>
      </c>
      <c r="F59" s="12">
        <f>E59/Calculation!K$18*1000</f>
        <v>1.766984574647631E-3</v>
      </c>
      <c r="G59" s="12">
        <f t="shared" si="3"/>
        <v>124.1824784347895</v>
      </c>
    </row>
    <row r="60" spans="1:7">
      <c r="A60" s="12">
        <v>27.5</v>
      </c>
      <c r="B60" s="76">
        <v>442.17</v>
      </c>
      <c r="C60" s="12">
        <f t="shared" si="0"/>
        <v>0.44217000000000001</v>
      </c>
      <c r="D60" s="12">
        <f t="shared" si="1"/>
        <v>3.1084551000000002E-2</v>
      </c>
      <c r="E60" s="12">
        <f t="shared" si="2"/>
        <v>1.3877031696428574E-3</v>
      </c>
      <c r="F60" s="12">
        <f>E60/Calculation!K$18*1000</f>
        <v>1.6244076040000481E-3</v>
      </c>
      <c r="G60" s="12">
        <f t="shared" si="3"/>
        <v>124.23334931746922</v>
      </c>
    </row>
    <row r="61" spans="1:7">
      <c r="A61" s="12">
        <v>28</v>
      </c>
      <c r="B61" s="76">
        <v>377.49</v>
      </c>
      <c r="C61" s="12">
        <f t="shared" si="0"/>
        <v>0.37748999999999999</v>
      </c>
      <c r="D61" s="12">
        <f t="shared" si="1"/>
        <v>2.6537546999999998E-2</v>
      </c>
      <c r="E61" s="12">
        <f t="shared" si="2"/>
        <v>1.1847119196428571E-3</v>
      </c>
      <c r="F61" s="12">
        <f>E61/Calculation!K$18*1000</f>
        <v>1.3867915653119343E-3</v>
      </c>
      <c r="G61" s="12">
        <f t="shared" si="3"/>
        <v>124.2785173050089</v>
      </c>
    </row>
    <row r="62" spans="1:7">
      <c r="A62" s="12">
        <v>28.5</v>
      </c>
      <c r="B62" s="76">
        <v>390.43</v>
      </c>
      <c r="C62" s="12">
        <f t="shared" si="0"/>
        <v>0.39043</v>
      </c>
      <c r="D62" s="12">
        <f t="shared" si="1"/>
        <v>2.7447228999999997E-2</v>
      </c>
      <c r="E62" s="12">
        <f t="shared" si="2"/>
        <v>1.2253227232142856E-3</v>
      </c>
      <c r="F62" s="12">
        <f>E62/Calculation!K$18*1000</f>
        <v>1.4343294679189874E-3</v>
      </c>
      <c r="G62" s="12">
        <f t="shared" si="3"/>
        <v>124.32083412050737</v>
      </c>
    </row>
    <row r="63" spans="1:7">
      <c r="A63" s="12">
        <v>29</v>
      </c>
      <c r="B63" s="76">
        <v>341.04</v>
      </c>
      <c r="C63" s="12">
        <f t="shared" si="0"/>
        <v>0.34104000000000001</v>
      </c>
      <c r="D63" s="12">
        <f t="shared" si="1"/>
        <v>2.3975112E-2</v>
      </c>
      <c r="E63" s="12">
        <f t="shared" si="2"/>
        <v>1.0703175000000001E-3</v>
      </c>
      <c r="F63" s="12">
        <f>E63/Calculation!K$18*1000</f>
        <v>1.2528845676282342E-3</v>
      </c>
      <c r="G63" s="12">
        <f t="shared" si="3"/>
        <v>124.36114233104058</v>
      </c>
    </row>
    <row r="64" spans="1:7">
      <c r="A64" s="12">
        <v>29.5</v>
      </c>
      <c r="B64" s="76">
        <v>350.44</v>
      </c>
      <c r="C64" s="12">
        <f t="shared" si="0"/>
        <v>0.35043999999999997</v>
      </c>
      <c r="D64" s="12">
        <f t="shared" si="1"/>
        <v>2.4635931999999999E-2</v>
      </c>
      <c r="E64" s="12">
        <f t="shared" si="2"/>
        <v>1.0998183928571429E-3</v>
      </c>
      <c r="F64" s="12">
        <f>E64/Calculation!K$18*1000</f>
        <v>1.2874175107894627E-3</v>
      </c>
      <c r="G64" s="12">
        <f t="shared" si="3"/>
        <v>124.39924686221684</v>
      </c>
    </row>
    <row r="65" spans="1:7">
      <c r="A65" s="12">
        <v>30</v>
      </c>
      <c r="B65" s="76">
        <v>345.74</v>
      </c>
      <c r="C65" s="12">
        <f t="shared" si="0"/>
        <v>0.34573999999999999</v>
      </c>
      <c r="D65" s="12">
        <f t="shared" si="1"/>
        <v>2.4305521999999996E-2</v>
      </c>
      <c r="E65" s="12">
        <f t="shared" si="2"/>
        <v>1.0850679464285713E-3</v>
      </c>
      <c r="F65" s="12">
        <f>E65/Calculation!K$19*1000</f>
        <v>1.3509380311019907E-3</v>
      </c>
      <c r="G65" s="12">
        <f t="shared" si="3"/>
        <v>124.43882219534521</v>
      </c>
    </row>
    <row r="66" spans="1:7">
      <c r="A66" s="12">
        <v>30.5</v>
      </c>
      <c r="B66" s="76">
        <v>221.09</v>
      </c>
      <c r="C66" s="12">
        <f t="shared" si="0"/>
        <v>0.22109000000000001</v>
      </c>
      <c r="D66" s="12">
        <f t="shared" si="1"/>
        <v>1.5542627E-2</v>
      </c>
      <c r="E66" s="12">
        <f t="shared" si="2"/>
        <v>6.9386727678571428E-4</v>
      </c>
      <c r="F66" s="12">
        <f>E66/Calculation!K$19*1000</f>
        <v>8.6388294468773977E-4</v>
      </c>
      <c r="G66" s="12">
        <f t="shared" si="3"/>
        <v>124.47204450998206</v>
      </c>
    </row>
    <row r="67" spans="1:7">
      <c r="A67" s="12">
        <v>31</v>
      </c>
      <c r="B67" s="76">
        <v>346.92</v>
      </c>
      <c r="C67" s="12">
        <f t="shared" si="0"/>
        <v>0.34692000000000001</v>
      </c>
      <c r="D67" s="12">
        <f t="shared" si="1"/>
        <v>2.4388475999999999E-2</v>
      </c>
      <c r="E67" s="12">
        <f t="shared" si="2"/>
        <v>1.08877125E-3</v>
      </c>
      <c r="F67" s="12">
        <f>E67/Calculation!K$19*1000</f>
        <v>1.3555487411057519E-3</v>
      </c>
      <c r="G67" s="12">
        <f t="shared" si="3"/>
        <v>124.50533598526896</v>
      </c>
    </row>
    <row r="68" spans="1:7">
      <c r="A68" s="12">
        <v>31.5</v>
      </c>
      <c r="B68" s="76">
        <v>271.64999999999998</v>
      </c>
      <c r="C68" s="12">
        <f t="shared" si="0"/>
        <v>0.27165</v>
      </c>
      <c r="D68" s="12">
        <f t="shared" si="1"/>
        <v>1.9096995000000002E-2</v>
      </c>
      <c r="E68" s="12">
        <f t="shared" si="2"/>
        <v>8.5254441964285725E-4</v>
      </c>
      <c r="F68" s="12">
        <f>E68/Calculation!K$19*1000</f>
        <v>1.0614401462048242E-3</v>
      </c>
      <c r="G68" s="12">
        <f t="shared" si="3"/>
        <v>124.54159081857861</v>
      </c>
    </row>
    <row r="69" spans="1:7">
      <c r="A69" s="12">
        <v>32</v>
      </c>
      <c r="B69" s="76">
        <v>214.03</v>
      </c>
      <c r="C69" s="12">
        <f t="shared" si="0"/>
        <v>0.21403</v>
      </c>
      <c r="D69" s="12">
        <f t="shared" si="1"/>
        <v>1.5046309000000001E-2</v>
      </c>
      <c r="E69" s="12">
        <f t="shared" si="2"/>
        <v>6.7171022321428576E-4</v>
      </c>
      <c r="F69" s="12">
        <f>E69/Calculation!K$19*1000</f>
        <v>8.3629683229235585E-4</v>
      </c>
      <c r="G69" s="12">
        <f t="shared" si="3"/>
        <v>124.57005687325606</v>
      </c>
    </row>
    <row r="70" spans="1:7">
      <c r="A70" s="12">
        <v>32.5</v>
      </c>
      <c r="B70" s="76">
        <v>243.43</v>
      </c>
      <c r="C70" s="12">
        <f t="shared" ref="C70:C101" si="4">B70/1000</f>
        <v>0.24343000000000001</v>
      </c>
      <c r="D70" s="12">
        <f t="shared" ref="D70:D101" si="5">C70/1000*$B$1</f>
        <v>1.7113129000000001E-2</v>
      </c>
      <c r="E70" s="12">
        <f t="shared" ref="E70:E101" si="6">D70/22.4</f>
        <v>7.6397897321428586E-4</v>
      </c>
      <c r="F70" s="12">
        <f>E70/Calculation!K$19*1000</f>
        <v>9.5117384425047057E-4</v>
      </c>
      <c r="G70" s="12">
        <f t="shared" si="3"/>
        <v>124.59686893340421</v>
      </c>
    </row>
    <row r="71" spans="1:7">
      <c r="A71" s="12">
        <v>33</v>
      </c>
      <c r="B71" s="76">
        <v>288.12</v>
      </c>
      <c r="C71" s="12">
        <f t="shared" si="4"/>
        <v>0.28811999999999999</v>
      </c>
      <c r="D71" s="12">
        <f t="shared" si="5"/>
        <v>2.0254835999999998E-2</v>
      </c>
      <c r="E71" s="12">
        <f t="shared" si="6"/>
        <v>9.0423374999999999E-4</v>
      </c>
      <c r="F71" s="12">
        <f>E71/Calculation!K$19*1000</f>
        <v>1.1257947171895229E-3</v>
      </c>
      <c r="G71" s="12">
        <f t="shared" ref="G71:G101" si="7">G70+(F71+F70)/2*30</f>
        <v>124.6280234618258</v>
      </c>
    </row>
    <row r="72" spans="1:7">
      <c r="A72" s="12">
        <v>33.5</v>
      </c>
      <c r="B72" s="76">
        <v>251.66</v>
      </c>
      <c r="C72" s="12">
        <f t="shared" si="4"/>
        <v>0.25165999999999999</v>
      </c>
      <c r="D72" s="12">
        <f t="shared" si="5"/>
        <v>1.7691697999999999E-2</v>
      </c>
      <c r="E72" s="12">
        <f t="shared" si="6"/>
        <v>7.8980794642857137E-4</v>
      </c>
      <c r="F72" s="12">
        <f>E72/Calculation!K$19*1000</f>
        <v>9.8333159283602424E-4</v>
      </c>
      <c r="G72" s="12">
        <f t="shared" si="7"/>
        <v>124.65966035647619</v>
      </c>
    </row>
    <row r="73" spans="1:7">
      <c r="A73" s="12">
        <v>34</v>
      </c>
      <c r="B73" s="76">
        <v>197.57</v>
      </c>
      <c r="C73" s="12">
        <f t="shared" si="4"/>
        <v>0.19757</v>
      </c>
      <c r="D73" s="12">
        <f t="shared" si="5"/>
        <v>1.3889170999999999E-2</v>
      </c>
      <c r="E73" s="12">
        <f t="shared" si="6"/>
        <v>6.2005227678571431E-4</v>
      </c>
      <c r="F73" s="12">
        <f>E73/Calculation!K$19*1000</f>
        <v>7.7198133512124817E-4</v>
      </c>
      <c r="G73" s="12">
        <f t="shared" si="7"/>
        <v>124.68599005039556</v>
      </c>
    </row>
    <row r="74" spans="1:7">
      <c r="A74" s="12">
        <v>34.5</v>
      </c>
      <c r="B74" s="76">
        <v>239.9</v>
      </c>
      <c r="C74" s="12">
        <f t="shared" si="4"/>
        <v>0.2399</v>
      </c>
      <c r="D74" s="12">
        <f t="shared" si="5"/>
        <v>1.686497E-2</v>
      </c>
      <c r="E74" s="12">
        <f t="shared" si="6"/>
        <v>7.5290044642857144E-4</v>
      </c>
      <c r="F74" s="12">
        <f>E74/Calculation!K$19*1000</f>
        <v>9.3738078805277844E-4</v>
      </c>
      <c r="G74" s="12">
        <f t="shared" si="7"/>
        <v>124.71163048224317</v>
      </c>
    </row>
    <row r="75" spans="1:7">
      <c r="A75" s="12">
        <v>35</v>
      </c>
      <c r="B75" s="76">
        <v>169.34</v>
      </c>
      <c r="C75" s="12">
        <f t="shared" si="4"/>
        <v>0.16933999999999999</v>
      </c>
      <c r="D75" s="12">
        <f t="shared" si="5"/>
        <v>1.1904602E-2</v>
      </c>
      <c r="E75" s="12">
        <f t="shared" si="6"/>
        <v>5.3145544642857142E-4</v>
      </c>
      <c r="F75" s="12">
        <f>E75/Calculation!K$19*1000</f>
        <v>6.6167595935330342E-4</v>
      </c>
      <c r="G75" s="12">
        <f t="shared" si="7"/>
        <v>124.73561633345426</v>
      </c>
    </row>
    <row r="76" spans="1:7">
      <c r="A76" s="12">
        <v>35.5</v>
      </c>
      <c r="B76" s="76">
        <v>159.93</v>
      </c>
      <c r="C76" s="12">
        <f t="shared" si="4"/>
        <v>0.15993000000000002</v>
      </c>
      <c r="D76" s="12">
        <f t="shared" si="5"/>
        <v>1.1243079000000001E-2</v>
      </c>
      <c r="E76" s="12">
        <f t="shared" si="6"/>
        <v>5.019231696428572E-4</v>
      </c>
      <c r="F76" s="12">
        <f>E76/Calculation!K$19*1000</f>
        <v>6.2490750076398861E-4</v>
      </c>
      <c r="G76" s="12">
        <f t="shared" si="7"/>
        <v>124.75491508535602</v>
      </c>
    </row>
    <row r="77" spans="1:7">
      <c r="A77" s="12">
        <v>36</v>
      </c>
      <c r="B77" s="76">
        <v>194.04</v>
      </c>
      <c r="C77" s="12">
        <f t="shared" si="4"/>
        <v>0.19403999999999999</v>
      </c>
      <c r="D77" s="12">
        <f t="shared" si="5"/>
        <v>1.3641011999999998E-2</v>
      </c>
      <c r="E77" s="12">
        <f t="shared" si="6"/>
        <v>6.0897374999999989E-4</v>
      </c>
      <c r="F77" s="12">
        <f>E77/Calculation!K$19*1000</f>
        <v>7.5818827892355604E-4</v>
      </c>
      <c r="G77" s="12">
        <f t="shared" si="7"/>
        <v>124.77566152205134</v>
      </c>
    </row>
    <row r="78" spans="1:7">
      <c r="A78" s="12">
        <v>36.5</v>
      </c>
      <c r="B78" s="76">
        <v>123.48</v>
      </c>
      <c r="C78" s="12">
        <f t="shared" si="4"/>
        <v>0.12348000000000001</v>
      </c>
      <c r="D78" s="12">
        <f t="shared" si="5"/>
        <v>8.6806439999999995E-3</v>
      </c>
      <c r="E78" s="12">
        <f t="shared" si="6"/>
        <v>3.8752874999999998E-4</v>
      </c>
      <c r="F78" s="12">
        <f>E78/Calculation!K$19*1000</f>
        <v>4.8248345022408113E-4</v>
      </c>
      <c r="G78" s="12">
        <f t="shared" si="7"/>
        <v>124.79427159798855</v>
      </c>
    </row>
    <row r="79" spans="1:7">
      <c r="A79" s="12">
        <v>37</v>
      </c>
      <c r="B79" s="76">
        <v>177.57</v>
      </c>
      <c r="C79" s="12">
        <f t="shared" si="4"/>
        <v>0.17757000000000001</v>
      </c>
      <c r="D79" s="12">
        <f t="shared" si="5"/>
        <v>1.2483171E-2</v>
      </c>
      <c r="E79" s="12">
        <f t="shared" si="6"/>
        <v>5.5728441964285715E-4</v>
      </c>
      <c r="F79" s="12">
        <f>E79/Calculation!K$19*1000</f>
        <v>6.9383370793885731E-4</v>
      </c>
      <c r="G79" s="12">
        <f t="shared" si="7"/>
        <v>124.81191635536099</v>
      </c>
    </row>
    <row r="80" spans="1:7">
      <c r="A80" s="12">
        <v>37.5</v>
      </c>
      <c r="B80" s="76">
        <v>129.36000000000001</v>
      </c>
      <c r="C80" s="12">
        <f t="shared" si="4"/>
        <v>0.12936</v>
      </c>
      <c r="D80" s="12">
        <f t="shared" si="5"/>
        <v>9.0940079999999989E-3</v>
      </c>
      <c r="E80" s="12">
        <f t="shared" si="6"/>
        <v>4.059825E-4</v>
      </c>
      <c r="F80" s="12">
        <f>E80/Calculation!K$19*1000</f>
        <v>5.0545885261570414E-4</v>
      </c>
      <c r="G80" s="12">
        <f t="shared" si="7"/>
        <v>124.82990574376932</v>
      </c>
    </row>
    <row r="81" spans="1:7">
      <c r="A81" s="12">
        <v>38</v>
      </c>
      <c r="B81" s="76">
        <v>121.13</v>
      </c>
      <c r="C81" s="12">
        <f t="shared" si="4"/>
        <v>0.12113</v>
      </c>
      <c r="D81" s="12">
        <f t="shared" si="5"/>
        <v>8.5154389999999996E-3</v>
      </c>
      <c r="E81" s="12">
        <f t="shared" si="6"/>
        <v>3.8015352678571427E-4</v>
      </c>
      <c r="F81" s="12">
        <f>E81/Calculation!K$19*1000</f>
        <v>4.7330110403015024E-4</v>
      </c>
      <c r="G81" s="12">
        <f t="shared" si="7"/>
        <v>124.844587143119</v>
      </c>
    </row>
    <row r="82" spans="1:7">
      <c r="A82" s="12">
        <v>38.5</v>
      </c>
      <c r="B82" s="76">
        <v>91.73</v>
      </c>
      <c r="C82" s="12">
        <f t="shared" si="4"/>
        <v>9.1730000000000006E-2</v>
      </c>
      <c r="D82" s="12">
        <f t="shared" si="5"/>
        <v>6.4486190000000001E-3</v>
      </c>
      <c r="E82" s="12">
        <f t="shared" si="6"/>
        <v>2.8788477678571428E-4</v>
      </c>
      <c r="F82" s="12">
        <f>E82/Calculation!K$19*1000</f>
        <v>3.5842409207203569E-4</v>
      </c>
      <c r="G82" s="12">
        <f t="shared" si="7"/>
        <v>124.85706302106053</v>
      </c>
    </row>
    <row r="83" spans="1:7">
      <c r="A83" s="12">
        <v>39</v>
      </c>
      <c r="B83" s="76">
        <v>155.22999999999999</v>
      </c>
      <c r="C83" s="12">
        <f t="shared" si="4"/>
        <v>0.15522999999999998</v>
      </c>
      <c r="D83" s="12">
        <f t="shared" si="5"/>
        <v>1.0912668999999998E-2</v>
      </c>
      <c r="E83" s="12">
        <f t="shared" si="6"/>
        <v>4.8717272321428568E-4</v>
      </c>
      <c r="F83" s="12">
        <f>E83/Calculation!K$19*1000</f>
        <v>6.0654280837612662E-4</v>
      </c>
      <c r="G83" s="12">
        <f t="shared" si="7"/>
        <v>124.87153752456724</v>
      </c>
    </row>
    <row r="84" spans="1:7">
      <c r="A84" s="12">
        <v>39.5</v>
      </c>
      <c r="B84" s="76">
        <v>130.53</v>
      </c>
      <c r="C84" s="12">
        <f t="shared" si="4"/>
        <v>0.13053000000000001</v>
      </c>
      <c r="D84" s="12">
        <f t="shared" si="5"/>
        <v>9.1762590000000008E-3</v>
      </c>
      <c r="E84" s="12">
        <f t="shared" si="6"/>
        <v>4.0965441964285721E-4</v>
      </c>
      <c r="F84" s="12">
        <f>E84/Calculation!K$19*1000</f>
        <v>5.1003048880587411E-4</v>
      </c>
      <c r="G84" s="12">
        <f t="shared" si="7"/>
        <v>124.88828612402497</v>
      </c>
    </row>
    <row r="85" spans="1:7">
      <c r="A85" s="12">
        <v>40</v>
      </c>
      <c r="B85" s="76">
        <v>139.94</v>
      </c>
      <c r="C85" s="12">
        <f t="shared" si="4"/>
        <v>0.13994000000000001</v>
      </c>
      <c r="D85" s="12">
        <f t="shared" si="5"/>
        <v>9.8377820000000015E-3</v>
      </c>
      <c r="E85" s="12">
        <f t="shared" si="6"/>
        <v>4.3918669642857154E-4</v>
      </c>
      <c r="F85" s="12">
        <f>E85/Calculation!K$19*1000</f>
        <v>5.4679894739518902E-4</v>
      </c>
      <c r="G85" s="12">
        <f t="shared" si="7"/>
        <v>124.90413856556799</v>
      </c>
    </row>
    <row r="86" spans="1:7">
      <c r="A86" s="12">
        <v>40.5</v>
      </c>
      <c r="B86" s="76">
        <v>115.25</v>
      </c>
      <c r="C86" s="12">
        <f t="shared" si="4"/>
        <v>0.11525000000000001</v>
      </c>
      <c r="D86" s="12">
        <f t="shared" si="5"/>
        <v>8.1020750000000002E-3</v>
      </c>
      <c r="E86" s="12">
        <f t="shared" si="6"/>
        <v>3.616997767857143E-4</v>
      </c>
      <c r="F86" s="12">
        <f>E86/Calculation!K$19*1000</f>
        <v>4.503257016385274E-4</v>
      </c>
      <c r="G86" s="12">
        <f t="shared" si="7"/>
        <v>124.91909543530349</v>
      </c>
    </row>
    <row r="87" spans="1:7">
      <c r="A87" s="12">
        <v>41</v>
      </c>
      <c r="B87" s="76">
        <v>121.13</v>
      </c>
      <c r="C87" s="12">
        <f t="shared" si="4"/>
        <v>0.12113</v>
      </c>
      <c r="D87" s="12">
        <f t="shared" si="5"/>
        <v>8.5154389999999996E-3</v>
      </c>
      <c r="E87" s="12">
        <f t="shared" si="6"/>
        <v>3.8015352678571427E-4</v>
      </c>
      <c r="F87" s="12">
        <f>E87/Calculation!K$19*1000</f>
        <v>4.7330110403015024E-4</v>
      </c>
      <c r="G87" s="12">
        <f t="shared" si="7"/>
        <v>124.93294983738852</v>
      </c>
    </row>
    <row r="88" spans="1:7">
      <c r="A88" s="12">
        <v>41.5</v>
      </c>
      <c r="B88" s="76">
        <v>96.43</v>
      </c>
      <c r="C88" s="12">
        <f t="shared" si="4"/>
        <v>9.6430000000000002E-2</v>
      </c>
      <c r="D88" s="12">
        <f t="shared" si="5"/>
        <v>6.7790289999999998E-3</v>
      </c>
      <c r="E88" s="12">
        <f t="shared" si="6"/>
        <v>3.026352232142857E-4</v>
      </c>
      <c r="F88" s="12">
        <f>E88/Calculation!K$19*1000</f>
        <v>3.7678878445989756E-4</v>
      </c>
      <c r="G88" s="12">
        <f t="shared" si="7"/>
        <v>124.94570118571588</v>
      </c>
    </row>
    <row r="89" spans="1:7">
      <c r="A89" s="12">
        <v>42</v>
      </c>
      <c r="B89" s="76">
        <v>164.64</v>
      </c>
      <c r="C89" s="12">
        <f t="shared" si="4"/>
        <v>0.16463999999999998</v>
      </c>
      <c r="D89" s="12">
        <f t="shared" si="5"/>
        <v>1.1574191999999997E-2</v>
      </c>
      <c r="E89" s="12">
        <f t="shared" si="6"/>
        <v>5.167049999999999E-4</v>
      </c>
      <c r="F89" s="12">
        <f>E89/Calculation!K$19*1000</f>
        <v>6.4331126696544143E-4</v>
      </c>
      <c r="G89" s="12">
        <f t="shared" si="7"/>
        <v>124.96100268648726</v>
      </c>
    </row>
    <row r="90" spans="1:7">
      <c r="A90" s="12">
        <v>42.5</v>
      </c>
      <c r="B90" s="76">
        <v>96.43</v>
      </c>
      <c r="C90" s="12">
        <f t="shared" si="4"/>
        <v>9.6430000000000002E-2</v>
      </c>
      <c r="D90" s="12">
        <f t="shared" si="5"/>
        <v>6.7790289999999998E-3</v>
      </c>
      <c r="E90" s="12">
        <f t="shared" si="6"/>
        <v>3.026352232142857E-4</v>
      </c>
      <c r="F90" s="12">
        <f>E90/Calculation!K$19*1000</f>
        <v>3.7678878445989756E-4</v>
      </c>
      <c r="G90" s="12">
        <f t="shared" si="7"/>
        <v>124.97630418725865</v>
      </c>
    </row>
    <row r="91" spans="1:7">
      <c r="A91" s="12">
        <v>43</v>
      </c>
      <c r="B91" s="76">
        <v>127.01</v>
      </c>
      <c r="C91" s="12">
        <f t="shared" si="4"/>
        <v>0.12701000000000001</v>
      </c>
      <c r="D91" s="12">
        <f t="shared" si="5"/>
        <v>8.9288030000000008E-3</v>
      </c>
      <c r="E91" s="12">
        <f t="shared" si="6"/>
        <v>3.9860727678571434E-4</v>
      </c>
      <c r="F91" s="12">
        <f>E91/Calculation!K$19*1000</f>
        <v>4.9627650642177325E-4</v>
      </c>
      <c r="G91" s="12">
        <f t="shared" si="7"/>
        <v>124.98940016662188</v>
      </c>
    </row>
    <row r="92" spans="1:7">
      <c r="A92" s="12">
        <v>43.5</v>
      </c>
      <c r="B92" s="76">
        <v>141.12</v>
      </c>
      <c r="C92" s="12">
        <f t="shared" si="4"/>
        <v>0.14112</v>
      </c>
      <c r="D92" s="12">
        <f t="shared" si="5"/>
        <v>9.9207359999999994E-3</v>
      </c>
      <c r="E92" s="12">
        <f t="shared" si="6"/>
        <v>4.4288999999999998E-4</v>
      </c>
      <c r="F92" s="12">
        <f>E92/Calculation!K$19*1000</f>
        <v>5.5140965739894983E-4</v>
      </c>
      <c r="G92" s="12">
        <f t="shared" si="7"/>
        <v>125.00511545907919</v>
      </c>
    </row>
    <row r="93" spans="1:7">
      <c r="A93" s="12">
        <v>44</v>
      </c>
      <c r="B93" s="76">
        <v>103.49</v>
      </c>
      <c r="C93" s="12">
        <f t="shared" si="4"/>
        <v>0.10349</v>
      </c>
      <c r="D93" s="12">
        <f t="shared" si="5"/>
        <v>7.2753469999999997E-3</v>
      </c>
      <c r="E93" s="12">
        <f t="shared" si="6"/>
        <v>3.2479227678571432E-4</v>
      </c>
      <c r="F93" s="12">
        <f>E93/Calculation!K$19*1000</f>
        <v>4.0437489685528154E-4</v>
      </c>
      <c r="G93" s="12">
        <f t="shared" si="7"/>
        <v>125.019452227393</v>
      </c>
    </row>
    <row r="94" spans="1:7">
      <c r="A94" s="12">
        <v>44.5</v>
      </c>
      <c r="B94" s="76">
        <v>3.53</v>
      </c>
      <c r="C94" s="12">
        <f t="shared" si="4"/>
        <v>3.5299999999999997E-3</v>
      </c>
      <c r="D94" s="12">
        <f t="shared" si="5"/>
        <v>2.4815899999999997E-4</v>
      </c>
      <c r="E94" s="12">
        <f t="shared" si="6"/>
        <v>1.1078526785714284E-5</v>
      </c>
      <c r="F94" s="12">
        <f>E94/Calculation!K$19*1000</f>
        <v>1.3793056197691986E-5</v>
      </c>
      <c r="G94" s="12">
        <f t="shared" si="7"/>
        <v>125.02572474668879</v>
      </c>
    </row>
    <row r="95" spans="1:7">
      <c r="A95" s="12">
        <v>45</v>
      </c>
      <c r="B95" s="76">
        <v>143.47</v>
      </c>
      <c r="C95" s="12">
        <f t="shared" si="4"/>
        <v>0.14346999999999999</v>
      </c>
      <c r="D95" s="12">
        <f t="shared" si="5"/>
        <v>1.0085940999999998E-2</v>
      </c>
      <c r="E95" s="12">
        <f t="shared" si="6"/>
        <v>4.5026522321428564E-4</v>
      </c>
      <c r="F95" s="12">
        <f>E95/Calculation!K$19*1000</f>
        <v>5.6059200359288082E-4</v>
      </c>
      <c r="G95" s="12">
        <f t="shared" si="7"/>
        <v>125.03434052258565</v>
      </c>
    </row>
    <row r="96" spans="1:7">
      <c r="A96" s="12">
        <v>45.5</v>
      </c>
      <c r="B96" s="76">
        <v>61.15</v>
      </c>
      <c r="C96" s="12">
        <f t="shared" si="4"/>
        <v>6.1149999999999996E-2</v>
      </c>
      <c r="D96" s="12">
        <f t="shared" si="5"/>
        <v>4.2988449999999999E-3</v>
      </c>
      <c r="E96" s="12">
        <f t="shared" si="6"/>
        <v>1.9191272321428571E-4</v>
      </c>
      <c r="F96" s="12">
        <f>E96/Calculation!K$19*1000</f>
        <v>2.3893637011016008E-4</v>
      </c>
      <c r="G96" s="12">
        <f t="shared" si="7"/>
        <v>125.04633344819119</v>
      </c>
    </row>
    <row r="97" spans="1:7">
      <c r="A97" s="12">
        <v>46</v>
      </c>
      <c r="B97" s="76">
        <v>124.65</v>
      </c>
      <c r="C97" s="12">
        <f t="shared" si="4"/>
        <v>0.12465000000000001</v>
      </c>
      <c r="D97" s="12">
        <f t="shared" si="5"/>
        <v>8.7628950000000014E-3</v>
      </c>
      <c r="E97" s="12">
        <f t="shared" si="6"/>
        <v>3.9120066964285725E-4</v>
      </c>
      <c r="F97" s="12">
        <f>E97/Calculation!K$19*1000</f>
        <v>4.8705508641425121E-4</v>
      </c>
      <c r="G97" s="12">
        <f t="shared" si="7"/>
        <v>125.05722332003906</v>
      </c>
    </row>
    <row r="98" spans="1:7">
      <c r="A98" s="12">
        <v>46.5</v>
      </c>
      <c r="B98" s="76">
        <v>70.56</v>
      </c>
      <c r="C98" s="12">
        <f t="shared" si="4"/>
        <v>7.0559999999999998E-2</v>
      </c>
      <c r="D98" s="12">
        <f t="shared" si="5"/>
        <v>4.9603679999999997E-3</v>
      </c>
      <c r="E98" s="12">
        <f t="shared" si="6"/>
        <v>2.2144499999999999E-4</v>
      </c>
      <c r="F98" s="12">
        <f>E98/Calculation!K$19*1000</f>
        <v>2.7570482869947492E-4</v>
      </c>
      <c r="G98" s="12">
        <f t="shared" si="7"/>
        <v>125.06866471876576</v>
      </c>
    </row>
    <row r="99" spans="1:7">
      <c r="A99" s="12">
        <v>47</v>
      </c>
      <c r="B99" s="76">
        <v>121.13</v>
      </c>
      <c r="C99" s="12">
        <f t="shared" si="4"/>
        <v>0.12113</v>
      </c>
      <c r="D99" s="12">
        <f t="shared" si="5"/>
        <v>8.5154389999999996E-3</v>
      </c>
      <c r="E99" s="12">
        <f t="shared" si="6"/>
        <v>3.8015352678571427E-4</v>
      </c>
      <c r="F99" s="12">
        <f>E99/Calculation!K$19*1000</f>
        <v>4.7330110403015024E-4</v>
      </c>
      <c r="G99" s="12">
        <f t="shared" si="7"/>
        <v>125.0798998077567</v>
      </c>
    </row>
    <row r="100" spans="1:7">
      <c r="A100" s="12">
        <v>47.5</v>
      </c>
      <c r="B100" s="76">
        <v>59.98</v>
      </c>
      <c r="C100" s="12">
        <f t="shared" si="4"/>
        <v>5.9979999999999999E-2</v>
      </c>
      <c r="D100" s="12">
        <f t="shared" si="5"/>
        <v>4.2165939999999997E-3</v>
      </c>
      <c r="E100" s="12">
        <f t="shared" si="6"/>
        <v>1.8824080357142858E-4</v>
      </c>
      <c r="F100" s="12">
        <f>E100/Calculation!K$19*1000</f>
        <v>2.3436473391999019E-4</v>
      </c>
      <c r="G100" s="12">
        <f t="shared" si="7"/>
        <v>125.09051479532596</v>
      </c>
    </row>
    <row r="101" spans="1:7">
      <c r="A101" s="12">
        <v>48</v>
      </c>
      <c r="B101" s="76">
        <v>54.1</v>
      </c>
      <c r="C101" s="12">
        <f t="shared" si="4"/>
        <v>5.4100000000000002E-2</v>
      </c>
      <c r="D101" s="12">
        <f t="shared" si="5"/>
        <v>3.8032299999999999E-3</v>
      </c>
      <c r="E101" s="12">
        <f t="shared" si="6"/>
        <v>1.6978705357142859E-4</v>
      </c>
      <c r="F101" s="12">
        <f>E101/Calculation!K$20*1000</f>
        <v>2.2831122210814769E-4</v>
      </c>
      <c r="G101" s="12">
        <f t="shared" si="7"/>
        <v>125.09745493466639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zoomScale="98" zoomScaleNormal="98" zoomScalePageLayoutView="98" workbookViewId="0">
      <selection activeCell="B5" sqref="B5:B101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70.3</v>
      </c>
      <c r="C1" s="9" t="s">
        <v>51</v>
      </c>
    </row>
    <row r="3" spans="1:12">
      <c r="A3" s="129" t="s">
        <v>5</v>
      </c>
      <c r="B3" s="129" t="s">
        <v>36</v>
      </c>
      <c r="C3" s="129"/>
      <c r="D3" s="129" t="s">
        <v>52</v>
      </c>
      <c r="E3" s="129"/>
      <c r="F3" s="129"/>
      <c r="G3" s="8" t="s">
        <v>53</v>
      </c>
    </row>
    <row r="4" spans="1:12">
      <c r="A4" s="129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5">
        <v>0</v>
      </c>
      <c r="B5" s="76">
        <v>2937.73</v>
      </c>
      <c r="C5" s="36">
        <f>B5/1000</f>
        <v>2.9377300000000002</v>
      </c>
      <c r="D5" s="12">
        <f>C5/1000*$B$1</f>
        <v>0.20652241900000001</v>
      </c>
      <c r="E5" s="12">
        <f>D5/22.4</f>
        <v>9.2197508482142875E-3</v>
      </c>
      <c r="F5" s="12">
        <f>E5/Calculation!K$4*1000</f>
        <v>6.0098831996185324E-3</v>
      </c>
      <c r="G5" s="12">
        <f>(0+F5)/2*30</f>
        <v>9.014824799427798E-2</v>
      </c>
    </row>
    <row r="6" spans="1:12">
      <c r="A6" s="35">
        <v>0.5</v>
      </c>
      <c r="B6" s="76">
        <v>4083.7</v>
      </c>
      <c r="C6" s="36">
        <f t="shared" ref="C6:C69" si="0">B6/1000</f>
        <v>4.0836999999999994</v>
      </c>
      <c r="D6" s="12">
        <f>C6/1000*$B$1</f>
        <v>0.28708410999999995</v>
      </c>
      <c r="E6" s="12">
        <f t="shared" ref="E6:E69" si="1">D6/22.4</f>
        <v>1.2816254910714284E-2</v>
      </c>
      <c r="F6" s="12">
        <f>E6/Calculation!K$4*1000</f>
        <v>8.3542599293611707E-3</v>
      </c>
      <c r="G6" s="12">
        <f>G5+(F6+F5)/2*30</f>
        <v>0.30561039492897352</v>
      </c>
    </row>
    <row r="7" spans="1:12">
      <c r="A7" s="35">
        <v>1</v>
      </c>
      <c r="B7" s="76">
        <v>5512.9</v>
      </c>
      <c r="C7" s="36">
        <f t="shared" si="0"/>
        <v>5.5128999999999992</v>
      </c>
      <c r="D7" s="12">
        <f t="shared" ref="D7:D69" si="2">C7/1000*$B$1</f>
        <v>0.38755686999999994</v>
      </c>
      <c r="E7" s="12">
        <f t="shared" si="1"/>
        <v>1.7301645982142854E-2</v>
      </c>
      <c r="F7" s="12">
        <f>E7/Calculation!K$4*1000</f>
        <v>1.127805655767446E-2</v>
      </c>
      <c r="G7" s="12">
        <f>G6+(F7+F6)/2*30</f>
        <v>0.60009514223450799</v>
      </c>
    </row>
    <row r="8" spans="1:12">
      <c r="A8" s="35">
        <v>1.5</v>
      </c>
      <c r="B8" s="76">
        <v>7374.33</v>
      </c>
      <c r="C8" s="36">
        <f t="shared" si="0"/>
        <v>7.3743299999999996</v>
      </c>
      <c r="D8" s="12">
        <f t="shared" si="2"/>
        <v>0.51841539899999989</v>
      </c>
      <c r="E8" s="12">
        <f t="shared" si="1"/>
        <v>2.3143544598214282E-2</v>
      </c>
      <c r="F8" s="12">
        <f>E8/Calculation!K$4*1000</f>
        <v>1.5086090953029352E-2</v>
      </c>
      <c r="G8" s="12">
        <f t="shared" ref="G8:G70" si="3">G7+(F8+F7)/2*30</f>
        <v>0.99555735489506514</v>
      </c>
      <c r="K8" s="2">
        <f>0.001977/44.01</f>
        <v>4.492160872528971E-5</v>
      </c>
      <c r="L8" s="2">
        <f>1/K8</f>
        <v>22261.001517450681</v>
      </c>
    </row>
    <row r="9" spans="1:12">
      <c r="A9" s="35">
        <v>2</v>
      </c>
      <c r="B9" s="76">
        <v>11098.18</v>
      </c>
      <c r="C9" s="36">
        <f t="shared" si="0"/>
        <v>11.098180000000001</v>
      </c>
      <c r="D9" s="12">
        <f t="shared" si="2"/>
        <v>0.78020205399999998</v>
      </c>
      <c r="E9" s="12">
        <f t="shared" si="1"/>
        <v>3.4830448839285717E-2</v>
      </c>
      <c r="F9" s="12">
        <f>E9/Calculation!K$5*1000</f>
        <v>2.3386219974888999E-2</v>
      </c>
      <c r="G9" s="12">
        <f t="shared" si="3"/>
        <v>1.5726420188138404</v>
      </c>
    </row>
    <row r="10" spans="1:12">
      <c r="A10" s="35">
        <v>2.5</v>
      </c>
      <c r="B10" s="76">
        <v>14786.96</v>
      </c>
      <c r="C10" s="36">
        <f t="shared" si="0"/>
        <v>14.786959999999999</v>
      </c>
      <c r="D10" s="12">
        <f t="shared" si="2"/>
        <v>1.0395232879999998</v>
      </c>
      <c r="E10" s="12">
        <f t="shared" si="1"/>
        <v>4.640728964285714E-2</v>
      </c>
      <c r="F10" s="12">
        <f>E10/Calculation!K$5*1000</f>
        <v>3.1159262088007633E-2</v>
      </c>
      <c r="G10" s="12">
        <f t="shared" si="3"/>
        <v>2.3908242497572898</v>
      </c>
    </row>
    <row r="11" spans="1:12">
      <c r="A11" s="35">
        <v>3</v>
      </c>
      <c r="B11" s="76">
        <v>19603.91</v>
      </c>
      <c r="C11" s="36">
        <f t="shared" si="0"/>
        <v>19.603909999999999</v>
      </c>
      <c r="D11" s="12">
        <f t="shared" si="2"/>
        <v>1.3781548729999999</v>
      </c>
      <c r="E11" s="12">
        <f t="shared" si="1"/>
        <v>6.1524771116071429E-2</v>
      </c>
      <c r="F11" s="12">
        <f>E11/Calculation!K$5*1000</f>
        <v>4.1309597756382231E-2</v>
      </c>
      <c r="G11" s="12">
        <f t="shared" si="3"/>
        <v>3.4778571474231379</v>
      </c>
    </row>
    <row r="12" spans="1:12">
      <c r="A12" s="35">
        <v>3.5</v>
      </c>
      <c r="B12" s="76">
        <v>26204.14</v>
      </c>
      <c r="C12" s="36">
        <f t="shared" si="0"/>
        <v>26.204139999999999</v>
      </c>
      <c r="D12" s="12">
        <f t="shared" si="2"/>
        <v>1.8421510419999998</v>
      </c>
      <c r="E12" s="12">
        <f t="shared" si="1"/>
        <v>8.2238885803571429E-2</v>
      </c>
      <c r="F12" s="12">
        <f>E12/Calculation!K$6*1000</f>
        <v>5.7189742843584794E-2</v>
      </c>
      <c r="G12" s="12">
        <f t="shared" si="3"/>
        <v>4.9553472564226428</v>
      </c>
    </row>
    <row r="13" spans="1:12">
      <c r="A13" s="35">
        <v>4</v>
      </c>
      <c r="B13" s="76">
        <v>32299.94</v>
      </c>
      <c r="C13" s="36">
        <f t="shared" si="0"/>
        <v>32.299939999999999</v>
      </c>
      <c r="D13" s="12">
        <f t="shared" si="2"/>
        <v>2.2706857819999997</v>
      </c>
      <c r="E13" s="12">
        <f t="shared" si="1"/>
        <v>0.10136990098214285</v>
      </c>
      <c r="F13" s="12">
        <f>E13/Calculation!K$6*1000</f>
        <v>7.049364193838141E-2</v>
      </c>
      <c r="G13" s="12">
        <f t="shared" si="3"/>
        <v>6.8705980281521359</v>
      </c>
    </row>
    <row r="14" spans="1:12">
      <c r="A14" s="35">
        <v>4.5</v>
      </c>
      <c r="B14" s="76">
        <v>37833.699999999997</v>
      </c>
      <c r="C14" s="36">
        <f t="shared" si="0"/>
        <v>37.8337</v>
      </c>
      <c r="D14" s="12">
        <f t="shared" si="2"/>
        <v>2.6597091099999997</v>
      </c>
      <c r="E14" s="12">
        <f t="shared" si="1"/>
        <v>0.11873701383928571</v>
      </c>
      <c r="F14" s="12">
        <f>E14/Calculation!K$6*1000</f>
        <v>8.2570905735556824E-2</v>
      </c>
      <c r="G14" s="12">
        <f t="shared" si="3"/>
        <v>9.1665662432612098</v>
      </c>
    </row>
    <row r="15" spans="1:12">
      <c r="A15" s="35">
        <v>5</v>
      </c>
      <c r="B15" s="76">
        <v>42189.27</v>
      </c>
      <c r="C15" s="36">
        <f t="shared" si="0"/>
        <v>42.189269999999993</v>
      </c>
      <c r="D15" s="12">
        <f t="shared" si="2"/>
        <v>2.9659056809999993</v>
      </c>
      <c r="E15" s="12">
        <f t="shared" si="1"/>
        <v>0.1324065036160714</v>
      </c>
      <c r="F15" s="12">
        <f>E15/Calculation!K$7*1000</f>
        <v>9.532351937453612E-2</v>
      </c>
      <c r="G15" s="12">
        <f t="shared" si="3"/>
        <v>11.834982619912605</v>
      </c>
    </row>
    <row r="16" spans="1:12">
      <c r="A16" s="35">
        <v>5.5</v>
      </c>
      <c r="B16" s="76">
        <v>46151.95</v>
      </c>
      <c r="C16" s="36">
        <f t="shared" si="0"/>
        <v>46.151949999999999</v>
      </c>
      <c r="D16" s="12">
        <f t="shared" si="2"/>
        <v>3.2444820849999996</v>
      </c>
      <c r="E16" s="12">
        <f t="shared" si="1"/>
        <v>0.14484295022321428</v>
      </c>
      <c r="F16" s="12">
        <f>E16/Calculation!K$7*1000</f>
        <v>0.10427690026392074</v>
      </c>
      <c r="G16" s="12">
        <f t="shared" si="3"/>
        <v>14.828988914489457</v>
      </c>
    </row>
    <row r="17" spans="1:7">
      <c r="A17" s="35">
        <v>6</v>
      </c>
      <c r="B17" s="76">
        <v>50370.07</v>
      </c>
      <c r="C17" s="36">
        <f t="shared" si="0"/>
        <v>50.370069999999998</v>
      </c>
      <c r="D17" s="12">
        <f t="shared" si="2"/>
        <v>3.5410159209999996</v>
      </c>
      <c r="E17" s="12">
        <f t="shared" si="1"/>
        <v>0.15808106790178572</v>
      </c>
      <c r="F17" s="12">
        <f>E17/Calculation!K$8*1000</f>
        <v>0.11844586844843891</v>
      </c>
      <c r="G17" s="12">
        <f t="shared" si="3"/>
        <v>18.169830445174853</v>
      </c>
    </row>
    <row r="18" spans="1:7">
      <c r="A18" s="35">
        <v>6.5</v>
      </c>
      <c r="B18" s="76">
        <v>53351.7</v>
      </c>
      <c r="C18" s="36">
        <f t="shared" si="0"/>
        <v>53.351699999999994</v>
      </c>
      <c r="D18" s="12">
        <f t="shared" si="2"/>
        <v>3.7506245099999993</v>
      </c>
      <c r="E18" s="12">
        <f t="shared" si="1"/>
        <v>0.16743859419642856</v>
      </c>
      <c r="F18" s="12">
        <f>E18/Calculation!K$8*1000</f>
        <v>0.12545720980138758</v>
      </c>
      <c r="G18" s="12">
        <f t="shared" si="3"/>
        <v>21.828376618922249</v>
      </c>
    </row>
    <row r="19" spans="1:7">
      <c r="A19" s="35">
        <v>7</v>
      </c>
      <c r="B19" s="76">
        <v>56712.32</v>
      </c>
      <c r="C19" s="36">
        <f t="shared" si="0"/>
        <v>56.712319999999998</v>
      </c>
      <c r="D19" s="12">
        <f t="shared" si="2"/>
        <v>3.9868760959999996</v>
      </c>
      <c r="E19" s="12">
        <f t="shared" si="1"/>
        <v>0.17798554</v>
      </c>
      <c r="F19" s="12">
        <f>E19/Calculation!K$8*1000</f>
        <v>0.13335975102130632</v>
      </c>
      <c r="G19" s="12">
        <f t="shared" si="3"/>
        <v>25.710631031262658</v>
      </c>
    </row>
    <row r="20" spans="1:7">
      <c r="A20" s="35">
        <v>7.5</v>
      </c>
      <c r="B20" s="76">
        <v>59021.05</v>
      </c>
      <c r="C20" s="36">
        <f t="shared" si="0"/>
        <v>59.021050000000002</v>
      </c>
      <c r="D20" s="12">
        <f t="shared" si="2"/>
        <v>4.1491798150000001</v>
      </c>
      <c r="E20" s="12">
        <f t="shared" si="1"/>
        <v>0.18523124174107145</v>
      </c>
      <c r="F20" s="12">
        <f>E20/Calculation!K$9*1000</f>
        <v>0.14409875690103888</v>
      </c>
      <c r="G20" s="12">
        <f t="shared" si="3"/>
        <v>29.872508650097835</v>
      </c>
    </row>
    <row r="21" spans="1:7">
      <c r="A21" s="35">
        <v>8</v>
      </c>
      <c r="B21" s="76">
        <v>60743.99</v>
      </c>
      <c r="C21" s="36">
        <f t="shared" si="0"/>
        <v>60.743989999999997</v>
      </c>
      <c r="D21" s="12">
        <f t="shared" si="2"/>
        <v>4.2703024969999994</v>
      </c>
      <c r="E21" s="12">
        <f t="shared" si="1"/>
        <v>0.19063850433035712</v>
      </c>
      <c r="F21" s="12">
        <f>E21/Calculation!K$9*1000</f>
        <v>0.14830528172930058</v>
      </c>
      <c r="G21" s="12">
        <f t="shared" si="3"/>
        <v>34.258569229552926</v>
      </c>
    </row>
    <row r="22" spans="1:7">
      <c r="A22" s="35">
        <v>8.5</v>
      </c>
      <c r="B22" s="76">
        <v>62898.13</v>
      </c>
      <c r="C22" s="36">
        <f t="shared" si="0"/>
        <v>62.898129999999995</v>
      </c>
      <c r="D22" s="12">
        <f t="shared" si="2"/>
        <v>4.4217385389999997</v>
      </c>
      <c r="E22" s="12">
        <f t="shared" si="1"/>
        <v>0.19739904191964286</v>
      </c>
      <c r="F22" s="12">
        <f>E22/Calculation!K$9*1000</f>
        <v>0.15356457305317239</v>
      </c>
      <c r="G22" s="12">
        <f t="shared" si="3"/>
        <v>38.786617051290023</v>
      </c>
    </row>
    <row r="23" spans="1:7">
      <c r="A23" s="35">
        <v>9</v>
      </c>
      <c r="B23" s="76">
        <v>65491.27</v>
      </c>
      <c r="C23" s="36">
        <f t="shared" si="0"/>
        <v>65.49127</v>
      </c>
      <c r="D23" s="12">
        <f t="shared" si="2"/>
        <v>4.604036281</v>
      </c>
      <c r="E23" s="12">
        <f t="shared" si="1"/>
        <v>0.2055373339732143</v>
      </c>
      <c r="F23" s="12">
        <f>E23/Calculation!K$10*1000</f>
        <v>0.16607880181696152</v>
      </c>
      <c r="G23" s="12">
        <f t="shared" si="3"/>
        <v>43.58126767434203</v>
      </c>
    </row>
    <row r="24" spans="1:7">
      <c r="A24" s="35">
        <v>9.5</v>
      </c>
      <c r="B24" s="76">
        <v>61589.78</v>
      </c>
      <c r="C24" s="36">
        <f t="shared" si="0"/>
        <v>61.589779999999998</v>
      </c>
      <c r="D24" s="12">
        <f t="shared" si="2"/>
        <v>4.3297615339999993</v>
      </c>
      <c r="E24" s="12">
        <f t="shared" si="1"/>
        <v>0.19329292562499997</v>
      </c>
      <c r="F24" s="12">
        <f>E24/Calculation!K$10*1000</f>
        <v>0.15618504369468261</v>
      </c>
      <c r="G24" s="12">
        <f t="shared" si="3"/>
        <v>48.415225357016695</v>
      </c>
    </row>
    <row r="25" spans="1:7">
      <c r="A25" s="35">
        <v>10</v>
      </c>
      <c r="B25" s="76">
        <v>52314.879999999997</v>
      </c>
      <c r="C25" s="36">
        <f t="shared" si="0"/>
        <v>52.314879999999995</v>
      </c>
      <c r="D25" s="12">
        <f t="shared" si="2"/>
        <v>3.6777360639999994</v>
      </c>
      <c r="E25" s="12">
        <f t="shared" si="1"/>
        <v>0.1641846457142857</v>
      </c>
      <c r="F25" s="12">
        <f>E25/Calculation!K$11*1000</f>
        <v>0.13764910973558958</v>
      </c>
      <c r="G25" s="12">
        <f t="shared" si="3"/>
        <v>52.822737658470778</v>
      </c>
    </row>
    <row r="26" spans="1:7">
      <c r="A26" s="35">
        <v>10.5</v>
      </c>
      <c r="B26" s="76">
        <v>46612.65</v>
      </c>
      <c r="C26" s="36">
        <f t="shared" si="0"/>
        <v>46.612650000000002</v>
      </c>
      <c r="D26" s="12">
        <f t="shared" si="2"/>
        <v>3.2768692950000005</v>
      </c>
      <c r="E26" s="12">
        <f t="shared" si="1"/>
        <v>0.14628880781250003</v>
      </c>
      <c r="F26" s="12">
        <f>E26/Calculation!K$11*1000</f>
        <v>0.12264559863114723</v>
      </c>
      <c r="G26" s="12">
        <f t="shared" si="3"/>
        <v>56.727158283971832</v>
      </c>
    </row>
    <row r="27" spans="1:7">
      <c r="A27" s="35">
        <v>11</v>
      </c>
      <c r="B27" s="76">
        <v>41153.64</v>
      </c>
      <c r="C27" s="36">
        <f t="shared" si="0"/>
        <v>41.153640000000003</v>
      </c>
      <c r="D27" s="12">
        <f t="shared" si="2"/>
        <v>2.8931008920000001</v>
      </c>
      <c r="E27" s="12">
        <f t="shared" si="1"/>
        <v>0.12915628982142857</v>
      </c>
      <c r="F27" s="12">
        <f>E27/Calculation!K$11*1000</f>
        <v>0.10828203961050756</v>
      </c>
      <c r="G27" s="12">
        <f t="shared" si="3"/>
        <v>60.191072857596652</v>
      </c>
    </row>
    <row r="28" spans="1:7">
      <c r="A28" s="35">
        <v>11.5</v>
      </c>
      <c r="B28" s="76">
        <v>35919.56</v>
      </c>
      <c r="C28" s="36">
        <f t="shared" si="0"/>
        <v>35.919559999999997</v>
      </c>
      <c r="D28" s="12">
        <f t="shared" si="2"/>
        <v>2.5251450679999996</v>
      </c>
      <c r="E28" s="12">
        <f t="shared" si="1"/>
        <v>0.11272969053571427</v>
      </c>
      <c r="F28" s="12">
        <f>E28/Calculation!K$12*1000</f>
        <v>9.8516980095132212E-2</v>
      </c>
      <c r="G28" s="12">
        <f t="shared" si="3"/>
        <v>63.293058153181249</v>
      </c>
    </row>
    <row r="29" spans="1:7">
      <c r="A29" s="35">
        <v>12</v>
      </c>
      <c r="B29" s="76">
        <v>32530.12</v>
      </c>
      <c r="C29" s="36">
        <f t="shared" si="0"/>
        <v>32.530119999999997</v>
      </c>
      <c r="D29" s="12">
        <f t="shared" si="2"/>
        <v>2.2868674359999996</v>
      </c>
      <c r="E29" s="12">
        <f t="shared" si="1"/>
        <v>0.10209229624999999</v>
      </c>
      <c r="F29" s="12">
        <f>E29/Calculation!K$12*1000</f>
        <v>8.9220724990291156E-2</v>
      </c>
      <c r="G29" s="12">
        <f t="shared" si="3"/>
        <v>66.109123729462596</v>
      </c>
    </row>
    <row r="30" spans="1:7">
      <c r="A30" s="35">
        <v>12.5</v>
      </c>
      <c r="B30" s="76">
        <v>28644.560000000001</v>
      </c>
      <c r="C30" s="36">
        <f t="shared" si="0"/>
        <v>28.644560000000002</v>
      </c>
      <c r="D30" s="12">
        <f t="shared" si="2"/>
        <v>2.0137125680000003</v>
      </c>
      <c r="E30" s="12">
        <f t="shared" si="1"/>
        <v>8.9897882500000026E-2</v>
      </c>
      <c r="F30" s="12">
        <f>E30/Calculation!K$12*1000</f>
        <v>7.8563755996839096E-2</v>
      </c>
      <c r="G30" s="12">
        <f t="shared" si="3"/>
        <v>68.625890944269543</v>
      </c>
    </row>
    <row r="31" spans="1:7">
      <c r="A31" s="35">
        <v>13</v>
      </c>
      <c r="B31" s="76">
        <v>25091.22</v>
      </c>
      <c r="C31" s="36">
        <f t="shared" si="0"/>
        <v>25.09122</v>
      </c>
      <c r="D31" s="12">
        <f t="shared" si="2"/>
        <v>1.763912766</v>
      </c>
      <c r="E31" s="12">
        <f t="shared" si="1"/>
        <v>7.8746105625000007E-2</v>
      </c>
      <c r="F31" s="12">
        <f>E31/Calculation!K$13*1000</f>
        <v>7.204661553518836E-2</v>
      </c>
      <c r="G31" s="12">
        <f t="shared" si="3"/>
        <v>70.885046517249961</v>
      </c>
    </row>
    <row r="32" spans="1:7">
      <c r="A32" s="35">
        <v>13.5</v>
      </c>
      <c r="B32" s="76">
        <v>22139.59</v>
      </c>
      <c r="C32" s="36">
        <f t="shared" si="0"/>
        <v>22.139590000000002</v>
      </c>
      <c r="D32" s="12">
        <f t="shared" si="2"/>
        <v>1.556413177</v>
      </c>
      <c r="E32" s="12">
        <f t="shared" si="1"/>
        <v>6.9482731116071436E-2</v>
      </c>
      <c r="F32" s="12">
        <f>E32/Calculation!K$13*1000</f>
        <v>6.3571342040630183E-2</v>
      </c>
      <c r="G32" s="12">
        <f t="shared" si="3"/>
        <v>72.91931588088724</v>
      </c>
    </row>
    <row r="33" spans="1:7">
      <c r="A33" s="35">
        <v>14</v>
      </c>
      <c r="B33" s="76">
        <v>19219.32</v>
      </c>
      <c r="C33" s="36">
        <f t="shared" si="0"/>
        <v>19.21932</v>
      </c>
      <c r="D33" s="12">
        <f t="shared" si="2"/>
        <v>1.3511181959999998</v>
      </c>
      <c r="E33" s="12">
        <f t="shared" si="1"/>
        <v>6.0317776607142853E-2</v>
      </c>
      <c r="F33" s="12">
        <f>E33/Calculation!K$14*1000</f>
        <v>5.7794913433996405E-2</v>
      </c>
      <c r="G33" s="12">
        <f t="shared" si="3"/>
        <v>74.739809713006636</v>
      </c>
    </row>
    <row r="34" spans="1:7">
      <c r="A34" s="35">
        <v>14.5</v>
      </c>
      <c r="B34" s="76">
        <v>17017.88</v>
      </c>
      <c r="C34" s="36">
        <f t="shared" si="0"/>
        <v>17.017880000000002</v>
      </c>
      <c r="D34" s="12">
        <f t="shared" si="2"/>
        <v>1.196356964</v>
      </c>
      <c r="E34" s="12">
        <f t="shared" si="1"/>
        <v>5.3408793035714289E-2</v>
      </c>
      <c r="F34" s="12">
        <f>E34/Calculation!K$14*1000</f>
        <v>5.1174906366621649E-2</v>
      </c>
      <c r="G34" s="12">
        <f t="shared" si="3"/>
        <v>76.374357010015913</v>
      </c>
    </row>
    <row r="35" spans="1:7">
      <c r="A35" s="35">
        <v>15</v>
      </c>
      <c r="B35" s="76">
        <v>15002.9</v>
      </c>
      <c r="C35" s="36">
        <f t="shared" si="0"/>
        <v>15.0029</v>
      </c>
      <c r="D35" s="12">
        <f t="shared" si="2"/>
        <v>1.05470387</v>
      </c>
      <c r="E35" s="12">
        <f t="shared" si="1"/>
        <v>4.7084994196428573E-2</v>
      </c>
      <c r="F35" s="12">
        <f>E35/Calculation!K$14*1000</f>
        <v>4.5115607979829914E-2</v>
      </c>
      <c r="G35" s="12">
        <f t="shared" si="3"/>
        <v>77.818714725212686</v>
      </c>
    </row>
    <row r="36" spans="1:7">
      <c r="A36" s="35">
        <v>15.5</v>
      </c>
      <c r="B36" s="76">
        <v>12941.98</v>
      </c>
      <c r="C36" s="36">
        <f t="shared" si="0"/>
        <v>12.941979999999999</v>
      </c>
      <c r="D36" s="12">
        <f t="shared" si="2"/>
        <v>0.90982119399999983</v>
      </c>
      <c r="E36" s="12">
        <f t="shared" si="1"/>
        <v>4.0617017589285709E-2</v>
      </c>
      <c r="F36" s="12">
        <f>E36/Calculation!K$15*1000</f>
        <v>4.0424908834847735E-2</v>
      </c>
      <c r="G36" s="12">
        <f t="shared" si="3"/>
        <v>79.101822477432847</v>
      </c>
    </row>
    <row r="37" spans="1:7">
      <c r="A37" s="35">
        <v>16</v>
      </c>
      <c r="B37" s="76">
        <v>10987.67</v>
      </c>
      <c r="C37" s="36">
        <f t="shared" si="0"/>
        <v>10.98767</v>
      </c>
      <c r="D37" s="12">
        <f t="shared" si="2"/>
        <v>0.7724332009999999</v>
      </c>
      <c r="E37" s="12">
        <f t="shared" si="1"/>
        <v>3.4483625044642856E-2</v>
      </c>
      <c r="F37" s="12">
        <f>E37/Calculation!K$15*1000</f>
        <v>3.4320525766334938E-2</v>
      </c>
      <c r="G37" s="12">
        <f t="shared" si="3"/>
        <v>80.223003996450586</v>
      </c>
    </row>
    <row r="38" spans="1:7">
      <c r="A38" s="35">
        <v>16.5</v>
      </c>
      <c r="B38" s="76">
        <v>9561.35</v>
      </c>
      <c r="C38" s="36">
        <f t="shared" si="0"/>
        <v>9.5613500000000009</v>
      </c>
      <c r="D38" s="12">
        <f t="shared" si="2"/>
        <v>0.67216290500000009</v>
      </c>
      <c r="E38" s="12">
        <f t="shared" si="1"/>
        <v>3.0007272544642864E-2</v>
      </c>
      <c r="F38" s="12">
        <f>E38/Calculation!K$15*1000</f>
        <v>2.9865345340363031E-2</v>
      </c>
      <c r="G38" s="12">
        <f t="shared" si="3"/>
        <v>81.185792063051053</v>
      </c>
    </row>
    <row r="39" spans="1:7">
      <c r="A39" s="35">
        <v>17</v>
      </c>
      <c r="B39" s="76">
        <v>8220.6299999999992</v>
      </c>
      <c r="C39" s="36">
        <f t="shared" si="0"/>
        <v>8.2206299999999999</v>
      </c>
      <c r="D39" s="12">
        <f t="shared" si="2"/>
        <v>0.57791028899999997</v>
      </c>
      <c r="E39" s="12">
        <f t="shared" si="1"/>
        <v>2.5799566473214287E-2</v>
      </c>
      <c r="F39" s="12">
        <f>E39/Calculation!K$16*1000</f>
        <v>2.6974129399074023E-2</v>
      </c>
      <c r="G39" s="12">
        <f>G38+(F39+F38)/2*30</f>
        <v>82.038384184142615</v>
      </c>
    </row>
    <row r="40" spans="1:7">
      <c r="A40" s="35">
        <v>17.5</v>
      </c>
      <c r="B40" s="76">
        <v>6902.61</v>
      </c>
      <c r="C40" s="36">
        <f t="shared" si="0"/>
        <v>6.9026099999999992</v>
      </c>
      <c r="D40" s="12">
        <f t="shared" si="2"/>
        <v>0.48525348299999993</v>
      </c>
      <c r="E40" s="12">
        <f t="shared" si="1"/>
        <v>2.1663101919642856E-2</v>
      </c>
      <c r="F40" s="12">
        <f>E40/Calculation!K$16*1000</f>
        <v>2.2649346258296787E-2</v>
      </c>
      <c r="G40" s="12">
        <f t="shared" si="3"/>
        <v>82.782736319003178</v>
      </c>
    </row>
    <row r="41" spans="1:7">
      <c r="A41" s="35">
        <v>18</v>
      </c>
      <c r="B41" s="76">
        <v>5905.29</v>
      </c>
      <c r="C41" s="36">
        <f t="shared" si="0"/>
        <v>5.9052899999999999</v>
      </c>
      <c r="D41" s="12">
        <f t="shared" si="2"/>
        <v>0.41514188699999999</v>
      </c>
      <c r="E41" s="12">
        <f t="shared" si="1"/>
        <v>1.8533119955357145E-2</v>
      </c>
      <c r="F41" s="12">
        <f>E41/Calculation!K$17*1000</f>
        <v>2.0470232848693412E-2</v>
      </c>
      <c r="G41" s="12">
        <f t="shared" si="3"/>
        <v>83.429530005608029</v>
      </c>
    </row>
    <row r="42" spans="1:7">
      <c r="A42" s="35">
        <v>18.5</v>
      </c>
      <c r="B42" s="76">
        <v>5115.43</v>
      </c>
      <c r="C42" s="36">
        <f t="shared" si="0"/>
        <v>5.1154299999999999</v>
      </c>
      <c r="D42" s="12">
        <f t="shared" si="2"/>
        <v>0.35961472899999997</v>
      </c>
      <c r="E42" s="12">
        <f t="shared" si="1"/>
        <v>1.6054228973214284E-2</v>
      </c>
      <c r="F42" s="12">
        <f>E42/Calculation!K$17*1000</f>
        <v>1.773224400854009E-2</v>
      </c>
      <c r="G42" s="12">
        <f t="shared" si="3"/>
        <v>84.002567158466533</v>
      </c>
    </row>
    <row r="43" spans="1:7">
      <c r="A43" s="35">
        <v>19</v>
      </c>
      <c r="B43" s="76">
        <v>4457.4399999999996</v>
      </c>
      <c r="C43" s="36">
        <f t="shared" si="0"/>
        <v>4.4574399999999992</v>
      </c>
      <c r="D43" s="12">
        <f t="shared" si="2"/>
        <v>0.31335803199999995</v>
      </c>
      <c r="E43" s="12">
        <f t="shared" si="1"/>
        <v>1.3989197857142857E-2</v>
      </c>
      <c r="F43" s="12">
        <f>E43/Calculation!K$17*1000</f>
        <v>1.5451372364283541E-2</v>
      </c>
      <c r="G43" s="12">
        <f t="shared" si="3"/>
        <v>84.500321404058894</v>
      </c>
    </row>
    <row r="44" spans="1:7">
      <c r="A44" s="35">
        <v>19.5</v>
      </c>
      <c r="B44" s="76">
        <v>3826.91</v>
      </c>
      <c r="C44" s="36">
        <f t="shared" si="0"/>
        <v>3.8269099999999998</v>
      </c>
      <c r="D44" s="12">
        <f t="shared" si="2"/>
        <v>0.26903177299999997</v>
      </c>
      <c r="E44" s="12">
        <f t="shared" si="1"/>
        <v>1.2010347008928571E-2</v>
      </c>
      <c r="F44" s="12">
        <f>E44/Calculation!K$17*1000</f>
        <v>1.3265688694542232E-2</v>
      </c>
      <c r="G44" s="12">
        <f t="shared" si="3"/>
        <v>84.931077319941281</v>
      </c>
    </row>
    <row r="45" spans="1:7">
      <c r="A45" s="35">
        <v>20</v>
      </c>
      <c r="B45" s="76">
        <v>3326.56</v>
      </c>
      <c r="C45" s="36">
        <f t="shared" si="0"/>
        <v>3.3265599999999997</v>
      </c>
      <c r="D45" s="12">
        <f t="shared" si="2"/>
        <v>0.23385716799999998</v>
      </c>
      <c r="E45" s="12">
        <f t="shared" si="1"/>
        <v>1.0440052142857143E-2</v>
      </c>
      <c r="F45" s="12">
        <f>E45/Calculation!K$17*1000</f>
        <v>1.1531263965893216E-2</v>
      </c>
      <c r="G45" s="12">
        <f t="shared" si="3"/>
        <v>85.303031609847807</v>
      </c>
    </row>
    <row r="46" spans="1:7">
      <c r="A46" s="35">
        <v>20.5</v>
      </c>
      <c r="B46" s="76">
        <v>2920.44</v>
      </c>
      <c r="C46" s="36">
        <f t="shared" si="0"/>
        <v>2.9204400000000001</v>
      </c>
      <c r="D46" s="12">
        <f t="shared" si="2"/>
        <v>0.205306932</v>
      </c>
      <c r="E46" s="12">
        <f t="shared" si="1"/>
        <v>9.1654880357142868E-3</v>
      </c>
      <c r="F46" s="12">
        <f>E46/Calculation!K$17*1000</f>
        <v>1.012348027288045E-2</v>
      </c>
      <c r="G46" s="12">
        <f t="shared" si="3"/>
        <v>85.62785277342941</v>
      </c>
    </row>
    <row r="47" spans="1:7">
      <c r="A47" s="35">
        <v>21</v>
      </c>
      <c r="B47" s="76">
        <v>2580.09</v>
      </c>
      <c r="C47" s="36">
        <f t="shared" si="0"/>
        <v>2.5800900000000002</v>
      </c>
      <c r="D47" s="12">
        <f t="shared" si="2"/>
        <v>0.18138032700000001</v>
      </c>
      <c r="E47" s="12">
        <f t="shared" si="1"/>
        <v>8.0973360267857144E-3</v>
      </c>
      <c r="F47" s="12">
        <f>E47/Calculation!K$17*1000</f>
        <v>8.9436832180274598E-3</v>
      </c>
      <c r="G47" s="12">
        <f t="shared" si="3"/>
        <v>85.91386022579303</v>
      </c>
    </row>
    <row r="48" spans="1:7">
      <c r="A48" s="35">
        <v>21.5</v>
      </c>
      <c r="B48" s="76">
        <v>2220.08</v>
      </c>
      <c r="C48" s="36">
        <f t="shared" si="0"/>
        <v>2.2200799999999998</v>
      </c>
      <c r="D48" s="12">
        <f t="shared" si="2"/>
        <v>0.15607162399999996</v>
      </c>
      <c r="E48" s="12">
        <f t="shared" si="1"/>
        <v>6.9674832142857133E-3</v>
      </c>
      <c r="F48" s="12">
        <f>E48/Calculation!K$17*1000</f>
        <v>7.6957362877567836E-3</v>
      </c>
      <c r="G48" s="12">
        <f t="shared" si="3"/>
        <v>86.163451518379787</v>
      </c>
    </row>
    <row r="49" spans="1:7">
      <c r="A49" s="35">
        <v>22</v>
      </c>
      <c r="B49" s="76">
        <v>2003.63</v>
      </c>
      <c r="C49" s="36">
        <f t="shared" si="0"/>
        <v>2.0036300000000002</v>
      </c>
      <c r="D49" s="12">
        <f t="shared" si="2"/>
        <v>0.14085518900000002</v>
      </c>
      <c r="E49" s="12">
        <f t="shared" si="1"/>
        <v>6.2881780803571439E-3</v>
      </c>
      <c r="F49" s="12">
        <f>E49/Calculation!K$17*1000</f>
        <v>6.9454290377995971E-3</v>
      </c>
      <c r="G49" s="12">
        <f t="shared" si="3"/>
        <v>86.383068998263127</v>
      </c>
    </row>
    <row r="50" spans="1:7">
      <c r="A50" s="35">
        <v>22.5</v>
      </c>
      <c r="B50" s="76">
        <v>1767.86</v>
      </c>
      <c r="C50" s="36">
        <f t="shared" si="0"/>
        <v>1.76786</v>
      </c>
      <c r="D50" s="12">
        <f t="shared" si="2"/>
        <v>0.124280558</v>
      </c>
      <c r="E50" s="12">
        <f t="shared" si="1"/>
        <v>5.5482391964285721E-3</v>
      </c>
      <c r="F50" s="12">
        <f>E50/Calculation!K$17*1000</f>
        <v>6.1281504962315374E-3</v>
      </c>
      <c r="G50" s="12">
        <f t="shared" si="3"/>
        <v>86.579172691273598</v>
      </c>
    </row>
    <row r="51" spans="1:7">
      <c r="A51" s="35">
        <v>23</v>
      </c>
      <c r="B51" s="76">
        <v>1638.53</v>
      </c>
      <c r="C51" s="36">
        <f t="shared" si="0"/>
        <v>1.63853</v>
      </c>
      <c r="D51" s="12">
        <f t="shared" si="2"/>
        <v>0.115188659</v>
      </c>
      <c r="E51" s="12">
        <f t="shared" si="1"/>
        <v>5.1423508482142857E-3</v>
      </c>
      <c r="F51" s="12">
        <f>E51/Calculation!K$17*1000</f>
        <v>5.6798380146562844E-3</v>
      </c>
      <c r="G51" s="12">
        <f t="shared" si="3"/>
        <v>86.756292518936917</v>
      </c>
    </row>
    <row r="52" spans="1:7">
      <c r="A52" s="35">
        <v>23.5</v>
      </c>
      <c r="B52" s="76">
        <v>1516.15</v>
      </c>
      <c r="C52" s="36">
        <f t="shared" si="0"/>
        <v>1.5161500000000001</v>
      </c>
      <c r="D52" s="12">
        <f t="shared" si="2"/>
        <v>0.10658534500000001</v>
      </c>
      <c r="E52" s="12">
        <f t="shared" si="1"/>
        <v>4.7582743303571434E-3</v>
      </c>
      <c r="F52" s="12">
        <f>E52/Calculation!K$17*1000</f>
        <v>5.2556171726615489E-3</v>
      </c>
      <c r="G52" s="12">
        <f t="shared" si="3"/>
        <v>86.920324346746682</v>
      </c>
    </row>
    <row r="53" spans="1:7">
      <c r="A53" s="35">
        <v>24</v>
      </c>
      <c r="B53" s="76">
        <v>1378.69</v>
      </c>
      <c r="C53" s="36">
        <f t="shared" si="0"/>
        <v>1.37869</v>
      </c>
      <c r="D53" s="12">
        <f t="shared" si="2"/>
        <v>9.6921906999999988E-2</v>
      </c>
      <c r="E53" s="12">
        <f t="shared" si="1"/>
        <v>4.3268708482142853E-3</v>
      </c>
      <c r="F53" s="12">
        <f>E53/Calculation!K$18*1000</f>
        <v>5.0649173837185374E-3</v>
      </c>
      <c r="G53" s="12">
        <f t="shared" si="3"/>
        <v>87.075132365092387</v>
      </c>
    </row>
    <row r="54" spans="1:7">
      <c r="A54" s="35">
        <v>24.5</v>
      </c>
      <c r="B54" s="76">
        <v>1215.1300000000001</v>
      </c>
      <c r="C54" s="36">
        <f t="shared" si="0"/>
        <v>1.21513</v>
      </c>
      <c r="D54" s="12">
        <f t="shared" si="2"/>
        <v>8.5423638999999996E-2</v>
      </c>
      <c r="E54" s="12">
        <f t="shared" si="1"/>
        <v>3.8135553125E-3</v>
      </c>
      <c r="F54" s="12">
        <f>E54/Calculation!K$18*1000</f>
        <v>4.464044172713161E-3</v>
      </c>
      <c r="G54" s="12">
        <f t="shared" si="3"/>
        <v>87.218066788438861</v>
      </c>
    </row>
    <row r="55" spans="1:7">
      <c r="A55" s="35">
        <v>25</v>
      </c>
      <c r="B55" s="76">
        <v>1054.27</v>
      </c>
      <c r="C55" s="36">
        <f t="shared" si="0"/>
        <v>1.05427</v>
      </c>
      <c r="D55" s="12">
        <f t="shared" si="2"/>
        <v>7.4115180999999988E-2</v>
      </c>
      <c r="E55" s="12">
        <f t="shared" si="1"/>
        <v>3.3087134374999998E-3</v>
      </c>
      <c r="F55" s="12">
        <f>E55/Calculation!K$18*1000</f>
        <v>3.873089998573242E-3</v>
      </c>
      <c r="G55" s="12">
        <f t="shared" si="3"/>
        <v>87.343123801008161</v>
      </c>
    </row>
    <row r="56" spans="1:7">
      <c r="A56" s="35">
        <v>25.5</v>
      </c>
      <c r="B56" s="76">
        <v>979.7</v>
      </c>
      <c r="C56" s="36">
        <f t="shared" si="0"/>
        <v>0.97970000000000002</v>
      </c>
      <c r="D56" s="12">
        <f t="shared" si="2"/>
        <v>6.8872909999999996E-2</v>
      </c>
      <c r="E56" s="12">
        <f t="shared" si="1"/>
        <v>3.0746834821428573E-3</v>
      </c>
      <c r="F56" s="12">
        <f>E56/Calculation!K$18*1000</f>
        <v>3.5991408952186872E-3</v>
      </c>
      <c r="G56" s="12">
        <f t="shared" si="3"/>
        <v>87.455207264415037</v>
      </c>
    </row>
    <row r="57" spans="1:7">
      <c r="A57" s="35">
        <v>26</v>
      </c>
      <c r="B57" s="76">
        <v>888</v>
      </c>
      <c r="C57" s="36">
        <f t="shared" si="0"/>
        <v>0.88800000000000001</v>
      </c>
      <c r="D57" s="12">
        <f t="shared" si="2"/>
        <v>6.24264E-2</v>
      </c>
      <c r="E57" s="12">
        <f t="shared" si="1"/>
        <v>2.7868928571428571E-3</v>
      </c>
      <c r="F57" s="12">
        <f>E57/Calculation!K$18*1000</f>
        <v>3.2622610135288293E-3</v>
      </c>
      <c r="G57" s="12">
        <f t="shared" si="3"/>
        <v>87.558128293046252</v>
      </c>
    </row>
    <row r="58" spans="1:7">
      <c r="A58" s="35">
        <v>26.5</v>
      </c>
      <c r="B58" s="76">
        <v>804.6</v>
      </c>
      <c r="C58" s="36">
        <f t="shared" si="0"/>
        <v>0.80459999999999998</v>
      </c>
      <c r="D58" s="12">
        <f t="shared" si="2"/>
        <v>5.6563379999999996E-2</v>
      </c>
      <c r="E58" s="12">
        <f t="shared" si="1"/>
        <v>2.5251508928571427E-3</v>
      </c>
      <c r="F58" s="12">
        <f>E58/Calculation!K$18*1000</f>
        <v>2.9558729859068648E-3</v>
      </c>
      <c r="G58" s="12">
        <f t="shared" si="3"/>
        <v>87.651400303037789</v>
      </c>
    </row>
    <row r="59" spans="1:7">
      <c r="A59" s="35">
        <v>27</v>
      </c>
      <c r="B59" s="76">
        <v>717.31</v>
      </c>
      <c r="C59" s="36">
        <f t="shared" si="0"/>
        <v>0.71730999999999989</v>
      </c>
      <c r="D59" s="12">
        <f t="shared" si="2"/>
        <v>5.0426892999999987E-2</v>
      </c>
      <c r="E59" s="12">
        <f t="shared" si="1"/>
        <v>2.2512005803571422E-3</v>
      </c>
      <c r="F59" s="12">
        <f>E59/Calculation!K$18*1000</f>
        <v>2.6351941977639233E-3</v>
      </c>
      <c r="G59" s="12">
        <f t="shared" si="3"/>
        <v>87.735266310792852</v>
      </c>
    </row>
    <row r="60" spans="1:7">
      <c r="A60" s="35">
        <v>27.5</v>
      </c>
      <c r="B60" s="76">
        <v>662.9</v>
      </c>
      <c r="C60" s="36">
        <f t="shared" si="0"/>
        <v>0.66289999999999993</v>
      </c>
      <c r="D60" s="12">
        <f t="shared" si="2"/>
        <v>4.660186999999999E-2</v>
      </c>
      <c r="E60" s="12">
        <f t="shared" si="1"/>
        <v>2.0804406249999995E-3</v>
      </c>
      <c r="F60" s="12">
        <f>E60/Calculation!K$18*1000</f>
        <v>2.4353072363381312E-3</v>
      </c>
      <c r="G60" s="12">
        <f t="shared" si="3"/>
        <v>87.811323832304382</v>
      </c>
    </row>
    <row r="61" spans="1:7">
      <c r="A61" s="35">
        <v>28</v>
      </c>
      <c r="B61" s="76">
        <v>624.6</v>
      </c>
      <c r="C61" s="36">
        <f t="shared" si="0"/>
        <v>0.62460000000000004</v>
      </c>
      <c r="D61" s="12">
        <f t="shared" si="2"/>
        <v>4.3909379999999998E-2</v>
      </c>
      <c r="E61" s="12">
        <f t="shared" si="1"/>
        <v>1.9602401785714287E-3</v>
      </c>
      <c r="F61" s="12">
        <f>E61/Calculation!K$18*1000</f>
        <v>2.2946038615429135E-3</v>
      </c>
      <c r="G61" s="12">
        <f t="shared" si="3"/>
        <v>87.882272498772593</v>
      </c>
    </row>
    <row r="62" spans="1:7">
      <c r="A62" s="35">
        <v>28.5</v>
      </c>
      <c r="B62" s="76">
        <v>573.24</v>
      </c>
      <c r="C62" s="36">
        <f t="shared" si="0"/>
        <v>0.57323999999999997</v>
      </c>
      <c r="D62" s="12">
        <f t="shared" si="2"/>
        <v>4.0298771999999997E-2</v>
      </c>
      <c r="E62" s="12">
        <f t="shared" si="1"/>
        <v>1.7990523214285715E-3</v>
      </c>
      <c r="F62" s="12">
        <f>E62/Calculation!K$18*1000</f>
        <v>2.1059217380577323E-3</v>
      </c>
      <c r="G62" s="12">
        <f t="shared" si="3"/>
        <v>87.948280382766598</v>
      </c>
    </row>
    <row r="63" spans="1:7">
      <c r="A63" s="35">
        <v>29</v>
      </c>
      <c r="B63" s="76">
        <v>515.78</v>
      </c>
      <c r="C63" s="36">
        <f t="shared" si="0"/>
        <v>0.51578000000000002</v>
      </c>
      <c r="D63" s="12">
        <f t="shared" si="2"/>
        <v>3.6259333999999997E-2</v>
      </c>
      <c r="E63" s="12">
        <f t="shared" si="1"/>
        <v>1.6187202678571429E-3</v>
      </c>
      <c r="F63" s="12">
        <f>E63/Calculation!K$18*1000</f>
        <v>1.8948299386913284E-3</v>
      </c>
      <c r="G63" s="12">
        <f t="shared" si="3"/>
        <v>88.008291657917837</v>
      </c>
    </row>
    <row r="64" spans="1:7">
      <c r="A64" s="35">
        <v>29.5</v>
      </c>
      <c r="B64" s="76">
        <v>488.83</v>
      </c>
      <c r="C64" s="36">
        <f t="shared" si="0"/>
        <v>0.48882999999999999</v>
      </c>
      <c r="D64" s="12">
        <f t="shared" si="2"/>
        <v>3.4364749E-2</v>
      </c>
      <c r="E64" s="12">
        <f t="shared" si="1"/>
        <v>1.534140580357143E-3</v>
      </c>
      <c r="F64" s="12">
        <f>E64/Calculation!K$18*1000</f>
        <v>1.7958232559046148E-3</v>
      </c>
      <c r="G64" s="12">
        <f t="shared" si="3"/>
        <v>88.063651455836776</v>
      </c>
    </row>
    <row r="65" spans="1:7">
      <c r="A65" s="35">
        <v>30</v>
      </c>
      <c r="B65" s="76">
        <v>439.34</v>
      </c>
      <c r="C65" s="36">
        <f t="shared" si="0"/>
        <v>0.43933999999999995</v>
      </c>
      <c r="D65" s="12">
        <f t="shared" si="2"/>
        <v>3.0885601999999998E-2</v>
      </c>
      <c r="E65" s="12">
        <f t="shared" si="1"/>
        <v>1.3788215178571429E-3</v>
      </c>
      <c r="F65" s="12">
        <f>E65/Calculation!K$19*1000</f>
        <v>1.7166689263155802E-3</v>
      </c>
      <c r="G65" s="12">
        <f t="shared" si="3"/>
        <v>88.116338838570073</v>
      </c>
    </row>
    <row r="66" spans="1:7">
      <c r="A66" s="35">
        <v>30.5</v>
      </c>
      <c r="B66" s="76">
        <v>423.74</v>
      </c>
      <c r="C66" s="36">
        <f t="shared" si="0"/>
        <v>0.42374000000000001</v>
      </c>
      <c r="D66" s="12">
        <f t="shared" si="2"/>
        <v>2.9788922000000002E-2</v>
      </c>
      <c r="E66" s="12">
        <f t="shared" si="1"/>
        <v>1.3298625892857144E-3</v>
      </c>
      <c r="F66" s="12">
        <f>E66/Calculation!K$19*1000</f>
        <v>1.6557137771133154E-3</v>
      </c>
      <c r="G66" s="12">
        <f t="shared" si="3"/>
        <v>88.166924579121513</v>
      </c>
    </row>
    <row r="67" spans="1:7">
      <c r="A67" s="35">
        <v>31</v>
      </c>
      <c r="B67" s="76">
        <v>389</v>
      </c>
      <c r="C67" s="36">
        <f t="shared" si="0"/>
        <v>0.38900000000000001</v>
      </c>
      <c r="D67" s="12">
        <f t="shared" si="2"/>
        <v>2.7346700000000002E-2</v>
      </c>
      <c r="E67" s="12">
        <f t="shared" si="1"/>
        <v>1.2208348214285715E-3</v>
      </c>
      <c r="F67" s="12">
        <f>E67/Calculation!K$19*1000</f>
        <v>1.5199713486975022E-3</v>
      </c>
      <c r="G67" s="12">
        <f t="shared" si="3"/>
        <v>88.214559856008677</v>
      </c>
    </row>
    <row r="68" spans="1:7">
      <c r="A68" s="35">
        <v>31.5</v>
      </c>
      <c r="B68" s="76">
        <v>354.76</v>
      </c>
      <c r="C68" s="36">
        <f t="shared" si="0"/>
        <v>0.35475999999999996</v>
      </c>
      <c r="D68" s="12">
        <f t="shared" si="2"/>
        <v>2.4939627999999998E-2</v>
      </c>
      <c r="E68" s="12">
        <f t="shared" si="1"/>
        <v>1.11337625E-3</v>
      </c>
      <c r="F68" s="12">
        <f>E68/Calculation!K$19*1000</f>
        <v>1.3861826109612492E-3</v>
      </c>
      <c r="G68" s="12">
        <f t="shared" si="3"/>
        <v>88.258152165403558</v>
      </c>
    </row>
    <row r="69" spans="1:7">
      <c r="A69" s="35">
        <v>32</v>
      </c>
      <c r="B69" s="76">
        <v>332.05</v>
      </c>
      <c r="C69" s="36">
        <f t="shared" si="0"/>
        <v>0.33205000000000001</v>
      </c>
      <c r="D69" s="12">
        <f t="shared" si="2"/>
        <v>2.3343115000000001E-2</v>
      </c>
      <c r="E69" s="12">
        <f t="shared" si="1"/>
        <v>1.0421033482142859E-3</v>
      </c>
      <c r="F69" s="12">
        <f>E69/Calculation!K$19*1000</f>
        <v>1.2974459802956445E-3</v>
      </c>
      <c r="G69" s="12">
        <f t="shared" si="3"/>
        <v>88.298406594272407</v>
      </c>
    </row>
    <row r="70" spans="1:7">
      <c r="A70" s="35">
        <v>32.5</v>
      </c>
      <c r="B70" s="76">
        <v>306.27999999999997</v>
      </c>
      <c r="C70" s="36">
        <f t="shared" ref="C70:C101" si="4">B70/1000</f>
        <v>0.30628</v>
      </c>
      <c r="D70" s="12">
        <f t="shared" ref="D70:D101" si="5">C70/1000*$B$1</f>
        <v>2.1531483999999997E-2</v>
      </c>
      <c r="E70" s="12">
        <f t="shared" ref="E70:E101" si="6">D70/22.4</f>
        <v>9.6122696428571424E-4</v>
      </c>
      <c r="F70" s="12">
        <f>E70/Calculation!K$19*1000</f>
        <v>1.1967527626711336E-3</v>
      </c>
      <c r="G70" s="12">
        <f t="shared" si="3"/>
        <v>88.335819575416906</v>
      </c>
    </row>
    <row r="71" spans="1:7">
      <c r="A71" s="35">
        <v>33</v>
      </c>
      <c r="B71" s="76">
        <v>284.08</v>
      </c>
      <c r="C71" s="36">
        <f t="shared" si="4"/>
        <v>0.28408</v>
      </c>
      <c r="D71" s="12">
        <f t="shared" si="5"/>
        <v>1.9970823999999998E-2</v>
      </c>
      <c r="E71" s="12">
        <f t="shared" si="6"/>
        <v>8.9155464285714287E-4</v>
      </c>
      <c r="F71" s="12">
        <f>E71/Calculation!K$19*1000</f>
        <v>1.11000889649868E-3</v>
      </c>
      <c r="G71" s="12">
        <f t="shared" ref="G71:G101" si="7">G70+(F71+F70)/2*30</f>
        <v>88.370421000304447</v>
      </c>
    </row>
    <row r="72" spans="1:7">
      <c r="A72" s="35">
        <v>33.5</v>
      </c>
      <c r="B72" s="76">
        <v>261.02999999999997</v>
      </c>
      <c r="C72" s="36">
        <f t="shared" si="4"/>
        <v>0.26102999999999998</v>
      </c>
      <c r="D72" s="12">
        <f t="shared" si="5"/>
        <v>1.8350408999999998E-2</v>
      </c>
      <c r="E72" s="12">
        <f t="shared" si="6"/>
        <v>8.1921468749999993E-4</v>
      </c>
      <c r="F72" s="12">
        <f>E72/Calculation!K$19*1000</f>
        <v>1.0199437561709743E-3</v>
      </c>
      <c r="G72" s="12">
        <f t="shared" si="7"/>
        <v>88.402370290094495</v>
      </c>
    </row>
    <row r="73" spans="1:7">
      <c r="A73" s="35">
        <v>34</v>
      </c>
      <c r="B73" s="76">
        <v>243.74</v>
      </c>
      <c r="C73" s="36">
        <f t="shared" si="4"/>
        <v>0.24374000000000001</v>
      </c>
      <c r="D73" s="12">
        <f t="shared" si="5"/>
        <v>1.7134922E-2</v>
      </c>
      <c r="E73" s="12">
        <f t="shared" si="6"/>
        <v>7.6495187500000002E-4</v>
      </c>
      <c r="F73" s="12">
        <f>E73/Calculation!K$19*1000</f>
        <v>9.5238513247179746E-4</v>
      </c>
      <c r="G73" s="12">
        <f t="shared" si="7"/>
        <v>88.43195522342414</v>
      </c>
    </row>
    <row r="74" spans="1:7">
      <c r="A74" s="35">
        <v>34.5</v>
      </c>
      <c r="B74" s="76">
        <v>225.09</v>
      </c>
      <c r="C74" s="36">
        <f t="shared" si="4"/>
        <v>0.22509000000000001</v>
      </c>
      <c r="D74" s="12">
        <f t="shared" si="5"/>
        <v>1.5823826999999999E-2</v>
      </c>
      <c r="E74" s="12">
        <f t="shared" si="6"/>
        <v>7.0642084821428573E-4</v>
      </c>
      <c r="F74" s="12">
        <f>E74/Calculation!K$19*1000</f>
        <v>8.7951247012421803E-4</v>
      </c>
      <c r="G74" s="12">
        <f t="shared" si="7"/>
        <v>88.459433687463076</v>
      </c>
    </row>
    <row r="75" spans="1:7">
      <c r="A75" s="35">
        <v>35</v>
      </c>
      <c r="B75" s="76">
        <v>213.06</v>
      </c>
      <c r="C75" s="36">
        <f t="shared" si="4"/>
        <v>0.21306</v>
      </c>
      <c r="D75" s="12">
        <f t="shared" si="5"/>
        <v>1.4978117999999999E-2</v>
      </c>
      <c r="E75" s="12">
        <f t="shared" si="6"/>
        <v>6.686659821428571E-4</v>
      </c>
      <c r="F75" s="12">
        <f>E75/Calculation!K$19*1000</f>
        <v>8.3250667237400988E-4</v>
      </c>
      <c r="G75" s="12">
        <f t="shared" si="7"/>
        <v>88.485113974600552</v>
      </c>
    </row>
    <row r="76" spans="1:7">
      <c r="A76" s="35">
        <v>35.5</v>
      </c>
      <c r="B76" s="76">
        <v>184.41</v>
      </c>
      <c r="C76" s="36">
        <f t="shared" si="4"/>
        <v>0.18440999999999999</v>
      </c>
      <c r="D76" s="12">
        <f t="shared" si="5"/>
        <v>1.2964022999999998E-2</v>
      </c>
      <c r="E76" s="12">
        <f t="shared" si="6"/>
        <v>5.7875102678571423E-4</v>
      </c>
      <c r="F76" s="12">
        <f>E76/Calculation!K$19*1000</f>
        <v>7.2056019643523491E-4</v>
      </c>
      <c r="G76" s="12">
        <f t="shared" si="7"/>
        <v>88.508409977632695</v>
      </c>
    </row>
    <row r="77" spans="1:7">
      <c r="A77" s="35">
        <v>36</v>
      </c>
      <c r="B77" s="76">
        <v>182.21</v>
      </c>
      <c r="C77" s="36">
        <f t="shared" si="4"/>
        <v>0.18221000000000001</v>
      </c>
      <c r="D77" s="12">
        <f t="shared" si="5"/>
        <v>1.2809363000000001E-2</v>
      </c>
      <c r="E77" s="12">
        <f t="shared" si="6"/>
        <v>5.7184656250000002E-4</v>
      </c>
      <c r="F77" s="12">
        <f>E77/Calculation!K$19*1000</f>
        <v>7.11963957445172E-4</v>
      </c>
      <c r="G77" s="12">
        <f t="shared" si="7"/>
        <v>88.529897839940901</v>
      </c>
    </row>
    <row r="78" spans="1:7">
      <c r="A78" s="35">
        <v>36.5</v>
      </c>
      <c r="B78" s="76">
        <v>164.58</v>
      </c>
      <c r="C78" s="36">
        <f t="shared" si="4"/>
        <v>0.16458</v>
      </c>
      <c r="D78" s="12">
        <f t="shared" si="5"/>
        <v>1.1569974E-2</v>
      </c>
      <c r="E78" s="12">
        <f t="shared" si="6"/>
        <v>5.1651669642857145E-4</v>
      </c>
      <c r="F78" s="12">
        <f>E78/Calculation!K$19*1000</f>
        <v>6.4307682408389446E-4</v>
      </c>
      <c r="G78" s="12">
        <f t="shared" si="7"/>
        <v>88.55022345166384</v>
      </c>
    </row>
    <row r="79" spans="1:7">
      <c r="A79" s="35">
        <v>37</v>
      </c>
      <c r="B79" s="76">
        <v>0</v>
      </c>
      <c r="C79" s="36">
        <f t="shared" si="4"/>
        <v>0</v>
      </c>
      <c r="D79" s="12">
        <f t="shared" si="5"/>
        <v>0</v>
      </c>
      <c r="E79" s="12">
        <f t="shared" si="6"/>
        <v>0</v>
      </c>
      <c r="F79" s="12">
        <f>E79/Calculation!K$19*1000</f>
        <v>0</v>
      </c>
      <c r="G79" s="12">
        <f t="shared" si="7"/>
        <v>88.559869604025096</v>
      </c>
    </row>
    <row r="80" spans="1:7">
      <c r="A80" s="35">
        <v>37.5</v>
      </c>
      <c r="B80" s="76">
        <v>0</v>
      </c>
      <c r="C80" s="36">
        <f t="shared" si="4"/>
        <v>0</v>
      </c>
      <c r="D80" s="12">
        <f t="shared" si="5"/>
        <v>0</v>
      </c>
      <c r="E80" s="12">
        <f t="shared" si="6"/>
        <v>0</v>
      </c>
      <c r="F80" s="12">
        <f>E80/Calculation!K$19*1000</f>
        <v>0</v>
      </c>
      <c r="G80" s="12">
        <f t="shared" si="7"/>
        <v>88.559869604025096</v>
      </c>
    </row>
    <row r="81" spans="1:7">
      <c r="A81" s="35">
        <v>38</v>
      </c>
      <c r="B81" s="76">
        <v>0</v>
      </c>
      <c r="C81" s="36">
        <f t="shared" si="4"/>
        <v>0</v>
      </c>
      <c r="D81" s="12">
        <f t="shared" si="5"/>
        <v>0</v>
      </c>
      <c r="E81" s="12">
        <f t="shared" si="6"/>
        <v>0</v>
      </c>
      <c r="F81" s="12">
        <f>E81/Calculation!K$19*1000</f>
        <v>0</v>
      </c>
      <c r="G81" s="12">
        <f t="shared" si="7"/>
        <v>88.559869604025096</v>
      </c>
    </row>
    <row r="82" spans="1:7">
      <c r="A82" s="35">
        <v>38.5</v>
      </c>
      <c r="B82" s="76">
        <v>0</v>
      </c>
      <c r="C82" s="36">
        <f t="shared" si="4"/>
        <v>0</v>
      </c>
      <c r="D82" s="12">
        <f t="shared" si="5"/>
        <v>0</v>
      </c>
      <c r="E82" s="12">
        <f t="shared" si="6"/>
        <v>0</v>
      </c>
      <c r="F82" s="12">
        <f>E82/Calculation!K$19*1000</f>
        <v>0</v>
      </c>
      <c r="G82" s="12">
        <f t="shared" si="7"/>
        <v>88.559869604025096</v>
      </c>
    </row>
    <row r="83" spans="1:7">
      <c r="A83" s="35">
        <v>39</v>
      </c>
      <c r="B83" s="76">
        <v>0</v>
      </c>
      <c r="C83" s="36">
        <f t="shared" si="4"/>
        <v>0</v>
      </c>
      <c r="D83" s="12">
        <f t="shared" si="5"/>
        <v>0</v>
      </c>
      <c r="E83" s="12">
        <f t="shared" si="6"/>
        <v>0</v>
      </c>
      <c r="F83" s="12">
        <f>E83/Calculation!K$19*1000</f>
        <v>0</v>
      </c>
      <c r="G83" s="12">
        <f t="shared" si="7"/>
        <v>88.559869604025096</v>
      </c>
    </row>
    <row r="84" spans="1:7">
      <c r="A84" s="35">
        <v>39.5</v>
      </c>
      <c r="B84" s="76">
        <v>0</v>
      </c>
      <c r="C84" s="36">
        <f t="shared" si="4"/>
        <v>0</v>
      </c>
      <c r="D84" s="12">
        <f t="shared" si="5"/>
        <v>0</v>
      </c>
      <c r="E84" s="12">
        <f t="shared" si="6"/>
        <v>0</v>
      </c>
      <c r="F84" s="12">
        <f>E84/Calculation!K$19*1000</f>
        <v>0</v>
      </c>
      <c r="G84" s="12">
        <f t="shared" si="7"/>
        <v>88.559869604025096</v>
      </c>
    </row>
    <row r="85" spans="1:7">
      <c r="A85" s="35">
        <v>40</v>
      </c>
      <c r="B85" s="76">
        <v>0</v>
      </c>
      <c r="C85" s="36">
        <f t="shared" si="4"/>
        <v>0</v>
      </c>
      <c r="D85" s="12">
        <f t="shared" si="5"/>
        <v>0</v>
      </c>
      <c r="E85" s="12">
        <f t="shared" si="6"/>
        <v>0</v>
      </c>
      <c r="F85" s="12">
        <f>E85/Calculation!K$19*1000</f>
        <v>0</v>
      </c>
      <c r="G85" s="12">
        <f t="shared" si="7"/>
        <v>88.559869604025096</v>
      </c>
    </row>
    <row r="86" spans="1:7">
      <c r="A86" s="35">
        <v>40.5</v>
      </c>
      <c r="B86" s="76">
        <v>0</v>
      </c>
      <c r="C86" s="36">
        <f t="shared" si="4"/>
        <v>0</v>
      </c>
      <c r="D86" s="12">
        <f t="shared" si="5"/>
        <v>0</v>
      </c>
      <c r="E86" s="12">
        <f t="shared" si="6"/>
        <v>0</v>
      </c>
      <c r="F86" s="12">
        <f>E86/Calculation!K$19*1000</f>
        <v>0</v>
      </c>
      <c r="G86" s="12">
        <f t="shared" si="7"/>
        <v>88.559869604025096</v>
      </c>
    </row>
    <row r="87" spans="1:7">
      <c r="A87" s="35">
        <v>41</v>
      </c>
      <c r="B87" s="76">
        <v>0</v>
      </c>
      <c r="C87" s="36">
        <f t="shared" si="4"/>
        <v>0</v>
      </c>
      <c r="D87" s="12">
        <f t="shared" si="5"/>
        <v>0</v>
      </c>
      <c r="E87" s="12">
        <f t="shared" si="6"/>
        <v>0</v>
      </c>
      <c r="F87" s="12">
        <f>E87/Calculation!K$19*1000</f>
        <v>0</v>
      </c>
      <c r="G87" s="12">
        <f t="shared" si="7"/>
        <v>88.559869604025096</v>
      </c>
    </row>
    <row r="88" spans="1:7">
      <c r="A88" s="35">
        <v>41.5</v>
      </c>
      <c r="B88" s="76">
        <v>0</v>
      </c>
      <c r="C88" s="36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E88/Calculation!K$19*1000</f>
        <v>0</v>
      </c>
      <c r="G88" s="12">
        <f t="shared" si="7"/>
        <v>88.559869604025096</v>
      </c>
    </row>
    <row r="89" spans="1:7">
      <c r="A89" s="35">
        <v>42</v>
      </c>
      <c r="B89" s="76">
        <v>0</v>
      </c>
      <c r="C89" s="36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E89/Calculation!K$19*1000</f>
        <v>0</v>
      </c>
      <c r="G89" s="12">
        <f t="shared" si="7"/>
        <v>88.559869604025096</v>
      </c>
    </row>
    <row r="90" spans="1:7">
      <c r="A90" s="35">
        <v>42.5</v>
      </c>
      <c r="B90" s="76">
        <v>0</v>
      </c>
      <c r="C90" s="36">
        <f t="shared" si="4"/>
        <v>0</v>
      </c>
      <c r="D90" s="12">
        <f t="shared" si="5"/>
        <v>0</v>
      </c>
      <c r="E90" s="12">
        <f t="shared" si="6"/>
        <v>0</v>
      </c>
      <c r="F90" s="12">
        <f>E90/Calculation!K$19*1000</f>
        <v>0</v>
      </c>
      <c r="G90" s="12">
        <f t="shared" si="7"/>
        <v>88.559869604025096</v>
      </c>
    </row>
    <row r="91" spans="1:7">
      <c r="A91" s="35">
        <v>43</v>
      </c>
      <c r="B91" s="76">
        <v>0</v>
      </c>
      <c r="C91" s="36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E91/Calculation!K$19*1000</f>
        <v>0</v>
      </c>
      <c r="G91" s="12">
        <f t="shared" si="7"/>
        <v>88.559869604025096</v>
      </c>
    </row>
    <row r="92" spans="1:7">
      <c r="A92" s="35">
        <v>43.5</v>
      </c>
      <c r="B92" s="76">
        <v>0</v>
      </c>
      <c r="C92" s="36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E92/Calculation!K$19*1000</f>
        <v>0</v>
      </c>
      <c r="G92" s="12">
        <f t="shared" si="7"/>
        <v>88.559869604025096</v>
      </c>
    </row>
    <row r="93" spans="1:7">
      <c r="A93" s="35">
        <v>44</v>
      </c>
      <c r="B93" s="76">
        <v>0</v>
      </c>
      <c r="C93" s="36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E93/Calculation!K$19*1000</f>
        <v>0</v>
      </c>
      <c r="G93" s="12">
        <f t="shared" si="7"/>
        <v>88.559869604025096</v>
      </c>
    </row>
    <row r="94" spans="1:7">
      <c r="A94" s="35">
        <v>44.5</v>
      </c>
      <c r="B94" s="76">
        <v>0</v>
      </c>
      <c r="C94" s="36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E94/Calculation!K$19*1000</f>
        <v>0</v>
      </c>
      <c r="G94" s="12">
        <f t="shared" si="7"/>
        <v>88.559869604025096</v>
      </c>
    </row>
    <row r="95" spans="1:7">
      <c r="A95" s="35">
        <v>45</v>
      </c>
      <c r="B95" s="76">
        <v>0</v>
      </c>
      <c r="C95" s="36">
        <f t="shared" si="4"/>
        <v>0</v>
      </c>
      <c r="D95" s="12">
        <f t="shared" si="5"/>
        <v>0</v>
      </c>
      <c r="E95" s="12">
        <f t="shared" si="6"/>
        <v>0</v>
      </c>
      <c r="F95" s="12">
        <f>E95/Calculation!K$19*1000</f>
        <v>0</v>
      </c>
      <c r="G95" s="12">
        <f t="shared" si="7"/>
        <v>88.559869604025096</v>
      </c>
    </row>
    <row r="96" spans="1:7">
      <c r="A96" s="35">
        <v>45.5</v>
      </c>
      <c r="B96" s="76">
        <v>0</v>
      </c>
      <c r="C96" s="36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E96/Calculation!K$19*1000</f>
        <v>0</v>
      </c>
      <c r="G96" s="12">
        <f t="shared" si="7"/>
        <v>88.559869604025096</v>
      </c>
    </row>
    <row r="97" spans="1:7">
      <c r="A97" s="35">
        <v>46</v>
      </c>
      <c r="B97" s="76">
        <v>0</v>
      </c>
      <c r="C97" s="36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E97/Calculation!K$19*1000</f>
        <v>0</v>
      </c>
      <c r="G97" s="12">
        <f t="shared" si="7"/>
        <v>88.559869604025096</v>
      </c>
    </row>
    <row r="98" spans="1:7">
      <c r="A98" s="35">
        <v>46.5</v>
      </c>
      <c r="B98" s="76">
        <v>0</v>
      </c>
      <c r="C98" s="36">
        <f t="shared" si="4"/>
        <v>0</v>
      </c>
      <c r="D98" s="12">
        <f t="shared" si="5"/>
        <v>0</v>
      </c>
      <c r="E98" s="12">
        <f t="shared" si="6"/>
        <v>0</v>
      </c>
      <c r="F98" s="12">
        <f>E98/Calculation!K$19*1000</f>
        <v>0</v>
      </c>
      <c r="G98" s="12">
        <f t="shared" si="7"/>
        <v>88.559869604025096</v>
      </c>
    </row>
    <row r="99" spans="1:7">
      <c r="A99" s="35">
        <v>47</v>
      </c>
      <c r="B99" s="76">
        <v>0</v>
      </c>
      <c r="C99" s="36">
        <f t="shared" si="4"/>
        <v>0</v>
      </c>
      <c r="D99" s="12">
        <f t="shared" si="5"/>
        <v>0</v>
      </c>
      <c r="E99" s="12">
        <f t="shared" si="6"/>
        <v>0</v>
      </c>
      <c r="F99" s="12">
        <f>E99/Calculation!K$19*1000</f>
        <v>0</v>
      </c>
      <c r="G99" s="12">
        <f t="shared" si="7"/>
        <v>88.559869604025096</v>
      </c>
    </row>
    <row r="100" spans="1:7">
      <c r="A100" s="35">
        <v>47.5</v>
      </c>
      <c r="B100" s="76">
        <v>0</v>
      </c>
      <c r="C100" s="36">
        <f t="shared" si="4"/>
        <v>0</v>
      </c>
      <c r="D100" s="12">
        <f t="shared" si="5"/>
        <v>0</v>
      </c>
      <c r="E100" s="12">
        <f t="shared" si="6"/>
        <v>0</v>
      </c>
      <c r="F100" s="12">
        <f>E100/Calculation!K$19*1000</f>
        <v>0</v>
      </c>
      <c r="G100" s="12">
        <f t="shared" si="7"/>
        <v>88.559869604025096</v>
      </c>
    </row>
    <row r="101" spans="1:7">
      <c r="A101" s="35">
        <v>48</v>
      </c>
      <c r="B101" s="76">
        <v>0</v>
      </c>
      <c r="C101" s="36">
        <f t="shared" si="4"/>
        <v>0</v>
      </c>
      <c r="D101" s="12">
        <f t="shared" si="5"/>
        <v>0</v>
      </c>
      <c r="E101" s="12">
        <f t="shared" si="6"/>
        <v>0</v>
      </c>
      <c r="F101" s="12">
        <f>E101/Calculation!K$20*1000</f>
        <v>0</v>
      </c>
      <c r="G101" s="12">
        <f t="shared" si="7"/>
        <v>88.559869604025096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H4" sqref="H4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29" t="s">
        <v>41</v>
      </c>
      <c r="B1" s="129"/>
      <c r="D1" s="156" t="s">
        <v>4</v>
      </c>
      <c r="E1" s="156" t="s">
        <v>5</v>
      </c>
      <c r="F1" s="129" t="s">
        <v>144</v>
      </c>
      <c r="G1" s="129"/>
      <c r="H1" s="129"/>
      <c r="I1" s="129"/>
      <c r="J1" s="129" t="s">
        <v>42</v>
      </c>
      <c r="K1" s="129"/>
      <c r="L1" s="129"/>
      <c r="M1" s="129"/>
      <c r="N1" s="154" t="s">
        <v>43</v>
      </c>
      <c r="O1" s="127"/>
      <c r="P1" s="127"/>
      <c r="Q1" s="155"/>
      <c r="R1" s="129" t="s">
        <v>65</v>
      </c>
      <c r="S1" s="129"/>
      <c r="T1" s="129"/>
      <c r="U1" s="129"/>
    </row>
    <row r="2" spans="1:21">
      <c r="A2" s="129" t="s">
        <v>34</v>
      </c>
      <c r="B2" s="129"/>
      <c r="D2" s="156"/>
      <c r="E2" s="156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29" t="s">
        <v>35</v>
      </c>
      <c r="B3" s="14" t="s">
        <v>38</v>
      </c>
      <c r="D3" s="16">
        <v>0</v>
      </c>
      <c r="E3" s="64">
        <v>-0.16666666666666666</v>
      </c>
      <c r="F3" s="52">
        <v>49.894538188277089</v>
      </c>
      <c r="G3" s="52">
        <v>0.49453516002167286</v>
      </c>
      <c r="H3" s="13">
        <f>F3*Calculation!I3/Calculation!F22</f>
        <v>49.894538188277082</v>
      </c>
      <c r="I3" s="13">
        <f>G3*Calculation!I3/Calculation!F22</f>
        <v>0.49453516002167286</v>
      </c>
      <c r="J3" s="13">
        <v>0.64387211367673169</v>
      </c>
      <c r="K3" s="13">
        <v>2.2202486678507972E-2</v>
      </c>
      <c r="L3" s="13">
        <f>J3*Calculation!I3/Calculation!F22</f>
        <v>0.64387211367673169</v>
      </c>
      <c r="M3" s="13">
        <f>K3*Calculation!I3/Calculation!F22</f>
        <v>2.2202486678507972E-2</v>
      </c>
      <c r="N3" s="13">
        <v>50.280321953927285</v>
      </c>
      <c r="O3" s="13">
        <v>0.43975136986596491</v>
      </c>
      <c r="P3" s="13">
        <f>N3*Calculation!I3/Calculation!F22</f>
        <v>50.280321953927285</v>
      </c>
      <c r="Q3" s="13">
        <f>O3*Calculation!I3/Calculation!F22</f>
        <v>0.43975136986596491</v>
      </c>
      <c r="R3" s="13">
        <v>0</v>
      </c>
      <c r="S3" s="13">
        <v>0</v>
      </c>
      <c r="T3" s="13">
        <f>R3*Calculation!I3/Calculation!F22</f>
        <v>0</v>
      </c>
      <c r="U3" s="13">
        <f>S3*Calculation!I3/Calculation!F22</f>
        <v>0</v>
      </c>
    </row>
    <row r="4" spans="1:21">
      <c r="A4" s="129"/>
      <c r="B4" s="14" t="s">
        <v>39</v>
      </c>
      <c r="D4" s="16">
        <v>0</v>
      </c>
      <c r="E4" s="66">
        <v>0.16666666666666666</v>
      </c>
      <c r="F4" s="52">
        <v>46.040556542332737</v>
      </c>
      <c r="G4" s="52">
        <v>0.3911252297727561</v>
      </c>
      <c r="H4" s="13">
        <f>F4*Calculation!I4/Calculation!K3</f>
        <v>46.127644606410293</v>
      </c>
      <c r="I4" s="13">
        <f>G4*Calculation!I4/Calculation!K3</f>
        <v>0.39186506312037167</v>
      </c>
      <c r="J4" s="13">
        <v>1.4875666074600356</v>
      </c>
      <c r="K4" s="13">
        <v>2.2202486678508014E-2</v>
      </c>
      <c r="L4" s="13">
        <f>J4*Calculation!I4/Calculation!K3</f>
        <v>1.490380415670868</v>
      </c>
      <c r="M4" s="13">
        <f>K4*Calculation!I4/Calculation!K3</f>
        <v>2.2244483815983124E-2</v>
      </c>
      <c r="N4" s="13">
        <v>46.960865945045803</v>
      </c>
      <c r="O4" s="13">
        <v>0.44808073429054918</v>
      </c>
      <c r="P4" s="13">
        <f>N4*Calculation!I4/Calculation!K3</f>
        <v>47.049694821360518</v>
      </c>
      <c r="Q4" s="13">
        <f>O4*Calculation!I4/Calculation!K3</f>
        <v>0.44892830188378474</v>
      </c>
      <c r="R4" s="13">
        <v>0</v>
      </c>
      <c r="S4" s="13">
        <v>0</v>
      </c>
      <c r="T4" s="13">
        <f>R4*Calculation!I4/Calculation!K3</f>
        <v>0</v>
      </c>
      <c r="U4" s="13">
        <f>S4*Calculation!I4/Calculation!K3</f>
        <v>0</v>
      </c>
    </row>
    <row r="5" spans="1:21">
      <c r="A5" s="15" t="s">
        <v>37</v>
      </c>
      <c r="B5" s="15">
        <v>180.16</v>
      </c>
      <c r="D5" s="16">
        <v>1</v>
      </c>
      <c r="E5" s="66">
        <v>2</v>
      </c>
      <c r="F5" s="52">
        <v>45.041444641799878</v>
      </c>
      <c r="G5" s="52">
        <v>0.24979853214531911</v>
      </c>
      <c r="H5" s="13">
        <f>F5*Calculation!I5/Calculation!K4</f>
        <v>45.302804094943589</v>
      </c>
      <c r="I5" s="13">
        <f>G5*Calculation!I5/Calculation!K4</f>
        <v>0.25124802401390389</v>
      </c>
      <c r="J5" s="13">
        <v>1.5837773830669037</v>
      </c>
      <c r="K5" s="13">
        <v>2.5637223321031181E-2</v>
      </c>
      <c r="L5" s="13">
        <f>J5*Calculation!I5/Calculation!K4</f>
        <v>1.5929674788560515</v>
      </c>
      <c r="M5" s="13">
        <f>K5*Calculation!I5/Calculation!K4</f>
        <v>2.5785986992369767E-2</v>
      </c>
      <c r="N5" s="13">
        <v>46.827643630308081</v>
      </c>
      <c r="O5" s="13">
        <v>0.25145160483832857</v>
      </c>
      <c r="P5" s="13">
        <f>N5*Calculation!I5/Calculation!K4</f>
        <v>47.099367759686196</v>
      </c>
      <c r="Q5" s="13">
        <f>O5*Calculation!I5/Calculation!K4</f>
        <v>0.25291068889869334</v>
      </c>
      <c r="R5" s="13">
        <v>1.4483307987544354E-2</v>
      </c>
      <c r="S5" s="13">
        <v>2.5085825296094974E-2</v>
      </c>
      <c r="T5" s="13">
        <f>R5*Calculation!I5/Calculation!K4</f>
        <v>1.456734946279987E-2</v>
      </c>
      <c r="U5" s="13">
        <f>S5*Calculation!I5/Calculation!K4</f>
        <v>2.5231389401180571E-2</v>
      </c>
    </row>
    <row r="6" spans="1:21">
      <c r="A6" s="15" t="s">
        <v>40</v>
      </c>
      <c r="B6" s="15">
        <v>180.16</v>
      </c>
      <c r="D6" s="16">
        <v>2</v>
      </c>
      <c r="E6" s="66">
        <v>3.3333333333333335</v>
      </c>
      <c r="F6" s="52">
        <v>39.309502664298407</v>
      </c>
      <c r="G6" s="52">
        <v>0.12007830624324986</v>
      </c>
      <c r="H6" s="13">
        <f>F6*Calculation!I6/Calculation!K5</f>
        <v>39.801537626578202</v>
      </c>
      <c r="I6" s="13">
        <f>G6*Calculation!I6/Calculation!K5</f>
        <v>0.12158132004089527</v>
      </c>
      <c r="J6" s="13">
        <v>1.6207815275310835</v>
      </c>
      <c r="K6" s="13">
        <v>2.2202486678508014E-2</v>
      </c>
      <c r="L6" s="13">
        <f>J6*Calculation!I6/Calculation!K5</f>
        <v>1.6410687640441732</v>
      </c>
      <c r="M6" s="13">
        <f>K6*Calculation!I6/Calculation!K5</f>
        <v>2.2480394028002393E-2</v>
      </c>
      <c r="N6" s="13">
        <v>44.27421593116847</v>
      </c>
      <c r="O6" s="13">
        <v>0.17091095551863028</v>
      </c>
      <c r="P6" s="13">
        <f>N6*Calculation!I6/Calculation!K5</f>
        <v>44.828393946385262</v>
      </c>
      <c r="Q6" s="13">
        <f>O6*Calculation!I6/Calculation!K5</f>
        <v>0.17305023889420421</v>
      </c>
      <c r="R6" s="13">
        <v>0.31863277572597581</v>
      </c>
      <c r="S6" s="13">
        <v>2.5085825296094974E-2</v>
      </c>
      <c r="T6" s="13">
        <f>R6*Calculation!I6/Calculation!K5</f>
        <v>0.32262108529896433</v>
      </c>
      <c r="U6" s="13">
        <f>S6*Calculation!I6/Calculation!K5</f>
        <v>2.5399823242309945E-2</v>
      </c>
    </row>
    <row r="7" spans="1:21">
      <c r="A7" s="32" t="s">
        <v>116</v>
      </c>
      <c r="B7" s="32">
        <v>46.03</v>
      </c>
      <c r="D7" s="16">
        <v>3</v>
      </c>
      <c r="E7" s="66">
        <v>4.666666666666667</v>
      </c>
      <c r="F7" s="52">
        <v>30.96876850207223</v>
      </c>
      <c r="G7" s="52">
        <v>0.33402261978676051</v>
      </c>
      <c r="H7" s="13">
        <f>F7*Calculation!I7/Calculation!K6</f>
        <v>31.614834829060953</v>
      </c>
      <c r="I7" s="13">
        <f>G7*Calculation!I7/Calculation!K6</f>
        <v>0.34099095522710399</v>
      </c>
      <c r="J7" s="13">
        <v>2.3164594434576671</v>
      </c>
      <c r="K7" s="13">
        <v>1.2818611660515681E-2</v>
      </c>
      <c r="L7" s="13">
        <f>J7*Calculation!I7/Calculation!K6</f>
        <v>2.364785112079359</v>
      </c>
      <c r="M7" s="13">
        <f>K7*Calculation!I7/Calculation!K6</f>
        <v>1.3086031831002926E-2</v>
      </c>
      <c r="N7" s="13">
        <v>39.922286983069668</v>
      </c>
      <c r="O7" s="13">
        <v>0.53323607920168048</v>
      </c>
      <c r="P7" s="13">
        <f>N7*Calculation!I7/Calculation!K6</f>
        <v>40.75514042102332</v>
      </c>
      <c r="Q7" s="13">
        <f>O7*Calculation!I7/Calculation!K6</f>
        <v>0.54436037931986725</v>
      </c>
      <c r="R7" s="13">
        <v>1.5352306466797017</v>
      </c>
      <c r="S7" s="13">
        <v>2.5085825296094821E-2</v>
      </c>
      <c r="T7" s="13">
        <f>R7*Calculation!I7/Calculation!K6</f>
        <v>1.5672584241134253</v>
      </c>
      <c r="U7" s="13">
        <f>S7*Calculation!I7/Calculation!K6</f>
        <v>2.5609162444856299E-2</v>
      </c>
    </row>
    <row r="8" spans="1:21">
      <c r="A8" s="15" t="s">
        <v>43</v>
      </c>
      <c r="B8" s="15">
        <v>60.05</v>
      </c>
      <c r="D8" s="16">
        <v>4</v>
      </c>
      <c r="E8" s="66">
        <v>6</v>
      </c>
      <c r="F8" s="52">
        <v>21.603019538188278</v>
      </c>
      <c r="G8" s="52">
        <v>0.36835390814913577</v>
      </c>
      <c r="H8" s="13">
        <f>F8*Calculation!I8/Calculation!K7</f>
        <v>22.24033100503409</v>
      </c>
      <c r="I8" s="13">
        <f>G8*Calculation!I8/Calculation!K7</f>
        <v>0.37922073022027852</v>
      </c>
      <c r="J8" s="13">
        <v>3.0417406749555953</v>
      </c>
      <c r="K8" s="13">
        <v>4.4404973357016028E-2</v>
      </c>
      <c r="L8" s="13">
        <f>J8*Calculation!I8/Calculation!K7</f>
        <v>3.131475177481676</v>
      </c>
      <c r="M8" s="13">
        <f>K8*Calculation!I8/Calculation!K7</f>
        <v>4.5714966094623041E-2</v>
      </c>
      <c r="N8" s="13">
        <v>34.793227865667504</v>
      </c>
      <c r="O8" s="13">
        <v>0.70363372200902963</v>
      </c>
      <c r="P8" s="13">
        <f>N8*Calculation!I8/Calculation!K7</f>
        <v>35.819664149177378</v>
      </c>
      <c r="Q8" s="13">
        <f>O8*Calculation!I8/Calculation!K7</f>
        <v>0.72439164609010742</v>
      </c>
      <c r="R8" s="13">
        <v>2.8387283655586941</v>
      </c>
      <c r="S8" s="13">
        <v>6.6370855166280593E-2</v>
      </c>
      <c r="T8" s="13">
        <f>R8*Calculation!I8/Calculation!K7</f>
        <v>2.9224737945452732</v>
      </c>
      <c r="U8" s="13">
        <f>S8*Calculation!I8/Calculation!K7</f>
        <v>6.8328864183819102E-2</v>
      </c>
    </row>
    <row r="9" spans="1:21">
      <c r="A9" s="32" t="s">
        <v>67</v>
      </c>
      <c r="B9" s="32">
        <v>74.08</v>
      </c>
      <c r="D9" s="16">
        <v>5</v>
      </c>
      <c r="E9" s="66">
        <v>7.333333333333333</v>
      </c>
      <c r="F9" s="52">
        <v>13.38809946714032</v>
      </c>
      <c r="G9" s="52">
        <v>4.4404973357016028E-2</v>
      </c>
      <c r="H9" s="13">
        <f>F9*Calculation!I9/Calculation!K8</f>
        <v>13.88337568566223</v>
      </c>
      <c r="I9" s="13">
        <f>G9*Calculation!I9/Calculation!K8</f>
        <v>4.6047680549460179E-2</v>
      </c>
      <c r="J9" s="13">
        <v>3.8928359976317348</v>
      </c>
      <c r="K9" s="13">
        <v>1.2818611660515681E-2</v>
      </c>
      <c r="L9" s="13">
        <f>J9*Calculation!I9/Calculation!K8</f>
        <v>4.0368466615026719</v>
      </c>
      <c r="M9" s="13">
        <f>K9*Calculation!I9/Calculation!K8</f>
        <v>1.3292820380394362E-2</v>
      </c>
      <c r="N9" s="13">
        <v>31.484873716347487</v>
      </c>
      <c r="O9" s="13">
        <v>5.0875111795235572E-2</v>
      </c>
      <c r="P9" s="13">
        <f>N9*Calculation!I9/Calculation!K8</f>
        <v>32.649617766326024</v>
      </c>
      <c r="Q9" s="13">
        <f>O9*Calculation!I9/Calculation!K8</f>
        <v>5.275717377488158E-2</v>
      </c>
      <c r="R9" s="13">
        <v>3.9104931566369765</v>
      </c>
      <c r="S9" s="13">
        <v>4.34499239626331E-2</v>
      </c>
      <c r="T9" s="13">
        <f>R9*Calculation!I9/Calculation!K8</f>
        <v>4.0551570253159168</v>
      </c>
      <c r="U9" s="13">
        <f>S9*Calculation!I9/Calculation!K8</f>
        <v>4.5057300281287987E-2</v>
      </c>
    </row>
    <row r="10" spans="1:21">
      <c r="A10" s="32" t="s">
        <v>66</v>
      </c>
      <c r="B10" s="32">
        <v>88.11</v>
      </c>
      <c r="D10" s="16">
        <v>6</v>
      </c>
      <c r="E10" s="66">
        <v>8.6666666666666661</v>
      </c>
      <c r="F10" s="52">
        <v>3.6745115452930728</v>
      </c>
      <c r="G10" s="52">
        <v>3.8455834981547053E-2</v>
      </c>
      <c r="H10" s="13">
        <f>F10*Calculation!I10/Calculation!K9</f>
        <v>3.8390310535808632</v>
      </c>
      <c r="I10" s="13">
        <f>G10*Calculation!I10/Calculation!K9</f>
        <v>4.017762439055432E-2</v>
      </c>
      <c r="J10" s="13">
        <v>5.5284191829484906</v>
      </c>
      <c r="K10" s="13">
        <v>0</v>
      </c>
      <c r="L10" s="13">
        <f>J10*Calculation!I10/Calculation!K9</f>
        <v>5.7759440020642598</v>
      </c>
      <c r="M10" s="13">
        <f>K10*Calculation!I10/Calculation!K9</f>
        <v>0</v>
      </c>
      <c r="N10" s="13">
        <v>27.898973077990565</v>
      </c>
      <c r="O10" s="13">
        <v>6.933109073992122E-2</v>
      </c>
      <c r="P10" s="13">
        <f>N10*Calculation!I10/Calculation!K9</f>
        <v>29.148098376944883</v>
      </c>
      <c r="Q10" s="13">
        <f>O10*Calculation!I10/Calculation!K9</f>
        <v>7.2435263040644876E-2</v>
      </c>
      <c r="R10" s="13">
        <v>4.6781084799768271</v>
      </c>
      <c r="S10" s="13">
        <v>2.5085825296094995E-2</v>
      </c>
      <c r="T10" s="13">
        <f>R10*Calculation!I10/Calculation!K9</f>
        <v>4.8875621984795261</v>
      </c>
      <c r="U10" s="13">
        <f>S10*Calculation!I10/Calculation!K9</f>
        <v>2.6208997067862498E-2</v>
      </c>
    </row>
    <row r="11" spans="1:21">
      <c r="A11" s="15" t="s">
        <v>42</v>
      </c>
      <c r="B11" s="15">
        <v>90.08</v>
      </c>
      <c r="D11" s="16">
        <v>7</v>
      </c>
      <c r="E11" s="66">
        <v>10</v>
      </c>
      <c r="F11" s="52">
        <v>0</v>
      </c>
      <c r="G11" s="52">
        <v>0</v>
      </c>
      <c r="H11" s="13">
        <f>F11*Calculation!I11/Calculation!K10</f>
        <v>0</v>
      </c>
      <c r="I11" s="13">
        <f>G11*Calculation!I11/Calculation!K10</f>
        <v>0</v>
      </c>
      <c r="J11" s="13">
        <v>6.660746003552398</v>
      </c>
      <c r="K11" s="13">
        <v>2.2202486678508014E-2</v>
      </c>
      <c r="L11" s="13">
        <f>J11*Calculation!I11/Calculation!K10</f>
        <v>6.9858788422175104</v>
      </c>
      <c r="M11" s="13">
        <f>K11*Calculation!I11/Calculation!K10</f>
        <v>2.3286262807391721E-2</v>
      </c>
      <c r="N11" s="13">
        <v>26.944213155703583</v>
      </c>
      <c r="O11" s="13">
        <v>0.3840986709299169</v>
      </c>
      <c r="P11" s="13">
        <f>N11*Calculation!I11/Calculation!K10</f>
        <v>28.259448491841539</v>
      </c>
      <c r="Q11" s="13">
        <f>O11*Calculation!I11/Calculation!K10</f>
        <v>0.40284778568978558</v>
      </c>
      <c r="R11" s="13">
        <v>5.0691577956405247</v>
      </c>
      <c r="S11" s="13">
        <v>2.5085825296094995E-2</v>
      </c>
      <c r="T11" s="13">
        <f>R11*Calculation!I11/Calculation!K10</f>
        <v>5.3165999984897212</v>
      </c>
      <c r="U11" s="13">
        <f>S11*Calculation!I11/Calculation!K10</f>
        <v>2.6310346631156636E-2</v>
      </c>
    </row>
    <row r="12" spans="1:21">
      <c r="A12" s="15" t="s">
        <v>44</v>
      </c>
      <c r="B12" s="15">
        <v>46.07</v>
      </c>
      <c r="D12" s="16">
        <v>8</v>
      </c>
      <c r="E12" s="66">
        <v>11.333333333333334</v>
      </c>
      <c r="F12" s="52">
        <v>0</v>
      </c>
      <c r="G12" s="52">
        <v>0</v>
      </c>
      <c r="H12" s="13">
        <f>F12*Calculation!I12/Calculation!K11</f>
        <v>0</v>
      </c>
      <c r="I12" s="13">
        <f>G12*Calculation!I12/Calculation!K11</f>
        <v>0</v>
      </c>
      <c r="J12" s="13">
        <v>6.890171699230315</v>
      </c>
      <c r="K12" s="13">
        <v>7.1371009184376596E-2</v>
      </c>
      <c r="L12" s="13">
        <f>J12*Calculation!I12/Calculation!K11</f>
        <v>7.2438333026370429</v>
      </c>
      <c r="M12" s="13">
        <f>K12*Calculation!I12/Calculation!K11</f>
        <v>7.5034370076779683E-2</v>
      </c>
      <c r="N12" s="13">
        <v>26.766583402719956</v>
      </c>
      <c r="O12" s="13">
        <v>0.18938353715494863</v>
      </c>
      <c r="P12" s="13">
        <f>N12*Calculation!I12/Calculation!K11</f>
        <v>28.140469746507776</v>
      </c>
      <c r="Q12" s="13">
        <f>O12*Calculation!I12/Calculation!K11</f>
        <v>0.19910429424675499</v>
      </c>
      <c r="R12" s="13">
        <v>5.1126077196031572</v>
      </c>
      <c r="S12" s="13">
        <v>2.5085825296094644E-2</v>
      </c>
      <c r="T12" s="13">
        <f>R12*Calculation!I12/Calculation!K11</f>
        <v>5.3750297785347865</v>
      </c>
      <c r="U12" s="13">
        <f>S12*Calculation!I12/Calculation!K11</f>
        <v>2.6373440987585893E-2</v>
      </c>
    </row>
    <row r="13" spans="1:21">
      <c r="D13" s="16">
        <v>9</v>
      </c>
      <c r="E13" s="66">
        <v>12.666666666666666</v>
      </c>
      <c r="F13" s="52">
        <v>0</v>
      </c>
      <c r="G13" s="52">
        <v>0</v>
      </c>
      <c r="H13" s="13">
        <f>F13*Calculation!I13/Calculation!K12</f>
        <v>0</v>
      </c>
      <c r="I13" s="13">
        <f>G13*Calculation!I13/Calculation!K12</f>
        <v>0</v>
      </c>
      <c r="J13" s="13">
        <v>7.0455891059798699</v>
      </c>
      <c r="K13" s="13">
        <v>3.3914858606837212E-2</v>
      </c>
      <c r="L13" s="13">
        <f>J13*Calculation!I13/Calculation!K12</f>
        <v>7.4195426323674427</v>
      </c>
      <c r="M13" s="13">
        <f>K13*Calculation!I13/Calculation!K12</f>
        <v>3.5714932494512332E-2</v>
      </c>
      <c r="N13" s="13">
        <v>26.933111296142108</v>
      </c>
      <c r="O13" s="13">
        <v>5.0875111795235566E-2</v>
      </c>
      <c r="P13" s="13">
        <f>N13*Calculation!I13/Calculation!K12</f>
        <v>28.362620141219807</v>
      </c>
      <c r="Q13" s="13">
        <f>O13*Calculation!I13/Calculation!K12</f>
        <v>5.357537250800451E-2</v>
      </c>
      <c r="R13" s="13">
        <v>5.199507567528423</v>
      </c>
      <c r="S13" s="13">
        <v>2.5085825296094995E-2</v>
      </c>
      <c r="T13" s="13">
        <f>R13*Calculation!I13/Calculation!K12</f>
        <v>5.4754779883277074</v>
      </c>
      <c r="U13" s="13">
        <f>S13*Calculation!I13/Calculation!K12</f>
        <v>2.641728710726637E-2</v>
      </c>
    </row>
    <row r="14" spans="1:21">
      <c r="D14" s="16">
        <v>10</v>
      </c>
      <c r="E14" s="66">
        <v>14</v>
      </c>
      <c r="F14" s="52">
        <v>0</v>
      </c>
      <c r="G14" s="52">
        <v>0</v>
      </c>
      <c r="H14" s="13">
        <f>F14*Calculation!I14/Calculation!K13</f>
        <v>0</v>
      </c>
      <c r="I14" s="13">
        <f>G14*Calculation!I14/Calculation!K13</f>
        <v>0</v>
      </c>
      <c r="J14" s="13">
        <v>7.075192421551213</v>
      </c>
      <c r="K14" s="13">
        <v>3.3914858606837212E-2</v>
      </c>
      <c r="L14" s="13">
        <f>J14*Calculation!I14/Calculation!K13</f>
        <v>7.4571904368304605</v>
      </c>
      <c r="M14" s="13">
        <f>K14*Calculation!I14/Calculation!K13</f>
        <v>3.5745961975393745E-2</v>
      </c>
      <c r="N14" s="13">
        <v>26.688870385789624</v>
      </c>
      <c r="O14" s="13">
        <v>0.17091095551863081</v>
      </c>
      <c r="P14" s="13">
        <f>N14*Calculation!I14/Calculation!K13</f>
        <v>28.129834095322412</v>
      </c>
      <c r="Q14" s="13">
        <f>O14*Calculation!I14/Calculation!K13</f>
        <v>0.18013864035144594</v>
      </c>
      <c r="R14" s="13">
        <v>5.3153740314287781</v>
      </c>
      <c r="S14" s="13">
        <v>5.017165059218999E-2</v>
      </c>
      <c r="T14" s="13">
        <f>R14*Calculation!I14/Calculation!K13</f>
        <v>5.6023573683466266</v>
      </c>
      <c r="U14" s="13">
        <f>S14*Calculation!I14/Calculation!K13</f>
        <v>5.2880477406726079E-2</v>
      </c>
    </row>
    <row r="15" spans="1:21">
      <c r="D15" s="16">
        <v>11</v>
      </c>
      <c r="E15" s="66">
        <v>15.333333333333334</v>
      </c>
      <c r="F15" s="52">
        <v>0</v>
      </c>
      <c r="G15" s="52">
        <v>0</v>
      </c>
      <c r="H15" s="13">
        <f>F15*Calculation!I15/Calculation!K14</f>
        <v>0</v>
      </c>
      <c r="I15" s="13">
        <f>G15*Calculation!I15/Calculation!K14</f>
        <v>0</v>
      </c>
      <c r="J15" s="13">
        <v>7.0825932504440496</v>
      </c>
      <c r="K15" s="13">
        <v>0.10174457582051165</v>
      </c>
      <c r="L15" s="13">
        <f>J15*Calculation!I15/Calculation!K14</f>
        <v>7.4649908452371871</v>
      </c>
      <c r="M15" s="13">
        <f>K15*Calculation!I15/Calculation!K14</f>
        <v>0.10723788592618126</v>
      </c>
      <c r="N15" s="13">
        <v>26.844296419650291</v>
      </c>
      <c r="O15" s="13">
        <v>0.38409867092991651</v>
      </c>
      <c r="P15" s="13">
        <f>N15*Calculation!I15/Calculation!K14</f>
        <v>28.293651764762721</v>
      </c>
      <c r="Q15" s="13">
        <f>O15*Calculation!I15/Calculation!K14</f>
        <v>0.40483661291432066</v>
      </c>
      <c r="R15" s="13">
        <v>5.3733072633789556</v>
      </c>
      <c r="S15" s="13">
        <v>6.6370855166280593E-2</v>
      </c>
      <c r="T15" s="13">
        <f>R15*Calculation!I15/Calculation!K14</f>
        <v>5.6634184840779254</v>
      </c>
      <c r="U15" s="13">
        <f>S15*Calculation!I15/Calculation!K14</f>
        <v>6.9954296214283479E-2</v>
      </c>
    </row>
    <row r="16" spans="1:21">
      <c r="D16" s="16">
        <v>12</v>
      </c>
      <c r="E16" s="66">
        <v>16.666666666666668</v>
      </c>
      <c r="F16" s="52">
        <v>0</v>
      </c>
      <c r="G16" s="52">
        <v>0</v>
      </c>
      <c r="H16" s="13">
        <f>F16*Calculation!I16/Calculation!K15</f>
        <v>0</v>
      </c>
      <c r="I16" s="13">
        <f>G16*Calculation!I16/Calculation!K15</f>
        <v>0</v>
      </c>
      <c r="J16" s="13">
        <v>7.1566015393724109</v>
      </c>
      <c r="K16" s="13">
        <v>7.7972570699028632E-2</v>
      </c>
      <c r="L16" s="13">
        <f>J16*Calculation!I16/Calculation!K15</f>
        <v>7.5572404343645179</v>
      </c>
      <c r="M16" s="13">
        <f>K16*Calculation!I16/Calculation!K15</f>
        <v>8.2337609662381642E-2</v>
      </c>
      <c r="N16" s="13">
        <v>26.855398279211769</v>
      </c>
      <c r="O16" s="13">
        <v>0.33361041801424751</v>
      </c>
      <c r="P16" s="13">
        <f>N16*Calculation!I16/Calculation!K15</f>
        <v>28.358809784234566</v>
      </c>
      <c r="Q16" s="13">
        <f>O16*Calculation!I16/Calculation!K15</f>
        <v>0.35228650449129395</v>
      </c>
      <c r="R16" s="13">
        <v>5.4602071113042223</v>
      </c>
      <c r="S16" s="13">
        <v>6.6370855166280593E-2</v>
      </c>
      <c r="T16" s="13">
        <f>R16*Calculation!I16/Calculation!K15</f>
        <v>5.7658789209566015</v>
      </c>
      <c r="U16" s="13">
        <f>S16*Calculation!I16/Calculation!K15</f>
        <v>7.0086410088153694E-2</v>
      </c>
    </row>
    <row r="17" spans="4:21">
      <c r="D17" s="16">
        <v>13</v>
      </c>
      <c r="E17" s="66">
        <v>18</v>
      </c>
      <c r="F17" s="52">
        <v>0</v>
      </c>
      <c r="G17" s="52">
        <v>0</v>
      </c>
      <c r="H17" s="13">
        <f>F17*Calculation!I17/Calculation!K16</f>
        <v>0</v>
      </c>
      <c r="I17" s="13">
        <f>G17*Calculation!I17/Calculation!K16</f>
        <v>0</v>
      </c>
      <c r="J17" s="13">
        <v>7.1788040260509174</v>
      </c>
      <c r="K17" s="13">
        <v>0.13009469975760035</v>
      </c>
      <c r="L17" s="13">
        <f>J17*Calculation!I17/Calculation!K16</f>
        <v>7.5881914840921194</v>
      </c>
      <c r="M17" s="13">
        <f>K17*Calculation!I17/Calculation!K16</f>
        <v>0.1375136428357408</v>
      </c>
      <c r="N17" s="13">
        <v>26.611157368859285</v>
      </c>
      <c r="O17" s="13">
        <v>0.5563128422477942</v>
      </c>
      <c r="P17" s="13">
        <f>N17*Calculation!I17/Calculation!K16</f>
        <v>28.128718515707398</v>
      </c>
      <c r="Q17" s="13">
        <f>O17*Calculation!I17/Calculation!K16</f>
        <v>0.58803783425719236</v>
      </c>
      <c r="R17" s="13">
        <v>5.4167571873415881</v>
      </c>
      <c r="S17" s="13">
        <v>9.0448229392402116E-2</v>
      </c>
      <c r="T17" s="13">
        <f>R17*Calculation!I17/Calculation!K16</f>
        <v>5.725659958291315</v>
      </c>
      <c r="U17" s="13">
        <f>S17*Calculation!I17/Calculation!K16</f>
        <v>9.5606243259462986E-2</v>
      </c>
    </row>
    <row r="18" spans="4:21">
      <c r="D18" s="16">
        <v>14</v>
      </c>
      <c r="E18" s="66">
        <v>24</v>
      </c>
      <c r="F18" s="52">
        <v>0</v>
      </c>
      <c r="G18" s="52">
        <v>0</v>
      </c>
      <c r="H18" s="13">
        <f>F18*Calculation!I18/Calculation!K17</f>
        <v>0</v>
      </c>
      <c r="I18" s="13">
        <f>G18*Calculation!I18/Calculation!K17</f>
        <v>0</v>
      </c>
      <c r="J18" s="13">
        <v>7.2602131438721136</v>
      </c>
      <c r="K18" s="13">
        <v>2.2202486678508014E-2</v>
      </c>
      <c r="L18" s="13">
        <f>J18*Calculation!I18/Calculation!K17</f>
        <v>7.6742431400972881</v>
      </c>
      <c r="M18" s="13">
        <f>K18*Calculation!I18/Calculation!K17</f>
        <v>2.3468633455955033E-2</v>
      </c>
      <c r="N18" s="13">
        <v>26.033860671662502</v>
      </c>
      <c r="O18" s="13">
        <v>0.18343282422268464</v>
      </c>
      <c r="P18" s="13">
        <f>N18*Calculation!I18/Calculation!K17</f>
        <v>27.518500174941114</v>
      </c>
      <c r="Q18" s="13">
        <f>O18*Calculation!I18/Calculation!K17</f>
        <v>0.19389349390489541</v>
      </c>
      <c r="R18" s="13">
        <v>5.4022738793540448</v>
      </c>
      <c r="S18" s="13">
        <v>5.017165059218999E-2</v>
      </c>
      <c r="T18" s="13">
        <f>R18*Calculation!I18/Calculation!K17</f>
        <v>5.7103507070659383</v>
      </c>
      <c r="U18" s="13">
        <f>S18*Calculation!I18/Calculation!K17</f>
        <v>5.3032801896381106E-2</v>
      </c>
    </row>
    <row r="19" spans="4:21">
      <c r="D19" s="16">
        <v>15</v>
      </c>
      <c r="E19" s="66">
        <v>30</v>
      </c>
      <c r="F19" s="52">
        <v>0</v>
      </c>
      <c r="G19" s="52">
        <v>0</v>
      </c>
      <c r="H19" s="13">
        <f>F19*Calculation!I19/Calculation!K18</f>
        <v>0</v>
      </c>
      <c r="I19" s="13">
        <f>G19*Calculation!I19/Calculation!K18</f>
        <v>0</v>
      </c>
      <c r="J19" s="13">
        <v>7.6672587329780937</v>
      </c>
      <c r="K19" s="13">
        <v>9.2436323244499255E-2</v>
      </c>
      <c r="L19" s="13">
        <f>J19*Calculation!I19/Calculation!K18</f>
        <v>8.10450142012313</v>
      </c>
      <c r="M19" s="13">
        <f>K19*Calculation!I19/Calculation!K18</f>
        <v>9.7707712638389371E-2</v>
      </c>
      <c r="N19" s="13">
        <v>26.999722453510962</v>
      </c>
      <c r="O19" s="13">
        <v>0.45948825060393678</v>
      </c>
      <c r="P19" s="13">
        <f>N19*Calculation!I19/Calculation!K18</f>
        <v>28.539442398915476</v>
      </c>
      <c r="Q19" s="13">
        <f>O19*Calculation!I19/Calculation!K18</f>
        <v>0.4856916023366103</v>
      </c>
      <c r="R19" s="13">
        <v>5.6484901151422982</v>
      </c>
      <c r="S19" s="13">
        <v>7.5257475888284991E-2</v>
      </c>
      <c r="T19" s="13">
        <f>R19*Calculation!I19/Calculation!K18</f>
        <v>5.9706079778973615</v>
      </c>
      <c r="U19" s="13">
        <f>S19*Calculation!I19/Calculation!K18</f>
        <v>7.9549202844571662E-2</v>
      </c>
    </row>
    <row r="20" spans="4:21">
      <c r="D20" s="16">
        <v>16</v>
      </c>
      <c r="E20" s="66">
        <v>48</v>
      </c>
      <c r="F20" s="52">
        <v>0</v>
      </c>
      <c r="G20" s="52">
        <v>0</v>
      </c>
      <c r="H20" s="13">
        <f>F20*Calculation!I20/Calculation!K19</f>
        <v>0</v>
      </c>
      <c r="I20" s="13">
        <f>G20*Calculation!I20/Calculation!K19</f>
        <v>0</v>
      </c>
      <c r="J20" s="13">
        <v>7.6228537596210773</v>
      </c>
      <c r="K20" s="13">
        <v>8.4057257930731669E-2</v>
      </c>
      <c r="L20" s="13">
        <f>J20*Calculation!I20/Calculation!K19</f>
        <v>8.0670548059240712</v>
      </c>
      <c r="M20" s="13">
        <f>K20*Calculation!I20/Calculation!K19</f>
        <v>8.8955465754155499E-2</v>
      </c>
      <c r="N20" s="13">
        <v>25.567582570080489</v>
      </c>
      <c r="O20" s="13">
        <v>0.28326063440850591</v>
      </c>
      <c r="P20" s="13">
        <f>N20*Calculation!I20/Calculation!K19</f>
        <v>27.05746382547434</v>
      </c>
      <c r="Q20" s="13">
        <f>O20*Calculation!I20/Calculation!K19</f>
        <v>0.29976687657823148</v>
      </c>
      <c r="R20" s="13">
        <v>5.4167571873415881</v>
      </c>
      <c r="S20" s="13">
        <v>6.6370855166280593E-2</v>
      </c>
      <c r="T20" s="13">
        <f>R20*Calculation!I20/Calculation!K19</f>
        <v>5.7324039629536134</v>
      </c>
      <c r="U20" s="13">
        <f>S20*Calculation!I20/Calculation!K19</f>
        <v>7.0238436027539555E-2</v>
      </c>
    </row>
    <row r="22" spans="4:21">
      <c r="D22" s="156" t="s">
        <v>4</v>
      </c>
      <c r="E22" s="156" t="s">
        <v>60</v>
      </c>
      <c r="F22" s="129" t="s">
        <v>44</v>
      </c>
      <c r="G22" s="129"/>
      <c r="H22" s="129"/>
      <c r="I22" s="129"/>
      <c r="J22" s="129" t="s">
        <v>66</v>
      </c>
      <c r="K22" s="129"/>
      <c r="L22" s="129"/>
      <c r="M22" s="129"/>
      <c r="N22" s="154" t="s">
        <v>67</v>
      </c>
      <c r="O22" s="127"/>
      <c r="P22" s="127"/>
      <c r="Q22" s="155"/>
    </row>
    <row r="23" spans="4:21">
      <c r="D23" s="156"/>
      <c r="E23" s="156"/>
      <c r="F23" s="20" t="s">
        <v>48</v>
      </c>
      <c r="G23" s="20" t="s">
        <v>23</v>
      </c>
      <c r="H23" s="20" t="s">
        <v>48</v>
      </c>
      <c r="I23" s="20" t="s">
        <v>23</v>
      </c>
      <c r="J23" s="20" t="s">
        <v>48</v>
      </c>
      <c r="K23" s="20" t="s">
        <v>23</v>
      </c>
      <c r="L23" s="20" t="s">
        <v>48</v>
      </c>
      <c r="M23" s="20" t="s">
        <v>23</v>
      </c>
      <c r="N23" s="20" t="s">
        <v>48</v>
      </c>
      <c r="O23" s="20" t="s">
        <v>23</v>
      </c>
      <c r="P23" s="20" t="s">
        <v>48</v>
      </c>
      <c r="Q23" s="20" t="s">
        <v>23</v>
      </c>
    </row>
    <row r="24" spans="4:21">
      <c r="D24" s="16">
        <v>0</v>
      </c>
      <c r="E24" s="64">
        <v>-0.16666666666666666</v>
      </c>
      <c r="F24" s="13">
        <v>0</v>
      </c>
      <c r="G24" s="13">
        <v>0</v>
      </c>
      <c r="H24" s="13">
        <f>F24*Calculation!I3/Calculation!F22</f>
        <v>0</v>
      </c>
      <c r="I24" s="13">
        <f>G24*Calculation!I3/Calculation!F22</f>
        <v>0</v>
      </c>
      <c r="J24" s="13">
        <v>0</v>
      </c>
      <c r="K24" s="13">
        <v>0</v>
      </c>
      <c r="L24" s="13">
        <f>J24*Calculation!I3/Calculation!F22</f>
        <v>0</v>
      </c>
      <c r="M24" s="13">
        <f>K24*Calculation!I3/Calculation!F22</f>
        <v>0</v>
      </c>
      <c r="N24" s="13">
        <v>0</v>
      </c>
      <c r="O24" s="13">
        <v>0</v>
      </c>
      <c r="P24" s="13">
        <f>N24*Calculation!I3/Calculation!F22</f>
        <v>0</v>
      </c>
      <c r="Q24" s="13">
        <f>O24*Calculation!I3/Calculation!F22</f>
        <v>0</v>
      </c>
    </row>
    <row r="25" spans="4:21">
      <c r="D25" s="16">
        <v>0</v>
      </c>
      <c r="E25" s="66">
        <v>0.16666666666666666</v>
      </c>
      <c r="F25" s="13">
        <v>0</v>
      </c>
      <c r="G25" s="13">
        <v>0</v>
      </c>
      <c r="H25" s="13">
        <f>F25*Calculation!I4/Calculation!K3</f>
        <v>0</v>
      </c>
      <c r="I25" s="13">
        <f>G25*Calculation!I4/Calculation!K3</f>
        <v>0</v>
      </c>
      <c r="J25" s="13">
        <v>2.2017932130291684</v>
      </c>
      <c r="K25" s="13">
        <v>9.0795596413574028E-2</v>
      </c>
      <c r="L25" s="13">
        <f>J25*Calculation!I4/Calculation!K3</f>
        <v>2.2059580173413296</v>
      </c>
      <c r="M25" s="13">
        <f>K25*Calculation!I4/Calculation!K3</f>
        <v>9.0967340921292023E-2</v>
      </c>
      <c r="N25" s="13">
        <v>0</v>
      </c>
      <c r="O25" s="13">
        <v>0</v>
      </c>
      <c r="P25" s="13">
        <f>N25*Calculation!I4/Calculation!K3</f>
        <v>0</v>
      </c>
      <c r="Q25" s="13">
        <f>O25*Calculation!I4/Calculation!K3</f>
        <v>0</v>
      </c>
    </row>
    <row r="26" spans="4:21">
      <c r="D26" s="16">
        <v>1</v>
      </c>
      <c r="E26" s="66">
        <v>2</v>
      </c>
      <c r="F26" s="13">
        <v>0</v>
      </c>
      <c r="G26" s="13">
        <v>0</v>
      </c>
      <c r="H26" s="13">
        <f>F26*Calculation!I5/Calculation!K4</f>
        <v>0</v>
      </c>
      <c r="I26" s="13">
        <f>G26*Calculation!I5/Calculation!K4</f>
        <v>0</v>
      </c>
      <c r="J26" s="13">
        <v>5.3720727878031251</v>
      </c>
      <c r="K26" s="13">
        <v>7.2966751870713997E-2</v>
      </c>
      <c r="L26" s="13">
        <f>J26*Calculation!I5/Calculation!K4</f>
        <v>5.4032450119010482</v>
      </c>
      <c r="M26" s="13">
        <f>K26*Calculation!I5/Calculation!K4</f>
        <v>7.3390151930775666E-2</v>
      </c>
      <c r="N26" s="13">
        <v>0</v>
      </c>
      <c r="O26" s="13">
        <v>0</v>
      </c>
      <c r="P26" s="13">
        <f>N26*Calculation!I5/Calculation!K4</f>
        <v>0</v>
      </c>
      <c r="Q26" s="13">
        <f>O26*Calculation!I5/Calculation!K4</f>
        <v>0</v>
      </c>
    </row>
    <row r="27" spans="4:21">
      <c r="D27" s="16">
        <v>2</v>
      </c>
      <c r="E27" s="66">
        <v>3.3333333333333335</v>
      </c>
      <c r="F27" s="13">
        <v>0</v>
      </c>
      <c r="G27" s="13">
        <v>0</v>
      </c>
      <c r="H27" s="13">
        <f>F27*Calculation!I6/Calculation!K5</f>
        <v>0</v>
      </c>
      <c r="I27" s="13">
        <f>G27*Calculation!I6/Calculation!K5</f>
        <v>0</v>
      </c>
      <c r="J27" s="13">
        <v>11.077062762456022</v>
      </c>
      <c r="K27" s="13">
        <v>2.2698899103393507E-2</v>
      </c>
      <c r="L27" s="13">
        <f>J27*Calculation!I6/Calculation!K5</f>
        <v>11.215713770204488</v>
      </c>
      <c r="M27" s="13">
        <f>K27*Calculation!I6/Calculation!K5</f>
        <v>2.2983020020910856E-2</v>
      </c>
      <c r="N27" s="13">
        <v>0</v>
      </c>
      <c r="O27" s="13">
        <v>0</v>
      </c>
      <c r="P27" s="13">
        <f>N27*Calculation!I6/Calculation!K5</f>
        <v>0</v>
      </c>
      <c r="Q27" s="13">
        <f>O27*Calculation!I6/Calculation!K5</f>
        <v>0</v>
      </c>
    </row>
    <row r="28" spans="4:21">
      <c r="D28" s="16">
        <v>3</v>
      </c>
      <c r="E28" s="66">
        <v>4.666666666666667</v>
      </c>
      <c r="F28" s="13">
        <v>0</v>
      </c>
      <c r="G28" s="13">
        <v>0</v>
      </c>
      <c r="H28" s="13">
        <f>F28*Calculation!I7/Calculation!K6</f>
        <v>0</v>
      </c>
      <c r="I28" s="13">
        <f>G28*Calculation!I7/Calculation!K6</f>
        <v>0</v>
      </c>
      <c r="J28" s="13">
        <v>19.422691332803694</v>
      </c>
      <c r="K28" s="13">
        <v>0.30818161925496645</v>
      </c>
      <c r="L28" s="13">
        <f>J28*Calculation!I7/Calculation!K6</f>
        <v>19.827884934505374</v>
      </c>
      <c r="M28" s="13">
        <f>K28*Calculation!I7/Calculation!K6</f>
        <v>0.31461086318128439</v>
      </c>
      <c r="N28" s="13">
        <v>0</v>
      </c>
      <c r="O28" s="13">
        <v>0</v>
      </c>
      <c r="P28" s="13">
        <f>N28*Calculation!I7/Calculation!K6</f>
        <v>0</v>
      </c>
      <c r="Q28" s="13">
        <f>O28*Calculation!I7/Calculation!K6</f>
        <v>0</v>
      </c>
    </row>
    <row r="29" spans="4:21">
      <c r="D29" s="16">
        <v>4</v>
      </c>
      <c r="E29" s="66">
        <v>6</v>
      </c>
      <c r="F29" s="13">
        <v>0</v>
      </c>
      <c r="G29" s="13">
        <v>0</v>
      </c>
      <c r="H29" s="13">
        <f>F29*Calculation!I8/Calculation!K7</f>
        <v>0</v>
      </c>
      <c r="I29" s="13">
        <f>G29*Calculation!I8/Calculation!K7</f>
        <v>0</v>
      </c>
      <c r="J29" s="13">
        <v>27.669958007036659</v>
      </c>
      <c r="K29" s="13">
        <v>0.5424039562069487</v>
      </c>
      <c r="L29" s="13">
        <f>J29*Calculation!I8/Calculation!K7</f>
        <v>28.486250446797392</v>
      </c>
      <c r="M29" s="13">
        <f>K29*Calculation!I8/Calculation!K7</f>
        <v>0.55840543509012763</v>
      </c>
      <c r="N29" s="13">
        <v>0</v>
      </c>
      <c r="O29" s="13">
        <v>0</v>
      </c>
      <c r="P29" s="13">
        <f>N29*Calculation!I8/Calculation!K7</f>
        <v>0</v>
      </c>
      <c r="Q29" s="13">
        <f>O29*Calculation!I8/Calculation!K7</f>
        <v>0</v>
      </c>
    </row>
    <row r="30" spans="4:21">
      <c r="D30" s="16">
        <v>5</v>
      </c>
      <c r="E30" s="66">
        <v>7.333333333333333</v>
      </c>
      <c r="F30" s="13">
        <v>0</v>
      </c>
      <c r="G30" s="13">
        <v>0</v>
      </c>
      <c r="H30" s="13">
        <f>F30*Calculation!I9/Calculation!K8</f>
        <v>0</v>
      </c>
      <c r="I30" s="13">
        <f>G30*Calculation!I9/Calculation!K8</f>
        <v>0</v>
      </c>
      <c r="J30" s="13">
        <v>37.271592327772112</v>
      </c>
      <c r="K30" s="13">
        <v>8.184204461386746E-2</v>
      </c>
      <c r="L30" s="13">
        <f>J30*Calculation!I9/Calculation!K8</f>
        <v>38.650408891818167</v>
      </c>
      <c r="M30" s="13">
        <f>K30*Calculation!I9/Calculation!K8</f>
        <v>8.4869690059133626E-2</v>
      </c>
      <c r="N30" s="13">
        <v>0</v>
      </c>
      <c r="O30" s="13">
        <v>0</v>
      </c>
      <c r="P30" s="13">
        <f>N30*Calculation!I9/Calculation!K8</f>
        <v>0</v>
      </c>
      <c r="Q30" s="13">
        <f>O30*Calculation!I9/Calculation!K8</f>
        <v>0</v>
      </c>
    </row>
    <row r="31" spans="4:21">
      <c r="D31" s="16">
        <v>6</v>
      </c>
      <c r="E31" s="66">
        <v>8.6666666666666661</v>
      </c>
      <c r="F31" s="13">
        <v>0</v>
      </c>
      <c r="G31" s="13">
        <v>0</v>
      </c>
      <c r="H31" s="13">
        <f>F31*Calculation!I10/Calculation!K9</f>
        <v>0</v>
      </c>
      <c r="I31" s="13">
        <f>G31*Calculation!I10/Calculation!K9</f>
        <v>0</v>
      </c>
      <c r="J31" s="13">
        <v>46.615972458669098</v>
      </c>
      <c r="K31" s="13">
        <v>0.26308536527391474</v>
      </c>
      <c r="L31" s="13">
        <f>J31*Calculation!I10/Calculation!K9</f>
        <v>48.703117041758368</v>
      </c>
      <c r="M31" s="13">
        <f>K31*Calculation!I10/Calculation!K9</f>
        <v>0.27486452949725809</v>
      </c>
      <c r="N31" s="13">
        <v>0</v>
      </c>
      <c r="O31" s="13">
        <v>0</v>
      </c>
      <c r="P31" s="13">
        <f>N31*Calculation!I10/Calculation!K9</f>
        <v>0</v>
      </c>
      <c r="Q31" s="13">
        <f>O31*Calculation!I10/Calculation!K9</f>
        <v>0</v>
      </c>
    </row>
    <row r="32" spans="4:21">
      <c r="D32" s="16">
        <v>7</v>
      </c>
      <c r="E32" s="66">
        <v>10</v>
      </c>
      <c r="F32" s="13">
        <v>0</v>
      </c>
      <c r="G32" s="13">
        <v>0</v>
      </c>
      <c r="H32" s="13">
        <f>F32*Calculation!I11/Calculation!K10</f>
        <v>0</v>
      </c>
      <c r="I32" s="13">
        <f>G32*Calculation!I11/Calculation!K10</f>
        <v>0</v>
      </c>
      <c r="J32" s="13">
        <v>50.489917905648248</v>
      </c>
      <c r="K32" s="13">
        <v>0.41255418243000708</v>
      </c>
      <c r="L32" s="13">
        <f>J32*Calculation!I11/Calculation!K10</f>
        <v>52.954496246254052</v>
      </c>
      <c r="M32" s="13">
        <f>K32*Calculation!I11/Calculation!K10</f>
        <v>0.43269230395049352</v>
      </c>
      <c r="N32" s="13">
        <v>0</v>
      </c>
      <c r="O32" s="13">
        <v>0</v>
      </c>
      <c r="P32" s="13">
        <f>N32*Calculation!I11/Calculation!K10</f>
        <v>0</v>
      </c>
      <c r="Q32" s="13">
        <f>O32*Calculation!I11/Calculation!K10</f>
        <v>0</v>
      </c>
    </row>
    <row r="33" spans="4:17">
      <c r="D33" s="16">
        <v>8</v>
      </c>
      <c r="E33" s="66">
        <v>11.333333333333334</v>
      </c>
      <c r="F33" s="13">
        <v>0</v>
      </c>
      <c r="G33" s="13">
        <v>0</v>
      </c>
      <c r="H33" s="13">
        <f>F33*Calculation!I12/Calculation!K11</f>
        <v>0</v>
      </c>
      <c r="I33" s="13">
        <f>G33*Calculation!I12/Calculation!K11</f>
        <v>0</v>
      </c>
      <c r="J33" s="13">
        <v>50.035939923580365</v>
      </c>
      <c r="K33" s="13">
        <v>0.40626168073722574</v>
      </c>
      <c r="L33" s="13">
        <f>J33*Calculation!I12/Calculation!K11</f>
        <v>52.604205492827774</v>
      </c>
      <c r="M33" s="13">
        <f>K33*Calculation!I12/Calculation!K11</f>
        <v>0.42711444953372607</v>
      </c>
      <c r="N33" s="13">
        <v>0</v>
      </c>
      <c r="O33" s="13">
        <v>0</v>
      </c>
      <c r="P33" s="13">
        <f>N33*Calculation!I12/Calculation!K11</f>
        <v>0</v>
      </c>
      <c r="Q33" s="13">
        <f>O33*Calculation!I12/Calculation!K11</f>
        <v>0</v>
      </c>
    </row>
    <row r="34" spans="4:17">
      <c r="D34" s="16">
        <v>9</v>
      </c>
      <c r="E34" s="66">
        <v>12.666666666666666</v>
      </c>
      <c r="F34" s="13">
        <v>0</v>
      </c>
      <c r="G34" s="13">
        <v>0</v>
      </c>
      <c r="H34" s="13">
        <f>F34*Calculation!I13/Calculation!K12</f>
        <v>0</v>
      </c>
      <c r="I34" s="13">
        <f>G34*Calculation!I13/Calculation!K12</f>
        <v>0</v>
      </c>
      <c r="J34" s="13">
        <v>50.255362614913174</v>
      </c>
      <c r="K34" s="13">
        <v>0.29508568834411769</v>
      </c>
      <c r="L34" s="13">
        <f>J34*Calculation!I13/Calculation!K12</f>
        <v>52.922729358424007</v>
      </c>
      <c r="M34" s="13">
        <f>K34*Calculation!I13/Calculation!K12</f>
        <v>0.31074773336021577</v>
      </c>
      <c r="N34" s="13">
        <v>0</v>
      </c>
      <c r="O34" s="13">
        <v>0</v>
      </c>
      <c r="P34" s="13">
        <f>N34*Calculation!I13/Calculation!K12</f>
        <v>0</v>
      </c>
      <c r="Q34" s="13">
        <f>O34*Calculation!I13/Calculation!K12</f>
        <v>0</v>
      </c>
    </row>
    <row r="35" spans="4:17">
      <c r="D35" s="16">
        <v>10</v>
      </c>
      <c r="E35" s="66">
        <v>14</v>
      </c>
      <c r="F35" s="13">
        <v>0</v>
      </c>
      <c r="G35" s="13">
        <v>0</v>
      </c>
      <c r="H35" s="13">
        <f>F35*Calculation!I14/Calculation!K13</f>
        <v>0</v>
      </c>
      <c r="I35" s="13">
        <f>G35*Calculation!I14/Calculation!K13</f>
        <v>0</v>
      </c>
      <c r="J35" s="13">
        <v>50.278061514016571</v>
      </c>
      <c r="K35" s="13">
        <v>0.43306739367469793</v>
      </c>
      <c r="L35" s="13">
        <f>J35*Calculation!I14/Calculation!K13</f>
        <v>52.992633580203766</v>
      </c>
      <c r="M35" s="13">
        <f>K35*Calculation!I14/Calculation!K13</f>
        <v>0.45644921497499003</v>
      </c>
      <c r="N35" s="13">
        <v>0</v>
      </c>
      <c r="O35" s="13">
        <v>0</v>
      </c>
      <c r="P35" s="13">
        <f>N35*Calculation!I14/Calculation!K13</f>
        <v>0</v>
      </c>
      <c r="Q35" s="13">
        <f>O35*Calculation!I14/Calculation!K13</f>
        <v>0</v>
      </c>
    </row>
    <row r="36" spans="4:17">
      <c r="D36" s="16">
        <v>11</v>
      </c>
      <c r="E36" s="66">
        <v>15.333333333333334</v>
      </c>
      <c r="F36" s="13">
        <v>0</v>
      </c>
      <c r="G36" s="13">
        <v>0</v>
      </c>
      <c r="H36" s="13">
        <f>F36*Calculation!I15/Calculation!K14</f>
        <v>0</v>
      </c>
      <c r="I36" s="13">
        <f>G36*Calculation!I15/Calculation!K14</f>
        <v>0</v>
      </c>
      <c r="J36" s="13">
        <v>50.346158211326753</v>
      </c>
      <c r="K36" s="13">
        <v>0.90880677422166023</v>
      </c>
      <c r="L36" s="13">
        <f>J36*Calculation!I15/Calculation!K14</f>
        <v>53.064406898822547</v>
      </c>
      <c r="M36" s="13">
        <f>K36*Calculation!I15/Calculation!K14</f>
        <v>0.95787432791356319</v>
      </c>
      <c r="N36" s="13">
        <v>0</v>
      </c>
      <c r="O36" s="13">
        <v>0</v>
      </c>
      <c r="P36" s="13">
        <f>N36*Calculation!I15/Calculation!K14</f>
        <v>0</v>
      </c>
      <c r="Q36" s="13">
        <f>O36*Calculation!I15/Calculation!K14</f>
        <v>0</v>
      </c>
    </row>
    <row r="37" spans="4:17">
      <c r="D37" s="16">
        <v>12</v>
      </c>
      <c r="E37" s="66">
        <v>16.666666666666668</v>
      </c>
      <c r="F37" s="13">
        <v>0</v>
      </c>
      <c r="G37" s="13">
        <v>0</v>
      </c>
      <c r="H37" s="13">
        <f>F37*Calculation!I16/Calculation!K15</f>
        <v>0</v>
      </c>
      <c r="I37" s="13">
        <f>G37*Calculation!I16/Calculation!K15</f>
        <v>0</v>
      </c>
      <c r="J37" s="13">
        <v>51.208716377255705</v>
      </c>
      <c r="K37" s="13">
        <v>0.76066716967954084</v>
      </c>
      <c r="L37" s="13">
        <f>J37*Calculation!I16/Calculation!K15</f>
        <v>54.075468624181426</v>
      </c>
      <c r="M37" s="13">
        <f>K37*Calculation!I16/Calculation!K15</f>
        <v>0.80325062952994208</v>
      </c>
      <c r="N37" s="13">
        <v>0</v>
      </c>
      <c r="O37" s="13">
        <v>0</v>
      </c>
      <c r="P37" s="13">
        <f>N37*Calculation!I16/Calculation!K15</f>
        <v>0</v>
      </c>
      <c r="Q37" s="13">
        <f>O37*Calculation!I16/Calculation!K15</f>
        <v>0</v>
      </c>
    </row>
    <row r="38" spans="4:17">
      <c r="D38" s="16">
        <v>13</v>
      </c>
      <c r="E38" s="66">
        <v>18</v>
      </c>
      <c r="F38" s="13">
        <v>0</v>
      </c>
      <c r="G38" s="13">
        <v>0</v>
      </c>
      <c r="H38" s="13">
        <f>F38*Calculation!I17/Calculation!K16</f>
        <v>0</v>
      </c>
      <c r="I38" s="13">
        <f>G38*Calculation!I17/Calculation!K16</f>
        <v>0</v>
      </c>
      <c r="J38" s="13">
        <v>51.254114175462497</v>
      </c>
      <c r="K38" s="13">
        <v>0.79640471196680696</v>
      </c>
      <c r="L38" s="13">
        <f>J38*Calculation!I17/Calculation!K16</f>
        <v>54.176995401959609</v>
      </c>
      <c r="M38" s="13">
        <f>K38*Calculation!I17/Calculation!K16</f>
        <v>0.84182148325920869</v>
      </c>
      <c r="N38" s="13">
        <v>0</v>
      </c>
      <c r="O38" s="13">
        <v>0</v>
      </c>
      <c r="P38" s="13">
        <f>N38*Calculation!I17/Calculation!K16</f>
        <v>0</v>
      </c>
      <c r="Q38" s="13">
        <f>O38*Calculation!I17/Calculation!K16</f>
        <v>0</v>
      </c>
    </row>
    <row r="39" spans="4:17">
      <c r="D39" s="16">
        <v>14</v>
      </c>
      <c r="E39" s="66">
        <v>24</v>
      </c>
      <c r="F39" s="13">
        <v>0</v>
      </c>
      <c r="G39" s="13">
        <v>0</v>
      </c>
      <c r="H39" s="13">
        <f>F39*Calculation!I18/Calculation!K17</f>
        <v>0</v>
      </c>
      <c r="I39" s="13">
        <f>G39*Calculation!I18/Calculation!K17</f>
        <v>0</v>
      </c>
      <c r="J39" s="13">
        <v>51.58703136231226</v>
      </c>
      <c r="K39" s="13">
        <v>0.51278080807649196</v>
      </c>
      <c r="L39" s="13">
        <f>J39*Calculation!I18/Calculation!K17</f>
        <v>54.528897940738204</v>
      </c>
      <c r="M39" s="13">
        <f>K39*Calculation!I18/Calculation!K17</f>
        <v>0.54202328785292198</v>
      </c>
      <c r="N39" s="13">
        <v>0</v>
      </c>
      <c r="O39" s="13">
        <v>0</v>
      </c>
      <c r="P39" s="13">
        <f>N39*Calculation!I18/Calculation!K17</f>
        <v>0</v>
      </c>
      <c r="Q39" s="13">
        <f>O39*Calculation!I18/Calculation!K17</f>
        <v>0</v>
      </c>
    </row>
    <row r="40" spans="4:17">
      <c r="D40" s="16">
        <v>15</v>
      </c>
      <c r="E40" s="66">
        <v>30</v>
      </c>
      <c r="F40" s="13">
        <v>0</v>
      </c>
      <c r="G40" s="13">
        <v>0</v>
      </c>
      <c r="H40" s="13">
        <f>F40*Calculation!I19/Calculation!K18</f>
        <v>0</v>
      </c>
      <c r="I40" s="13">
        <f>G40*Calculation!I19/Calculation!K18</f>
        <v>0</v>
      </c>
      <c r="J40" s="13">
        <v>54.257935156811556</v>
      </c>
      <c r="K40" s="13">
        <v>0.72683751120328932</v>
      </c>
      <c r="L40" s="13">
        <f>J40*Calculation!I19/Calculation!K18</f>
        <v>57.352116035939218</v>
      </c>
      <c r="M40" s="13">
        <f>K40*Calculation!I19/Calculation!K18</f>
        <v>0.76828705628638538</v>
      </c>
      <c r="N40" s="13">
        <v>0</v>
      </c>
      <c r="O40" s="13">
        <v>0</v>
      </c>
      <c r="P40" s="13">
        <f>N40*Calculation!I19/Calculation!K18</f>
        <v>0</v>
      </c>
      <c r="Q40" s="13">
        <f>O40*Calculation!I19/Calculation!K18</f>
        <v>0</v>
      </c>
    </row>
    <row r="41" spans="4:17">
      <c r="D41" s="16">
        <v>16</v>
      </c>
      <c r="E41" s="66">
        <v>48</v>
      </c>
      <c r="F41" s="13">
        <v>0</v>
      </c>
      <c r="G41" s="13">
        <v>0</v>
      </c>
      <c r="H41" s="13">
        <f>F41*Calculation!I20/Calculation!K19</f>
        <v>0</v>
      </c>
      <c r="I41" s="13">
        <f>G41*Calculation!I20/Calculation!K19</f>
        <v>0</v>
      </c>
      <c r="J41" s="13">
        <v>52.260432035712938</v>
      </c>
      <c r="K41" s="13">
        <v>0.67957840242823619</v>
      </c>
      <c r="L41" s="13">
        <f>J41*Calculation!I20/Calculation!K19</f>
        <v>55.305766410809774</v>
      </c>
      <c r="M41" s="13">
        <f>K41*Calculation!I20/Calculation!K19</f>
        <v>0.71917898338160158</v>
      </c>
      <c r="N41" s="13">
        <v>0</v>
      </c>
      <c r="O41" s="13">
        <v>0</v>
      </c>
      <c r="P41" s="13">
        <f>N41*Calculation!I20/Calculation!K19</f>
        <v>0</v>
      </c>
      <c r="Q41" s="13">
        <f>O41*Calculation!I20/Calculation!K19</f>
        <v>0</v>
      </c>
    </row>
  </sheetData>
  <mergeCells count="14">
    <mergeCell ref="R1:U1"/>
    <mergeCell ref="D1:D2"/>
    <mergeCell ref="E1:E2"/>
    <mergeCell ref="F1:I1"/>
    <mergeCell ref="J1:M1"/>
    <mergeCell ref="F22:I22"/>
    <mergeCell ref="J22:M22"/>
    <mergeCell ref="N22:Q22"/>
    <mergeCell ref="N1:Q1"/>
    <mergeCell ref="A1:B1"/>
    <mergeCell ref="A2:B2"/>
    <mergeCell ref="A3:A4"/>
    <mergeCell ref="D22:D23"/>
    <mergeCell ref="E22:E2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4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144</v>
      </c>
      <c r="B2" s="17">
        <v>180.16</v>
      </c>
    </row>
    <row r="4" spans="1:8">
      <c r="A4" s="157" t="s">
        <v>145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8" t="s">
        <v>4</v>
      </c>
      <c r="B6" s="28" t="s">
        <v>5</v>
      </c>
      <c r="C6" s="28" t="s">
        <v>19</v>
      </c>
      <c r="D6" s="162"/>
      <c r="E6" s="162"/>
      <c r="F6" s="162"/>
      <c r="G6" s="164"/>
      <c r="H6" s="164"/>
    </row>
    <row r="7" spans="1:8">
      <c r="A7" s="16">
        <v>0</v>
      </c>
      <c r="B7" s="64">
        <v>-0.16666666666666666</v>
      </c>
      <c r="C7" s="16">
        <v>2</v>
      </c>
      <c r="D7" s="19" t="s">
        <v>185</v>
      </c>
      <c r="E7" s="19">
        <v>4.4630000000000001</v>
      </c>
      <c r="F7" s="19">
        <v>4.5259999999999998</v>
      </c>
      <c r="G7" s="19">
        <f>(C7*1000*AVERAGE(D7:F7)/$B$2)</f>
        <v>49.894538188277089</v>
      </c>
      <c r="H7" s="19">
        <f>(C7*1000*STDEV(D7:F7))/$B$2</f>
        <v>0.49453516002167286</v>
      </c>
    </row>
    <row r="8" spans="1:8">
      <c r="A8" s="16">
        <v>0</v>
      </c>
      <c r="B8" s="66">
        <v>0.16666666666666666</v>
      </c>
      <c r="C8" s="16">
        <v>2</v>
      </c>
      <c r="D8" s="19">
        <v>4.18</v>
      </c>
      <c r="E8" s="19">
        <v>4.1520000000000001</v>
      </c>
      <c r="F8" s="19">
        <v>4.1100000000000003</v>
      </c>
      <c r="G8" s="19">
        <f t="shared" ref="G8:G17" si="0">(C8*1000*AVERAGE(D8:F8))/$B$2</f>
        <v>46.040556542332737</v>
      </c>
      <c r="H8" s="19">
        <f t="shared" ref="H8:H17" si="1">(C8*1000*STDEV(D8:F8))/$B$2</f>
        <v>0.3911252297727561</v>
      </c>
    </row>
    <row r="9" spans="1:8">
      <c r="A9" s="16">
        <v>1</v>
      </c>
      <c r="B9" s="66">
        <v>2</v>
      </c>
      <c r="C9" s="16">
        <v>2</v>
      </c>
      <c r="D9" s="19">
        <v>4.0750000000000002</v>
      </c>
      <c r="E9" s="19">
        <v>4.032</v>
      </c>
      <c r="F9" s="19">
        <v>4.0650000000000004</v>
      </c>
      <c r="G9" s="19">
        <f t="shared" si="0"/>
        <v>45.041444641799878</v>
      </c>
      <c r="H9" s="19">
        <f t="shared" si="1"/>
        <v>0.24979853214531911</v>
      </c>
    </row>
    <row r="10" spans="1:8">
      <c r="A10" s="16">
        <v>2</v>
      </c>
      <c r="B10" s="66">
        <v>3.3333333333333335</v>
      </c>
      <c r="C10" s="16">
        <v>2</v>
      </c>
      <c r="D10" s="19">
        <v>3.532</v>
      </c>
      <c r="E10" s="19">
        <v>3.5379999999999998</v>
      </c>
      <c r="F10" s="19">
        <v>3.5529999999999999</v>
      </c>
      <c r="G10" s="19">
        <f t="shared" si="0"/>
        <v>39.309502664298407</v>
      </c>
      <c r="H10" s="19">
        <f t="shared" si="1"/>
        <v>0.12007830624324986</v>
      </c>
    </row>
    <row r="11" spans="1:8">
      <c r="A11" s="16">
        <v>3</v>
      </c>
      <c r="B11" s="66">
        <v>4.666666666666667</v>
      </c>
      <c r="C11" s="16">
        <v>2</v>
      </c>
      <c r="D11" s="19">
        <v>2.8210000000000002</v>
      </c>
      <c r="E11" s="19">
        <v>2.7610000000000001</v>
      </c>
      <c r="F11" s="19">
        <v>2.7869999999999999</v>
      </c>
      <c r="G11" s="19">
        <f t="shared" si="0"/>
        <v>30.96876850207223</v>
      </c>
      <c r="H11" s="19">
        <f t="shared" si="1"/>
        <v>0.33402261978676051</v>
      </c>
    </row>
    <row r="12" spans="1:8">
      <c r="A12" s="16">
        <v>4</v>
      </c>
      <c r="B12" s="66">
        <v>6</v>
      </c>
      <c r="C12" s="16">
        <v>2</v>
      </c>
      <c r="D12" s="19">
        <v>1.9419999999999999</v>
      </c>
      <c r="E12" s="19">
        <v>1.915</v>
      </c>
      <c r="F12" s="19">
        <v>1.9810000000000001</v>
      </c>
      <c r="G12" s="19">
        <f t="shared" si="0"/>
        <v>21.603019538188278</v>
      </c>
      <c r="H12" s="19">
        <f t="shared" si="1"/>
        <v>0.36835390814913577</v>
      </c>
    </row>
    <row r="13" spans="1:8">
      <c r="A13" s="16">
        <v>5</v>
      </c>
      <c r="B13" s="66">
        <v>7.333333333333333</v>
      </c>
      <c r="C13" s="16">
        <v>2</v>
      </c>
      <c r="D13" s="19">
        <v>1.206</v>
      </c>
      <c r="E13" s="19">
        <v>1.202</v>
      </c>
      <c r="F13" s="19">
        <v>1.21</v>
      </c>
      <c r="G13" s="19">
        <f t="shared" si="0"/>
        <v>13.38809946714032</v>
      </c>
      <c r="H13" s="19">
        <f t="shared" si="1"/>
        <v>4.4404973357016028E-2</v>
      </c>
    </row>
    <row r="14" spans="1:8">
      <c r="A14" s="16">
        <v>6</v>
      </c>
      <c r="B14" s="66">
        <v>8.6666666666666661</v>
      </c>
      <c r="C14" s="16">
        <v>2</v>
      </c>
      <c r="D14" s="19">
        <v>0.33500000000000002</v>
      </c>
      <c r="E14" s="19">
        <v>0.32900000000000001</v>
      </c>
      <c r="F14" s="19">
        <v>0.32900000000000001</v>
      </c>
      <c r="G14" s="19">
        <f t="shared" si="0"/>
        <v>3.6745115452930728</v>
      </c>
      <c r="H14" s="19">
        <f t="shared" si="1"/>
        <v>3.8455834981547053E-2</v>
      </c>
    </row>
    <row r="15" spans="1:8">
      <c r="A15" s="16">
        <v>7</v>
      </c>
      <c r="B15" s="66">
        <v>10</v>
      </c>
      <c r="C15" s="16">
        <v>2</v>
      </c>
      <c r="D15" s="75">
        <v>0</v>
      </c>
      <c r="E15" s="75">
        <v>0</v>
      </c>
      <c r="F15" s="75">
        <v>0</v>
      </c>
      <c r="G15" s="19">
        <f t="shared" si="0"/>
        <v>0</v>
      </c>
      <c r="H15" s="19">
        <f t="shared" si="1"/>
        <v>0</v>
      </c>
    </row>
    <row r="16" spans="1:8">
      <c r="A16" s="16">
        <v>8</v>
      </c>
      <c r="B16" s="66">
        <v>11.333333333333334</v>
      </c>
      <c r="C16" s="16">
        <v>2</v>
      </c>
      <c r="D16" s="75">
        <v>0</v>
      </c>
      <c r="E16" s="75">
        <v>0</v>
      </c>
      <c r="F16" s="75">
        <v>0</v>
      </c>
      <c r="G16" s="19">
        <f t="shared" si="0"/>
        <v>0</v>
      </c>
      <c r="H16" s="19">
        <f t="shared" si="1"/>
        <v>0</v>
      </c>
    </row>
    <row r="17" spans="1:8">
      <c r="A17" s="16">
        <v>9</v>
      </c>
      <c r="B17" s="66">
        <v>12.666666666666666</v>
      </c>
      <c r="C17" s="16">
        <v>2</v>
      </c>
      <c r="D17" s="75">
        <v>0</v>
      </c>
      <c r="E17" s="75">
        <v>0</v>
      </c>
      <c r="F17" s="75">
        <v>0</v>
      </c>
      <c r="G17" s="19">
        <f t="shared" si="0"/>
        <v>0</v>
      </c>
      <c r="H17" s="19">
        <f t="shared" si="1"/>
        <v>0</v>
      </c>
    </row>
    <row r="18" spans="1:8">
      <c r="A18" s="16">
        <v>10</v>
      </c>
      <c r="B18" s="66">
        <v>14</v>
      </c>
      <c r="C18" s="16">
        <v>2</v>
      </c>
      <c r="D18" s="75">
        <v>0</v>
      </c>
      <c r="E18" s="75">
        <v>0</v>
      </c>
      <c r="F18" s="75">
        <v>0</v>
      </c>
      <c r="G18" s="19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16">
        <v>11</v>
      </c>
      <c r="B19" s="66">
        <v>15.333333333333334</v>
      </c>
      <c r="C19" s="16">
        <v>2</v>
      </c>
      <c r="D19" s="75">
        <v>0</v>
      </c>
      <c r="E19" s="75">
        <v>0</v>
      </c>
      <c r="F19" s="75">
        <v>0</v>
      </c>
      <c r="G19" s="19">
        <f t="shared" si="2"/>
        <v>0</v>
      </c>
      <c r="H19" s="19">
        <f t="shared" si="3"/>
        <v>0</v>
      </c>
    </row>
    <row r="20" spans="1:8">
      <c r="A20" s="16">
        <v>12</v>
      </c>
      <c r="B20" s="66">
        <v>16.666666666666668</v>
      </c>
      <c r="C20" s="16">
        <v>2</v>
      </c>
      <c r="D20" s="75">
        <v>0</v>
      </c>
      <c r="E20" s="75">
        <v>0</v>
      </c>
      <c r="F20" s="75">
        <v>0</v>
      </c>
      <c r="G20" s="19">
        <f t="shared" si="2"/>
        <v>0</v>
      </c>
      <c r="H20" s="19">
        <f t="shared" si="3"/>
        <v>0</v>
      </c>
    </row>
    <row r="21" spans="1:8">
      <c r="A21" s="16">
        <v>13</v>
      </c>
      <c r="B21" s="66">
        <v>18</v>
      </c>
      <c r="C21" s="16">
        <v>2</v>
      </c>
      <c r="D21" s="75">
        <v>0</v>
      </c>
      <c r="E21" s="75">
        <v>0</v>
      </c>
      <c r="F21" s="75">
        <v>0</v>
      </c>
      <c r="G21" s="19">
        <f t="shared" si="2"/>
        <v>0</v>
      </c>
      <c r="H21" s="19">
        <f t="shared" si="3"/>
        <v>0</v>
      </c>
    </row>
    <row r="22" spans="1:8">
      <c r="A22" s="16">
        <v>14</v>
      </c>
      <c r="B22" s="66">
        <v>24</v>
      </c>
      <c r="C22" s="16">
        <v>2</v>
      </c>
      <c r="D22" s="75">
        <v>0</v>
      </c>
      <c r="E22" s="75">
        <v>0</v>
      </c>
      <c r="F22" s="75">
        <v>0</v>
      </c>
      <c r="G22" s="19">
        <f t="shared" si="2"/>
        <v>0</v>
      </c>
      <c r="H22" s="19">
        <f t="shared" si="3"/>
        <v>0</v>
      </c>
    </row>
    <row r="23" spans="1:8">
      <c r="A23" s="16">
        <v>15</v>
      </c>
      <c r="B23" s="66">
        <v>30</v>
      </c>
      <c r="C23" s="16">
        <v>2</v>
      </c>
      <c r="D23" s="75">
        <v>0</v>
      </c>
      <c r="E23" s="75">
        <v>0</v>
      </c>
      <c r="F23" s="75">
        <v>0</v>
      </c>
      <c r="G23" s="19">
        <f t="shared" si="2"/>
        <v>0</v>
      </c>
      <c r="H23" s="19">
        <f t="shared" si="3"/>
        <v>0</v>
      </c>
    </row>
    <row r="24" spans="1:8">
      <c r="A24" s="16">
        <v>16</v>
      </c>
      <c r="B24" s="66">
        <v>48</v>
      </c>
      <c r="C24" s="16">
        <v>2</v>
      </c>
      <c r="D24" s="75">
        <v>0</v>
      </c>
      <c r="E24" s="75">
        <v>0</v>
      </c>
      <c r="F24" s="75">
        <v>0</v>
      </c>
      <c r="G24" s="19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65</v>
      </c>
      <c r="B2" s="17">
        <v>46.03</v>
      </c>
    </row>
    <row r="4" spans="1:8">
      <c r="A4" s="157" t="s">
        <v>65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8" t="s">
        <v>4</v>
      </c>
      <c r="B6" s="28" t="s">
        <v>60</v>
      </c>
      <c r="C6" s="28" t="s">
        <v>19</v>
      </c>
      <c r="D6" s="162"/>
      <c r="E6" s="162"/>
      <c r="F6" s="162"/>
      <c r="G6" s="164"/>
      <c r="H6" s="164"/>
    </row>
    <row r="7" spans="1:8">
      <c r="A7" s="67">
        <v>0</v>
      </c>
      <c r="B7" s="64">
        <v>-0.16666666666666666</v>
      </c>
      <c r="C7" s="16">
        <v>2</v>
      </c>
      <c r="D7" s="55">
        <v>0</v>
      </c>
      <c r="E7" s="55">
        <v>0</v>
      </c>
      <c r="F7" s="55">
        <v>0</v>
      </c>
      <c r="G7" s="16">
        <f>(C7*1000*AVERAGE(D7:F7))/$B$2</f>
        <v>0</v>
      </c>
      <c r="H7" s="19">
        <f t="shared" ref="H7:H9" si="0">(C7*1000*STDEV(D7:F7))/$B$2</f>
        <v>0</v>
      </c>
    </row>
    <row r="8" spans="1:8">
      <c r="A8" s="68">
        <v>0</v>
      </c>
      <c r="B8" s="66">
        <v>0.16666666666666666</v>
      </c>
      <c r="C8" s="16">
        <v>2</v>
      </c>
      <c r="D8" s="55">
        <v>0</v>
      </c>
      <c r="E8" s="55">
        <v>0</v>
      </c>
      <c r="F8" s="55">
        <v>0</v>
      </c>
      <c r="G8" s="16">
        <f t="shared" ref="G8:G10" si="1">(C8*1000*AVERAGE(D8:F8))/$B$2</f>
        <v>0</v>
      </c>
      <c r="H8" s="19">
        <f t="shared" si="0"/>
        <v>0</v>
      </c>
    </row>
    <row r="9" spans="1:8">
      <c r="A9" s="68">
        <v>1</v>
      </c>
      <c r="B9" s="66">
        <v>2</v>
      </c>
      <c r="C9" s="16">
        <v>2</v>
      </c>
      <c r="D9" s="55">
        <v>0</v>
      </c>
      <c r="E9" s="55">
        <v>1E-3</v>
      </c>
      <c r="F9" s="55">
        <v>0</v>
      </c>
      <c r="G9" s="16">
        <f t="shared" si="1"/>
        <v>1.4483307987544354E-2</v>
      </c>
      <c r="H9" s="19">
        <f t="shared" si="0"/>
        <v>2.5085825296094974E-2</v>
      </c>
    </row>
    <row r="10" spans="1:8">
      <c r="A10" s="68">
        <v>2</v>
      </c>
      <c r="B10" s="66">
        <v>3.3333333333333335</v>
      </c>
      <c r="C10" s="16">
        <v>2</v>
      </c>
      <c r="D10" s="55">
        <v>7.0000000000000001E-3</v>
      </c>
      <c r="E10" s="55">
        <v>7.0000000000000001E-3</v>
      </c>
      <c r="F10" s="55">
        <v>8.0000000000000002E-3</v>
      </c>
      <c r="G10" s="16">
        <f t="shared" si="1"/>
        <v>0.31863277572597581</v>
      </c>
      <c r="H10" s="19">
        <f t="shared" ref="H10:H23" si="2">(C10*1000*STDEV(D10:F10))/$B$2</f>
        <v>2.5085825296094974E-2</v>
      </c>
    </row>
    <row r="11" spans="1:8">
      <c r="A11" s="68">
        <v>3</v>
      </c>
      <c r="B11" s="66">
        <v>4.666666666666667</v>
      </c>
      <c r="C11" s="16">
        <v>2</v>
      </c>
      <c r="D11" s="55">
        <v>3.5999999999999997E-2</v>
      </c>
      <c r="E11" s="55">
        <v>3.5000000000000003E-2</v>
      </c>
      <c r="F11" s="55">
        <v>3.5000000000000003E-2</v>
      </c>
      <c r="G11" s="16">
        <f t="shared" ref="G11:G23" si="3">(C11*1000*AVERAGE(D11:F11))/$B$2</f>
        <v>1.5352306466797017</v>
      </c>
      <c r="H11" s="19">
        <f t="shared" si="2"/>
        <v>2.5085825296094821E-2</v>
      </c>
    </row>
    <row r="12" spans="1:8">
      <c r="A12" s="68">
        <v>4</v>
      </c>
      <c r="B12" s="66">
        <v>6</v>
      </c>
      <c r="C12" s="16">
        <v>2</v>
      </c>
      <c r="D12" s="55">
        <v>6.5000000000000002E-2</v>
      </c>
      <c r="E12" s="55">
        <v>6.4000000000000001E-2</v>
      </c>
      <c r="F12" s="55">
        <v>6.7000000000000004E-2</v>
      </c>
      <c r="G12" s="16">
        <f t="shared" si="3"/>
        <v>2.8387283655586941</v>
      </c>
      <c r="H12" s="19">
        <f t="shared" si="2"/>
        <v>6.6370855166280593E-2</v>
      </c>
    </row>
    <row r="13" spans="1:8">
      <c r="A13" s="68">
        <v>5</v>
      </c>
      <c r="B13" s="66">
        <v>7.333333333333333</v>
      </c>
      <c r="C13" s="16">
        <v>2</v>
      </c>
      <c r="D13" s="55">
        <v>9.0999999999999998E-2</v>
      </c>
      <c r="E13" s="55">
        <v>8.8999999999999996E-2</v>
      </c>
      <c r="F13" s="55">
        <v>0.09</v>
      </c>
      <c r="G13" s="16">
        <f t="shared" si="3"/>
        <v>3.9104931566369765</v>
      </c>
      <c r="H13" s="19">
        <f t="shared" si="2"/>
        <v>4.34499239626331E-2</v>
      </c>
    </row>
    <row r="14" spans="1:8">
      <c r="A14" s="68">
        <v>6</v>
      </c>
      <c r="B14" s="66">
        <v>8.6666666666666661</v>
      </c>
      <c r="C14" s="16">
        <v>2</v>
      </c>
      <c r="D14" s="55">
        <v>0.108</v>
      </c>
      <c r="E14" s="55">
        <v>0.108</v>
      </c>
      <c r="F14" s="55">
        <v>0.107</v>
      </c>
      <c r="G14" s="16">
        <f t="shared" si="3"/>
        <v>4.6781084799768271</v>
      </c>
      <c r="H14" s="19">
        <f t="shared" si="2"/>
        <v>2.5085825296094995E-2</v>
      </c>
    </row>
    <row r="15" spans="1:8">
      <c r="A15" s="68">
        <v>7</v>
      </c>
      <c r="B15" s="66">
        <v>10</v>
      </c>
      <c r="C15" s="16">
        <v>2</v>
      </c>
      <c r="D15" s="55">
        <v>0.11600000000000001</v>
      </c>
      <c r="E15" s="55">
        <v>0.11700000000000001</v>
      </c>
      <c r="F15" s="55">
        <v>0.11700000000000001</v>
      </c>
      <c r="G15" s="16">
        <f t="shared" si="3"/>
        <v>5.0691577956405247</v>
      </c>
      <c r="H15" s="19">
        <f t="shared" si="2"/>
        <v>2.5085825296094995E-2</v>
      </c>
    </row>
    <row r="16" spans="1:8">
      <c r="A16" s="68">
        <v>8</v>
      </c>
      <c r="B16" s="66">
        <v>11.333333333333334</v>
      </c>
      <c r="C16" s="16">
        <v>2</v>
      </c>
      <c r="D16" s="55">
        <v>0.11799999999999999</v>
      </c>
      <c r="E16" s="55">
        <v>0.11700000000000001</v>
      </c>
      <c r="F16" s="55">
        <v>0.11799999999999999</v>
      </c>
      <c r="G16" s="16">
        <f t="shared" si="3"/>
        <v>5.1126077196031572</v>
      </c>
      <c r="H16" s="19">
        <f t="shared" si="2"/>
        <v>2.5085825296094644E-2</v>
      </c>
    </row>
    <row r="17" spans="1:8">
      <c r="A17" s="68">
        <v>9</v>
      </c>
      <c r="B17" s="66">
        <v>12.666666666666666</v>
      </c>
      <c r="C17" s="16">
        <v>2</v>
      </c>
      <c r="D17" s="55">
        <v>0.12</v>
      </c>
      <c r="E17" s="55">
        <v>0.11899999999999999</v>
      </c>
      <c r="F17" s="55">
        <v>0.12</v>
      </c>
      <c r="G17" s="16">
        <f t="shared" si="3"/>
        <v>5.199507567528423</v>
      </c>
      <c r="H17" s="19">
        <f t="shared" si="2"/>
        <v>2.5085825296094995E-2</v>
      </c>
    </row>
    <row r="18" spans="1:8">
      <c r="A18" s="68">
        <v>10</v>
      </c>
      <c r="B18" s="66">
        <v>14</v>
      </c>
      <c r="C18" s="16">
        <v>2</v>
      </c>
      <c r="D18" s="55">
        <v>0.123</v>
      </c>
      <c r="E18" s="55">
        <v>0.121</v>
      </c>
      <c r="F18" s="55">
        <v>0.123</v>
      </c>
      <c r="G18" s="16">
        <f t="shared" si="3"/>
        <v>5.3153740314287781</v>
      </c>
      <c r="H18" s="19">
        <f t="shared" si="2"/>
        <v>5.017165059218999E-2</v>
      </c>
    </row>
    <row r="19" spans="1:8">
      <c r="A19" s="68">
        <v>11</v>
      </c>
      <c r="B19" s="66">
        <v>15.333333333333334</v>
      </c>
      <c r="C19" s="16">
        <v>2</v>
      </c>
      <c r="D19" s="55">
        <v>0.124</v>
      </c>
      <c r="E19" s="55">
        <v>0.122</v>
      </c>
      <c r="F19" s="55">
        <v>0.125</v>
      </c>
      <c r="G19" s="16">
        <f t="shared" si="3"/>
        <v>5.3733072633789556</v>
      </c>
      <c r="H19" s="19">
        <f t="shared" si="2"/>
        <v>6.6370855166280593E-2</v>
      </c>
    </row>
    <row r="20" spans="1:8">
      <c r="A20" s="68">
        <v>12</v>
      </c>
      <c r="B20" s="66">
        <v>16.666666666666668</v>
      </c>
      <c r="C20" s="16">
        <v>2</v>
      </c>
      <c r="D20" s="55">
        <v>0.124</v>
      </c>
      <c r="E20" s="55">
        <v>0.126</v>
      </c>
      <c r="F20" s="55">
        <v>0.127</v>
      </c>
      <c r="G20" s="16">
        <f t="shared" si="3"/>
        <v>5.4602071113042223</v>
      </c>
      <c r="H20" s="19">
        <f t="shared" si="2"/>
        <v>6.6370855166280593E-2</v>
      </c>
    </row>
    <row r="21" spans="1:8">
      <c r="A21" s="68">
        <v>13</v>
      </c>
      <c r="B21" s="66">
        <v>18</v>
      </c>
      <c r="C21" s="16">
        <v>2</v>
      </c>
      <c r="D21" s="55">
        <v>0.124</v>
      </c>
      <c r="E21" s="55">
        <v>0.123</v>
      </c>
      <c r="F21" s="55">
        <v>0.127</v>
      </c>
      <c r="G21" s="16">
        <f t="shared" si="3"/>
        <v>5.4167571873415881</v>
      </c>
      <c r="H21" s="19">
        <f t="shared" si="2"/>
        <v>9.0448229392402116E-2</v>
      </c>
    </row>
    <row r="22" spans="1:8">
      <c r="A22" s="68">
        <v>14</v>
      </c>
      <c r="B22" s="66">
        <v>24</v>
      </c>
      <c r="C22" s="16">
        <v>2</v>
      </c>
      <c r="D22" s="55">
        <v>0.125</v>
      </c>
      <c r="E22" s="55">
        <v>0.123</v>
      </c>
      <c r="F22" s="55">
        <v>0.125</v>
      </c>
      <c r="G22" s="16">
        <f t="shared" si="3"/>
        <v>5.4022738793540448</v>
      </c>
      <c r="H22" s="19">
        <f t="shared" si="2"/>
        <v>5.017165059218999E-2</v>
      </c>
    </row>
    <row r="23" spans="1:8">
      <c r="A23" s="68">
        <v>15</v>
      </c>
      <c r="B23" s="66">
        <v>30</v>
      </c>
      <c r="C23" s="16">
        <v>2</v>
      </c>
      <c r="D23" s="55">
        <v>0.129</v>
      </c>
      <c r="E23" s="55">
        <v>0.129</v>
      </c>
      <c r="F23" s="55">
        <v>0.13200000000000001</v>
      </c>
      <c r="G23" s="16">
        <f t="shared" si="3"/>
        <v>5.6484901151422982</v>
      </c>
      <c r="H23" s="19">
        <f t="shared" si="2"/>
        <v>7.5257475888284991E-2</v>
      </c>
    </row>
    <row r="24" spans="1:8">
      <c r="A24" s="68">
        <v>16</v>
      </c>
      <c r="B24" s="66">
        <v>48</v>
      </c>
      <c r="C24" s="16">
        <v>2</v>
      </c>
      <c r="D24" s="55">
        <v>0.123</v>
      </c>
      <c r="E24" s="55">
        <v>0.125</v>
      </c>
      <c r="F24" s="55">
        <v>0.126</v>
      </c>
      <c r="G24" s="16">
        <f t="shared" ref="G24" si="4">(C24*1000*AVERAGE(D24:F24))/$B$2</f>
        <v>5.4167571873415881</v>
      </c>
      <c r="H24" s="19">
        <f t="shared" ref="H24" si="5">(C24*1000*STDEV(D24:F24))/$B$2</f>
        <v>6.6370855166280593E-2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57" t="s">
        <v>43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2" t="s">
        <v>4</v>
      </c>
      <c r="B6" s="22" t="s">
        <v>60</v>
      </c>
      <c r="C6" s="22" t="s">
        <v>19</v>
      </c>
      <c r="D6" s="162"/>
      <c r="E6" s="162"/>
      <c r="F6" s="162"/>
      <c r="G6" s="164"/>
      <c r="H6" s="164"/>
    </row>
    <row r="7" spans="1:8">
      <c r="A7" s="67">
        <v>0</v>
      </c>
      <c r="B7" s="64">
        <v>-0.16666666666666666</v>
      </c>
      <c r="C7" s="16">
        <v>2</v>
      </c>
      <c r="D7" s="19">
        <v>1.5069999999999999</v>
      </c>
      <c r="E7" s="19">
        <v>1.498</v>
      </c>
      <c r="F7" s="19">
        <v>1.524</v>
      </c>
      <c r="G7" s="16">
        <f>(C7*1000*AVERAGE(D7:F7))/$B$2</f>
        <v>50.280321953927285</v>
      </c>
      <c r="H7" s="19">
        <f>(C7*1000*STDEV(D7:F7))/$B$2</f>
        <v>0.43975136986596491</v>
      </c>
    </row>
    <row r="8" spans="1:8">
      <c r="A8" s="68">
        <v>0</v>
      </c>
      <c r="B8" s="66">
        <v>0.16666666666666666</v>
      </c>
      <c r="C8" s="16">
        <v>2</v>
      </c>
      <c r="D8" s="19">
        <v>1.425</v>
      </c>
      <c r="E8" s="19">
        <v>1.4059999999999999</v>
      </c>
      <c r="F8" s="19">
        <v>1.399</v>
      </c>
      <c r="G8" s="16">
        <f t="shared" ref="G8:G17" si="0">(C8*1000*AVERAGE(D8:F8))/$B$2</f>
        <v>46.960865945045803</v>
      </c>
      <c r="H8" s="19">
        <f t="shared" ref="H8:H17" si="1">(C8*1000*STDEV(D8:F8))/$B$2</f>
        <v>0.44808073429054918</v>
      </c>
    </row>
    <row r="9" spans="1:8">
      <c r="A9" s="68">
        <v>1</v>
      </c>
      <c r="B9" s="66">
        <v>2</v>
      </c>
      <c r="C9" s="16">
        <v>2</v>
      </c>
      <c r="D9" s="19">
        <v>1.413</v>
      </c>
      <c r="E9" s="19">
        <v>1.3979999999999999</v>
      </c>
      <c r="F9" s="19">
        <v>1.407</v>
      </c>
      <c r="G9" s="16">
        <f t="shared" si="0"/>
        <v>46.827643630308081</v>
      </c>
      <c r="H9" s="19">
        <f t="shared" si="1"/>
        <v>0.25145160483832857</v>
      </c>
    </row>
    <row r="10" spans="1:8">
      <c r="A10" s="68">
        <v>2</v>
      </c>
      <c r="B10" s="66">
        <v>3.3333333333333335</v>
      </c>
      <c r="C10" s="16">
        <v>2</v>
      </c>
      <c r="D10" s="19">
        <v>1.3280000000000001</v>
      </c>
      <c r="E10" s="19">
        <v>1.325</v>
      </c>
      <c r="F10" s="19">
        <v>1.335</v>
      </c>
      <c r="G10" s="16">
        <f t="shared" si="0"/>
        <v>44.27421593116847</v>
      </c>
      <c r="H10" s="19">
        <f t="shared" si="1"/>
        <v>0.17091095551863028</v>
      </c>
    </row>
    <row r="11" spans="1:8">
      <c r="A11" s="68">
        <v>3</v>
      </c>
      <c r="B11" s="66">
        <v>4.666666666666667</v>
      </c>
      <c r="C11" s="16">
        <v>2</v>
      </c>
      <c r="D11" s="19">
        <v>1.2150000000000001</v>
      </c>
      <c r="E11" s="19">
        <v>1.1830000000000001</v>
      </c>
      <c r="F11" s="19">
        <v>1.198</v>
      </c>
      <c r="G11" s="16">
        <f t="shared" si="0"/>
        <v>39.922286983069668</v>
      </c>
      <c r="H11" s="19">
        <f t="shared" si="1"/>
        <v>0.53323607920168048</v>
      </c>
    </row>
    <row r="12" spans="1:8">
      <c r="A12" s="68">
        <v>4</v>
      </c>
      <c r="B12" s="66">
        <v>6</v>
      </c>
      <c r="C12" s="16">
        <v>2</v>
      </c>
      <c r="D12" s="19">
        <v>1.042</v>
      </c>
      <c r="E12" s="19">
        <v>1.0249999999999999</v>
      </c>
      <c r="F12" s="19">
        <v>1.0669999999999999</v>
      </c>
      <c r="G12" s="16">
        <f t="shared" si="0"/>
        <v>34.793227865667504</v>
      </c>
      <c r="H12" s="19">
        <f t="shared" si="1"/>
        <v>0.70363372200902963</v>
      </c>
    </row>
    <row r="13" spans="1:8">
      <c r="A13" s="68">
        <v>5</v>
      </c>
      <c r="B13" s="66">
        <v>7.333333333333333</v>
      </c>
      <c r="C13" s="16">
        <v>2</v>
      </c>
      <c r="D13" s="19">
        <v>0.94399999999999995</v>
      </c>
      <c r="E13" s="19">
        <v>0.94499999999999995</v>
      </c>
      <c r="F13" s="19">
        <v>0.94699999999999995</v>
      </c>
      <c r="G13" s="16">
        <f t="shared" si="0"/>
        <v>31.484873716347487</v>
      </c>
      <c r="H13" s="19">
        <f t="shared" si="1"/>
        <v>5.0875111795235572E-2</v>
      </c>
    </row>
    <row r="14" spans="1:8">
      <c r="A14" s="68">
        <v>6</v>
      </c>
      <c r="B14" s="66">
        <v>8.6666666666666661</v>
      </c>
      <c r="C14" s="16">
        <v>2</v>
      </c>
      <c r="D14" s="19">
        <v>0.84</v>
      </c>
      <c r="E14" s="19">
        <v>0.83699999999999997</v>
      </c>
      <c r="F14" s="19">
        <v>0.83599999999999997</v>
      </c>
      <c r="G14" s="16">
        <f t="shared" si="0"/>
        <v>27.898973077990565</v>
      </c>
      <c r="H14" s="19">
        <f t="shared" si="1"/>
        <v>6.933109073992122E-2</v>
      </c>
    </row>
    <row r="15" spans="1:8">
      <c r="A15" s="68">
        <v>7</v>
      </c>
      <c r="B15" s="66">
        <v>10</v>
      </c>
      <c r="C15" s="16">
        <v>2</v>
      </c>
      <c r="D15" s="19">
        <v>0.79700000000000004</v>
      </c>
      <c r="E15" s="19">
        <v>0.81</v>
      </c>
      <c r="F15" s="19">
        <v>0.82</v>
      </c>
      <c r="G15" s="16">
        <f t="shared" si="0"/>
        <v>26.944213155703583</v>
      </c>
      <c r="H15" s="19">
        <f t="shared" si="1"/>
        <v>0.3840986709299169</v>
      </c>
    </row>
    <row r="16" spans="1:8">
      <c r="A16" s="68">
        <v>8</v>
      </c>
      <c r="B16" s="66">
        <v>11.333333333333334</v>
      </c>
      <c r="C16" s="16">
        <v>2</v>
      </c>
      <c r="D16" s="19">
        <v>0.79900000000000004</v>
      </c>
      <c r="E16" s="19">
        <v>0.80200000000000005</v>
      </c>
      <c r="F16" s="19">
        <v>0.81</v>
      </c>
      <c r="G16" s="16">
        <f t="shared" si="0"/>
        <v>26.766583402719956</v>
      </c>
      <c r="H16" s="19">
        <f t="shared" si="1"/>
        <v>0.18938353715494863</v>
      </c>
    </row>
    <row r="17" spans="1:8">
      <c r="A17" s="68">
        <v>9</v>
      </c>
      <c r="B17" s="66">
        <v>12.666666666666666</v>
      </c>
      <c r="C17" s="16">
        <v>2</v>
      </c>
      <c r="D17" s="19">
        <v>0.81</v>
      </c>
      <c r="E17" s="19">
        <v>0.80700000000000005</v>
      </c>
      <c r="F17" s="19">
        <v>0.80900000000000005</v>
      </c>
      <c r="G17" s="16">
        <f t="shared" si="0"/>
        <v>26.933111296142108</v>
      </c>
      <c r="H17" s="19">
        <f t="shared" si="1"/>
        <v>5.0875111795235566E-2</v>
      </c>
    </row>
    <row r="18" spans="1:8">
      <c r="A18" s="68">
        <v>10</v>
      </c>
      <c r="B18" s="66">
        <v>14</v>
      </c>
      <c r="C18" s="16">
        <v>2</v>
      </c>
      <c r="D18" s="19">
        <v>0.79700000000000004</v>
      </c>
      <c r="E18" s="19">
        <v>0.8</v>
      </c>
      <c r="F18" s="19">
        <v>0.80700000000000005</v>
      </c>
      <c r="G18" s="16">
        <f t="shared" ref="G18:G23" si="2">(C18*1000*AVERAGE(D18:F18))/$B$2</f>
        <v>26.688870385789624</v>
      </c>
      <c r="H18" s="19">
        <f t="shared" ref="H18:H23" si="3">(C18*1000*STDEV(D18:F18))/$B$2</f>
        <v>0.17091095551863081</v>
      </c>
    </row>
    <row r="19" spans="1:8">
      <c r="A19" s="68">
        <v>11</v>
      </c>
      <c r="B19" s="66">
        <v>15.333333333333334</v>
      </c>
      <c r="C19" s="16">
        <v>2</v>
      </c>
      <c r="D19" s="19">
        <v>0.80200000000000005</v>
      </c>
      <c r="E19" s="19">
        <v>0.79700000000000004</v>
      </c>
      <c r="F19" s="19">
        <v>0.81899999999999995</v>
      </c>
      <c r="G19" s="16">
        <f t="shared" si="2"/>
        <v>26.844296419650291</v>
      </c>
      <c r="H19" s="19">
        <f t="shared" si="3"/>
        <v>0.38409867092991651</v>
      </c>
    </row>
    <row r="20" spans="1:8">
      <c r="A20" s="68">
        <v>12</v>
      </c>
      <c r="B20" s="66">
        <v>16.666666666666668</v>
      </c>
      <c r="C20" s="16">
        <v>2</v>
      </c>
      <c r="D20" s="19">
        <v>0.79500000000000004</v>
      </c>
      <c r="E20" s="19">
        <v>0.81</v>
      </c>
      <c r="F20" s="19">
        <v>0.81399999999999995</v>
      </c>
      <c r="G20" s="16">
        <f t="shared" si="2"/>
        <v>26.855398279211769</v>
      </c>
      <c r="H20" s="19">
        <f t="shared" si="3"/>
        <v>0.33361041801424751</v>
      </c>
    </row>
    <row r="21" spans="1:8">
      <c r="A21" s="68">
        <v>13</v>
      </c>
      <c r="B21" s="66">
        <v>18</v>
      </c>
      <c r="C21" s="16">
        <v>2</v>
      </c>
      <c r="D21" s="19">
        <v>0.78400000000000003</v>
      </c>
      <c r="E21" s="19">
        <v>0.79600000000000004</v>
      </c>
      <c r="F21" s="19">
        <v>0.81699999999999995</v>
      </c>
      <c r="G21" s="16">
        <f t="shared" si="2"/>
        <v>26.611157368859285</v>
      </c>
      <c r="H21" s="19">
        <f t="shared" si="3"/>
        <v>0.5563128422477942</v>
      </c>
    </row>
    <row r="22" spans="1:8">
      <c r="A22" s="68">
        <v>14</v>
      </c>
      <c r="B22" s="66">
        <v>24</v>
      </c>
      <c r="C22" s="16">
        <v>2</v>
      </c>
      <c r="D22" s="19">
        <v>0.77800000000000002</v>
      </c>
      <c r="E22" s="19">
        <v>0.77900000000000003</v>
      </c>
      <c r="F22" s="19">
        <v>0.78800000000000003</v>
      </c>
      <c r="G22" s="16">
        <f t="shared" si="2"/>
        <v>26.033860671662502</v>
      </c>
      <c r="H22" s="19">
        <f t="shared" si="3"/>
        <v>0.18343282422268464</v>
      </c>
    </row>
    <row r="23" spans="1:8">
      <c r="A23" s="68">
        <v>15</v>
      </c>
      <c r="B23" s="66">
        <v>30</v>
      </c>
      <c r="C23" s="16">
        <v>2</v>
      </c>
      <c r="D23" s="19">
        <v>0.79500000000000004</v>
      </c>
      <c r="E23" s="19">
        <v>0.81599999999999995</v>
      </c>
      <c r="F23" s="19">
        <v>0.82099999999999995</v>
      </c>
      <c r="G23" s="16">
        <f t="shared" si="2"/>
        <v>26.999722453510962</v>
      </c>
      <c r="H23" s="19">
        <f t="shared" si="3"/>
        <v>0.45948825060393678</v>
      </c>
    </row>
    <row r="24" spans="1:8">
      <c r="A24" s="68">
        <v>16</v>
      </c>
      <c r="B24" s="66">
        <v>48</v>
      </c>
      <c r="C24" s="16">
        <v>2</v>
      </c>
      <c r="D24" s="19">
        <v>0.75800000000000001</v>
      </c>
      <c r="E24" s="19">
        <v>0.77400000000000002</v>
      </c>
      <c r="F24" s="19">
        <v>0.77100000000000002</v>
      </c>
      <c r="G24" s="16">
        <f t="shared" ref="G24" si="4">(C24*1000*AVERAGE(D24:F24))/$B$2</f>
        <v>25.567582570080489</v>
      </c>
      <c r="H24" s="19">
        <f t="shared" ref="H24" si="5">(C24*1000*STDEV(D24:F24))/$B$2</f>
        <v>0.28326063440850591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67</v>
      </c>
      <c r="B2" s="17">
        <v>74.08</v>
      </c>
    </row>
    <row r="4" spans="1:8">
      <c r="A4" s="157" t="s">
        <v>67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8" t="s">
        <v>4</v>
      </c>
      <c r="B6" s="28" t="s">
        <v>60</v>
      </c>
      <c r="C6" s="28" t="s">
        <v>19</v>
      </c>
      <c r="D6" s="162"/>
      <c r="E6" s="162"/>
      <c r="F6" s="162"/>
      <c r="G6" s="164"/>
      <c r="H6" s="164"/>
    </row>
    <row r="7" spans="1:8">
      <c r="A7" s="67">
        <v>0</v>
      </c>
      <c r="B7" s="64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68">
        <v>0</v>
      </c>
      <c r="B8" s="66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8">
        <v>1</v>
      </c>
      <c r="B9" s="66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8">
        <v>2</v>
      </c>
      <c r="B10" s="66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8">
        <v>3</v>
      </c>
      <c r="B11" s="66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8">
        <v>4</v>
      </c>
      <c r="B12" s="66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8">
        <v>5</v>
      </c>
      <c r="B13" s="66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8">
        <v>6</v>
      </c>
      <c r="B14" s="66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8">
        <v>7</v>
      </c>
      <c r="B15" s="66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8">
        <v>8</v>
      </c>
      <c r="B16" s="66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8">
        <v>9</v>
      </c>
      <c r="B17" s="66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8">
        <v>10</v>
      </c>
      <c r="B18" s="66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8">
        <v>11</v>
      </c>
      <c r="B19" s="66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8">
        <v>12</v>
      </c>
      <c r="B20" s="66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8">
        <v>13</v>
      </c>
      <c r="B21" s="66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8">
        <v>14</v>
      </c>
      <c r="B22" s="66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8">
        <v>15</v>
      </c>
      <c r="B23" s="66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8">
        <v>16</v>
      </c>
      <c r="B24" s="66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2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66</v>
      </c>
      <c r="B2" s="17">
        <v>88.11</v>
      </c>
    </row>
    <row r="4" spans="1:8">
      <c r="A4" s="157" t="s">
        <v>66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8" t="s">
        <v>4</v>
      </c>
      <c r="B6" s="28" t="s">
        <v>60</v>
      </c>
      <c r="C6" s="28" t="s">
        <v>19</v>
      </c>
      <c r="D6" s="162"/>
      <c r="E6" s="162"/>
      <c r="F6" s="162"/>
      <c r="G6" s="164"/>
      <c r="H6" s="164"/>
    </row>
    <row r="7" spans="1:8">
      <c r="A7" s="67">
        <v>0</v>
      </c>
      <c r="B7" s="64">
        <v>-0.16666666666666666</v>
      </c>
      <c r="C7" s="16">
        <v>2</v>
      </c>
      <c r="D7" s="80">
        <v>0</v>
      </c>
      <c r="E7" s="81">
        <v>0</v>
      </c>
      <c r="F7" s="81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8">
        <v>0</v>
      </c>
      <c r="B8" s="66">
        <v>0.16666666666666666</v>
      </c>
      <c r="C8" s="16">
        <v>2</v>
      </c>
      <c r="D8" s="56">
        <v>0.10100000000000001</v>
      </c>
      <c r="E8" s="57">
        <v>9.2999999999999999E-2</v>
      </c>
      <c r="F8" s="57">
        <v>9.7000000000000003E-2</v>
      </c>
      <c r="G8" s="16">
        <f>(C8*1000*AVERAGE(D8:F8))/$B$2</f>
        <v>2.2017932130291684</v>
      </c>
      <c r="H8" s="19">
        <f t="shared" ref="H8:H17" si="0">(C8*1000*STDEV(D8:F8))/$B$2</f>
        <v>9.0795596413574028E-2</v>
      </c>
    </row>
    <row r="9" spans="1:8">
      <c r="A9" s="68">
        <v>1</v>
      </c>
      <c r="B9" s="66">
        <v>2</v>
      </c>
      <c r="C9" s="16">
        <v>2</v>
      </c>
      <c r="D9" s="56">
        <v>0.23799999999999999</v>
      </c>
      <c r="E9" s="57">
        <v>0.23300000000000001</v>
      </c>
      <c r="F9" s="57">
        <v>0.23899999999999999</v>
      </c>
      <c r="G9" s="16">
        <f t="shared" ref="G9:G17" si="1">(C9*1000*AVERAGE(D9:F9))/$B$2</f>
        <v>5.3720727878031251</v>
      </c>
      <c r="H9" s="19">
        <f t="shared" si="0"/>
        <v>7.2966751870713997E-2</v>
      </c>
    </row>
    <row r="10" spans="1:8">
      <c r="A10" s="68">
        <v>2</v>
      </c>
      <c r="B10" s="66">
        <v>3.3333333333333335</v>
      </c>
      <c r="C10" s="16">
        <v>2</v>
      </c>
      <c r="D10" s="58">
        <v>0.48699999999999999</v>
      </c>
      <c r="E10" s="58">
        <v>0.48899999999999999</v>
      </c>
      <c r="F10" s="58">
        <v>0.48799999999999999</v>
      </c>
      <c r="G10" s="16">
        <f t="shared" si="1"/>
        <v>11.077062762456022</v>
      </c>
      <c r="H10" s="19">
        <f t="shared" si="0"/>
        <v>2.2698899103393507E-2</v>
      </c>
    </row>
    <row r="11" spans="1:8">
      <c r="A11" s="68">
        <v>3</v>
      </c>
      <c r="B11" s="66">
        <v>4.666666666666667</v>
      </c>
      <c r="C11" s="16">
        <v>2</v>
      </c>
      <c r="D11" s="58">
        <v>0.87</v>
      </c>
      <c r="E11" s="58">
        <v>0.84299999999999997</v>
      </c>
      <c r="F11" s="58">
        <v>0.85399999999999998</v>
      </c>
      <c r="G11" s="16">
        <f t="shared" si="1"/>
        <v>19.422691332803694</v>
      </c>
      <c r="H11" s="19">
        <f t="shared" si="0"/>
        <v>0.30818161925496645</v>
      </c>
    </row>
    <row r="12" spans="1:8">
      <c r="A12" s="68">
        <v>4</v>
      </c>
      <c r="B12" s="66">
        <v>6</v>
      </c>
      <c r="C12" s="16">
        <v>2</v>
      </c>
      <c r="D12" s="58">
        <v>1.214</v>
      </c>
      <c r="E12" s="58">
        <v>1.198</v>
      </c>
      <c r="F12" s="58">
        <v>1.2450000000000001</v>
      </c>
      <c r="G12" s="16">
        <f t="shared" si="1"/>
        <v>27.669958007036659</v>
      </c>
      <c r="H12" s="19">
        <f t="shared" si="0"/>
        <v>0.5424039562069487</v>
      </c>
    </row>
    <row r="13" spans="1:8">
      <c r="A13" s="68">
        <v>5</v>
      </c>
      <c r="B13" s="66">
        <v>7.333333333333333</v>
      </c>
      <c r="C13" s="16">
        <v>2</v>
      </c>
      <c r="D13" s="58">
        <v>1.6459999999999999</v>
      </c>
      <c r="E13" s="58">
        <v>1.641</v>
      </c>
      <c r="F13" s="58">
        <v>1.639</v>
      </c>
      <c r="G13" s="16">
        <f t="shared" si="1"/>
        <v>37.271592327772112</v>
      </c>
      <c r="H13" s="19">
        <f t="shared" si="0"/>
        <v>8.184204461386746E-2</v>
      </c>
    </row>
    <row r="14" spans="1:8">
      <c r="A14" s="68">
        <v>6</v>
      </c>
      <c r="B14" s="66">
        <v>8.6666666666666661</v>
      </c>
      <c r="C14" s="16">
        <v>2</v>
      </c>
      <c r="D14" s="58">
        <v>2.052</v>
      </c>
      <c r="E14" s="58">
        <v>2.0659999999999998</v>
      </c>
      <c r="F14" s="58">
        <v>2.0430000000000001</v>
      </c>
      <c r="G14" s="16">
        <f t="shared" si="1"/>
        <v>46.615972458669098</v>
      </c>
      <c r="H14" s="19">
        <f t="shared" si="0"/>
        <v>0.26308536527391474</v>
      </c>
    </row>
    <row r="15" spans="1:8">
      <c r="A15" s="68">
        <v>7</v>
      </c>
      <c r="B15" s="66">
        <v>10</v>
      </c>
      <c r="C15" s="16">
        <v>2</v>
      </c>
      <c r="D15" s="58">
        <v>2.2040000000000002</v>
      </c>
      <c r="E15" s="58">
        <v>2.23</v>
      </c>
      <c r="F15" s="58">
        <v>2.2389999999999999</v>
      </c>
      <c r="G15" s="16">
        <f t="shared" si="1"/>
        <v>50.489917905648248</v>
      </c>
      <c r="H15" s="19">
        <f t="shared" si="0"/>
        <v>0.41255418243000708</v>
      </c>
    </row>
    <row r="16" spans="1:8">
      <c r="A16" s="68">
        <v>8</v>
      </c>
      <c r="B16" s="66">
        <v>11.333333333333334</v>
      </c>
      <c r="C16" s="16">
        <v>2</v>
      </c>
      <c r="D16" s="58">
        <v>2.194</v>
      </c>
      <c r="E16" s="58">
        <v>2.194</v>
      </c>
      <c r="F16" s="58">
        <v>2.2250000000000001</v>
      </c>
      <c r="G16" s="16">
        <f t="shared" si="1"/>
        <v>50.035939923580365</v>
      </c>
      <c r="H16" s="19">
        <f t="shared" si="0"/>
        <v>0.40626168073722574</v>
      </c>
    </row>
    <row r="17" spans="1:8">
      <c r="A17" s="68">
        <v>9</v>
      </c>
      <c r="B17" s="66">
        <v>12.666666666666666</v>
      </c>
      <c r="C17" s="16">
        <v>2</v>
      </c>
      <c r="D17" s="58">
        <v>2.1989999999999998</v>
      </c>
      <c r="E17" s="58">
        <v>2.222</v>
      </c>
      <c r="F17" s="58">
        <v>2.2210000000000001</v>
      </c>
      <c r="G17" s="16">
        <f t="shared" si="1"/>
        <v>50.255362614913174</v>
      </c>
      <c r="H17" s="19">
        <f t="shared" si="0"/>
        <v>0.29508568834411769</v>
      </c>
    </row>
    <row r="18" spans="1:8">
      <c r="A18" s="68">
        <v>10</v>
      </c>
      <c r="B18" s="66">
        <v>14</v>
      </c>
      <c r="C18" s="16">
        <v>2</v>
      </c>
      <c r="D18" s="58">
        <v>2.1970000000000001</v>
      </c>
      <c r="E18" s="58">
        <v>2.2130000000000001</v>
      </c>
      <c r="F18" s="58">
        <v>2.2349999999999999</v>
      </c>
      <c r="G18" s="16">
        <f t="shared" ref="G18:G23" si="2">(C18*1000*AVERAGE(D18:F18))/$B$2</f>
        <v>50.278061514016571</v>
      </c>
      <c r="H18" s="19">
        <f t="shared" ref="H18:H23" si="3">(C18*1000*STDEV(D18:F18))/$B$2</f>
        <v>0.43306739367469793</v>
      </c>
    </row>
    <row r="19" spans="1:8">
      <c r="A19" s="68">
        <v>11</v>
      </c>
      <c r="B19" s="66">
        <v>15.333333333333334</v>
      </c>
      <c r="C19" s="16">
        <v>2</v>
      </c>
      <c r="D19" s="58">
        <v>2.2200000000000002</v>
      </c>
      <c r="E19" s="58">
        <v>2.177</v>
      </c>
      <c r="F19" s="58">
        <v>2.2570000000000001</v>
      </c>
      <c r="G19" s="16">
        <f t="shared" si="2"/>
        <v>50.346158211326753</v>
      </c>
      <c r="H19" s="19">
        <f t="shared" si="3"/>
        <v>0.90880677422166023</v>
      </c>
    </row>
    <row r="20" spans="1:8">
      <c r="A20" s="68">
        <v>12</v>
      </c>
      <c r="B20" s="66">
        <v>16.666666666666668</v>
      </c>
      <c r="C20" s="16">
        <v>2</v>
      </c>
      <c r="D20" s="58">
        <v>2.222</v>
      </c>
      <c r="E20" s="58">
        <v>2.2570000000000001</v>
      </c>
      <c r="F20" s="58">
        <v>2.2890000000000001</v>
      </c>
      <c r="G20" s="16">
        <f t="shared" si="2"/>
        <v>51.208716377255705</v>
      </c>
      <c r="H20" s="19">
        <f t="shared" si="3"/>
        <v>0.76066716967954084</v>
      </c>
    </row>
    <row r="21" spans="1:8">
      <c r="A21" s="68">
        <v>13</v>
      </c>
      <c r="B21" s="66">
        <v>18</v>
      </c>
      <c r="C21" s="16">
        <v>2</v>
      </c>
      <c r="D21" s="58">
        <v>2.2290000000000001</v>
      </c>
      <c r="E21" s="58">
        <v>2.2480000000000002</v>
      </c>
      <c r="F21" s="58">
        <v>2.2970000000000002</v>
      </c>
      <c r="G21" s="16">
        <f t="shared" si="2"/>
        <v>51.254114175462497</v>
      </c>
      <c r="H21" s="19">
        <f t="shared" si="3"/>
        <v>0.79640471196680696</v>
      </c>
    </row>
    <row r="22" spans="1:8">
      <c r="A22" s="68">
        <v>14</v>
      </c>
      <c r="B22" s="66">
        <v>24</v>
      </c>
      <c r="C22" s="16">
        <v>2</v>
      </c>
      <c r="D22" s="58">
        <v>2.2490000000000001</v>
      </c>
      <c r="E22" s="58">
        <v>2.2749999999999999</v>
      </c>
      <c r="F22" s="58">
        <v>2.294</v>
      </c>
      <c r="G22" s="16">
        <f t="shared" si="2"/>
        <v>51.58703136231226</v>
      </c>
      <c r="H22" s="19">
        <f t="shared" si="3"/>
        <v>0.51278080807649196</v>
      </c>
    </row>
    <row r="23" spans="1:8">
      <c r="A23" s="68">
        <v>15</v>
      </c>
      <c r="B23" s="66">
        <v>30</v>
      </c>
      <c r="C23" s="16">
        <v>2</v>
      </c>
      <c r="D23" s="58">
        <v>2.359</v>
      </c>
      <c r="E23" s="58">
        <v>2.3889999999999998</v>
      </c>
      <c r="F23" s="58">
        <v>2.423</v>
      </c>
      <c r="G23" s="16">
        <f t="shared" si="2"/>
        <v>54.257935156811556</v>
      </c>
      <c r="H23" s="19">
        <f t="shared" si="3"/>
        <v>0.72683751120328932</v>
      </c>
    </row>
    <row r="24" spans="1:8">
      <c r="A24" s="68">
        <v>16</v>
      </c>
      <c r="B24" s="66">
        <v>48</v>
      </c>
      <c r="C24" s="16">
        <v>2</v>
      </c>
      <c r="D24" s="58">
        <v>2.2679999999999998</v>
      </c>
      <c r="E24" s="58">
        <v>2.3159999999999998</v>
      </c>
      <c r="F24" s="58">
        <v>2.323</v>
      </c>
      <c r="G24" s="16">
        <f t="shared" ref="G24" si="4">(C24*1000*AVERAGE(D24:F24))/$B$2</f>
        <v>52.260432035712938</v>
      </c>
      <c r="H24" s="19">
        <f t="shared" ref="H24" si="5">(C24*1000*STDEV(D24:F24))/$B$2</f>
        <v>0.67957840242823619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4" sqref="A4:D20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30" t="s">
        <v>4</v>
      </c>
      <c r="B1" s="130" t="s">
        <v>117</v>
      </c>
      <c r="C1" s="130" t="s">
        <v>117</v>
      </c>
      <c r="D1" s="130" t="s">
        <v>5</v>
      </c>
      <c r="E1" s="4" t="s">
        <v>7</v>
      </c>
      <c r="F1" s="4" t="s">
        <v>9</v>
      </c>
      <c r="G1" s="129" t="s">
        <v>11</v>
      </c>
      <c r="H1" s="129" t="s">
        <v>12</v>
      </c>
      <c r="I1" s="4" t="s">
        <v>13</v>
      </c>
      <c r="J1" s="4" t="s">
        <v>16</v>
      </c>
      <c r="K1" s="4" t="s">
        <v>16</v>
      </c>
    </row>
    <row r="2" spans="1:11">
      <c r="A2" s="131"/>
      <c r="B2" s="131"/>
      <c r="C2" s="131"/>
      <c r="D2" s="131"/>
      <c r="E2" s="5" t="s">
        <v>8</v>
      </c>
      <c r="F2" s="5" t="s">
        <v>10</v>
      </c>
      <c r="G2" s="129"/>
      <c r="H2" s="129"/>
      <c r="I2" s="5" t="s">
        <v>14</v>
      </c>
      <c r="J2" s="5" t="s">
        <v>17</v>
      </c>
      <c r="K2" s="5" t="s">
        <v>143</v>
      </c>
    </row>
    <row r="3" spans="1:11">
      <c r="A3" s="33" t="s">
        <v>6</v>
      </c>
      <c r="B3" s="32">
        <v>-10</v>
      </c>
      <c r="C3" s="32">
        <f>B3</f>
        <v>-10</v>
      </c>
      <c r="D3" s="13">
        <f>C3/60</f>
        <v>-0.16666666666666666</v>
      </c>
      <c r="E3" s="3">
        <v>64</v>
      </c>
      <c r="F3" s="1">
        <f>E3</f>
        <v>64</v>
      </c>
      <c r="G3" s="1">
        <v>0</v>
      </c>
      <c r="H3" s="1">
        <v>0</v>
      </c>
      <c r="I3" s="1">
        <f>$F$22+G3+H3</f>
        <v>1500</v>
      </c>
      <c r="J3" s="13">
        <f>F3*1500/I3</f>
        <v>64</v>
      </c>
      <c r="K3" s="13">
        <f>$F$23-J3</f>
        <v>1586</v>
      </c>
    </row>
    <row r="4" spans="1:11">
      <c r="A4" s="1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1">
        <v>52</v>
      </c>
      <c r="F4" s="1">
        <f>E4+F3</f>
        <v>116</v>
      </c>
      <c r="G4" s="40">
        <v>3</v>
      </c>
      <c r="H4" s="40">
        <v>0</v>
      </c>
      <c r="I4" s="1">
        <f t="shared" ref="I4:I20" si="1">$F$23-F3+G4+H4</f>
        <v>1589</v>
      </c>
      <c r="J4" s="13">
        <f>E4*K3/I4</f>
        <v>51.901825047199495</v>
      </c>
      <c r="K4" s="13">
        <f>K3-J4</f>
        <v>1534.0981749528005</v>
      </c>
    </row>
    <row r="5" spans="1:11">
      <c r="A5" s="1">
        <v>1</v>
      </c>
      <c r="B5" s="32">
        <v>110</v>
      </c>
      <c r="C5" s="32">
        <f>C4+B5</f>
        <v>120</v>
      </c>
      <c r="D5" s="13">
        <f t="shared" si="0"/>
        <v>2</v>
      </c>
      <c r="E5" s="1">
        <v>45</v>
      </c>
      <c r="F5" s="1">
        <f t="shared" ref="F5:F18" si="2">E5+F4</f>
        <v>161</v>
      </c>
      <c r="G5" s="40">
        <v>9</v>
      </c>
      <c r="H5" s="40">
        <v>0</v>
      </c>
      <c r="I5" s="40">
        <f>$F$23-F4+G5+H5</f>
        <v>1543</v>
      </c>
      <c r="J5" s="13">
        <f>E5*K4/I5</f>
        <v>44.740387474320165</v>
      </c>
      <c r="K5" s="13">
        <f>K4-J5</f>
        <v>1489.3577874784803</v>
      </c>
    </row>
    <row r="6" spans="1:11">
      <c r="A6" s="1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>
        <v>52</v>
      </c>
      <c r="F6" s="1">
        <f t="shared" si="2"/>
        <v>213</v>
      </c>
      <c r="G6" s="40">
        <v>19</v>
      </c>
      <c r="H6" s="40">
        <v>0</v>
      </c>
      <c r="I6" s="40">
        <f t="shared" si="1"/>
        <v>1508</v>
      </c>
      <c r="J6" s="13">
        <f>E6*K5/I6</f>
        <v>51.357165085464842</v>
      </c>
      <c r="K6" s="13">
        <f t="shared" ref="K6:K13" si="3">K5-J6</f>
        <v>1438.0006223930154</v>
      </c>
    </row>
    <row r="7" spans="1:11">
      <c r="A7" s="1">
        <v>3</v>
      </c>
      <c r="B7" s="32">
        <v>80</v>
      </c>
      <c r="C7" s="32">
        <f>C6+B7</f>
        <v>280</v>
      </c>
      <c r="D7" s="13">
        <f t="shared" si="0"/>
        <v>4.666666666666667</v>
      </c>
      <c r="E7" s="1">
        <v>50</v>
      </c>
      <c r="F7" s="1">
        <f t="shared" si="2"/>
        <v>263</v>
      </c>
      <c r="G7" s="40">
        <v>31</v>
      </c>
      <c r="H7" s="40">
        <v>0</v>
      </c>
      <c r="I7" s="40">
        <f t="shared" si="1"/>
        <v>1468</v>
      </c>
      <c r="J7" s="13">
        <f>E7*K6/I7</f>
        <v>48.978222833549573</v>
      </c>
      <c r="K7" s="13">
        <f>K6-J7</f>
        <v>1389.0223995594658</v>
      </c>
    </row>
    <row r="8" spans="1:11">
      <c r="A8" s="1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1">
        <v>56</v>
      </c>
      <c r="F8" s="1">
        <f t="shared" si="2"/>
        <v>319</v>
      </c>
      <c r="G8" s="40">
        <v>43</v>
      </c>
      <c r="H8" s="40">
        <v>0</v>
      </c>
      <c r="I8" s="40">
        <f t="shared" si="1"/>
        <v>1430</v>
      </c>
      <c r="J8" s="13">
        <f t="shared" ref="J8:J13" si="5">E8*K7/I8</f>
        <v>54.39528277995111</v>
      </c>
      <c r="K8" s="13">
        <f t="shared" si="3"/>
        <v>1334.6271167795148</v>
      </c>
    </row>
    <row r="9" spans="1:11">
      <c r="A9" s="1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1">
        <v>51</v>
      </c>
      <c r="F9" s="1">
        <f t="shared" si="2"/>
        <v>370</v>
      </c>
      <c r="G9" s="40">
        <v>53</v>
      </c>
      <c r="H9" s="40">
        <v>0</v>
      </c>
      <c r="I9" s="40">
        <f t="shared" si="1"/>
        <v>1384</v>
      </c>
      <c r="J9" s="13">
        <f t="shared" si="5"/>
        <v>49.180623522944551</v>
      </c>
      <c r="K9" s="13">
        <f t="shared" si="3"/>
        <v>1285.4464932565702</v>
      </c>
    </row>
    <row r="10" spans="1:11">
      <c r="A10" s="1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1">
        <v>50</v>
      </c>
      <c r="F10" s="1">
        <f t="shared" si="2"/>
        <v>420</v>
      </c>
      <c r="G10" s="40">
        <v>63</v>
      </c>
      <c r="H10" s="40">
        <v>0</v>
      </c>
      <c r="I10" s="40">
        <f t="shared" si="1"/>
        <v>1343</v>
      </c>
      <c r="J10" s="13">
        <f t="shared" si="5"/>
        <v>47.857278229954218</v>
      </c>
      <c r="K10" s="13">
        <f t="shared" si="3"/>
        <v>1237.5892150266159</v>
      </c>
    </row>
    <row r="11" spans="1:11">
      <c r="A11" s="1">
        <v>7</v>
      </c>
      <c r="B11" s="32">
        <v>80</v>
      </c>
      <c r="C11" s="32">
        <f t="shared" si="4"/>
        <v>600</v>
      </c>
      <c r="D11" s="13">
        <f t="shared" si="0"/>
        <v>10</v>
      </c>
      <c r="E11" s="1">
        <v>47</v>
      </c>
      <c r="F11" s="1">
        <f t="shared" si="2"/>
        <v>467</v>
      </c>
      <c r="G11" s="40">
        <v>67</v>
      </c>
      <c r="H11" s="40">
        <v>1</v>
      </c>
      <c r="I11" s="40">
        <f t="shared" si="1"/>
        <v>1298</v>
      </c>
      <c r="J11" s="13">
        <f t="shared" si="5"/>
        <v>44.812552470147111</v>
      </c>
      <c r="K11" s="13">
        <f t="shared" si="3"/>
        <v>1192.7766625564689</v>
      </c>
    </row>
    <row r="12" spans="1:11">
      <c r="A12" s="1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1">
        <v>51</v>
      </c>
      <c r="F12" s="1">
        <f t="shared" si="2"/>
        <v>518</v>
      </c>
      <c r="G12" s="40">
        <v>67</v>
      </c>
      <c r="H12" s="40">
        <v>4</v>
      </c>
      <c r="I12" s="40">
        <f t="shared" si="1"/>
        <v>1254</v>
      </c>
      <c r="J12" s="13">
        <f t="shared" si="5"/>
        <v>48.510055654210454</v>
      </c>
      <c r="K12" s="13">
        <f t="shared" si="3"/>
        <v>1144.2666069022584</v>
      </c>
    </row>
    <row r="13" spans="1:11">
      <c r="A13" s="1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1">
        <v>54</v>
      </c>
      <c r="F13" s="1">
        <f t="shared" si="2"/>
        <v>572</v>
      </c>
      <c r="G13" s="40">
        <v>67</v>
      </c>
      <c r="H13" s="40">
        <v>6</v>
      </c>
      <c r="I13" s="40">
        <f t="shared" si="1"/>
        <v>1205</v>
      </c>
      <c r="J13" s="13">
        <f t="shared" si="5"/>
        <v>51.278337570723615</v>
      </c>
      <c r="K13" s="13">
        <f t="shared" si="3"/>
        <v>1092.9882693315349</v>
      </c>
    </row>
    <row r="14" spans="1:11">
      <c r="A14" s="37">
        <v>10</v>
      </c>
      <c r="B14" s="32">
        <v>80</v>
      </c>
      <c r="C14" s="32">
        <f t="shared" si="4"/>
        <v>840</v>
      </c>
      <c r="D14" s="13">
        <f t="shared" si="0"/>
        <v>14</v>
      </c>
      <c r="E14" s="3">
        <v>52</v>
      </c>
      <c r="F14" s="37">
        <f t="shared" si="2"/>
        <v>624</v>
      </c>
      <c r="G14" s="40">
        <v>67</v>
      </c>
      <c r="H14" s="40">
        <v>7</v>
      </c>
      <c r="I14" s="40">
        <f t="shared" si="1"/>
        <v>1152</v>
      </c>
      <c r="J14" s="13">
        <f t="shared" ref="J14:J19" si="6">E14*K13/I14</f>
        <v>49.336276046215112</v>
      </c>
      <c r="K14" s="13">
        <f t="shared" ref="K14:K19" si="7">K13-J14</f>
        <v>1043.6519932853198</v>
      </c>
    </row>
    <row r="15" spans="1:11">
      <c r="A15" s="37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82">
        <v>41</v>
      </c>
      <c r="F15" s="37">
        <f t="shared" si="2"/>
        <v>665</v>
      </c>
      <c r="G15" s="40">
        <v>67</v>
      </c>
      <c r="H15" s="40">
        <v>7</v>
      </c>
      <c r="I15" s="40">
        <f t="shared" si="1"/>
        <v>1100</v>
      </c>
      <c r="J15" s="13">
        <f t="shared" si="6"/>
        <v>38.899756113361917</v>
      </c>
      <c r="K15" s="13">
        <f t="shared" si="7"/>
        <v>1004.7522371719579</v>
      </c>
    </row>
    <row r="16" spans="1:11">
      <c r="A16" s="37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37">
        <v>51</v>
      </c>
      <c r="F16" s="37">
        <f t="shared" si="2"/>
        <v>716</v>
      </c>
      <c r="G16" s="40">
        <v>67</v>
      </c>
      <c r="H16" s="40">
        <v>9</v>
      </c>
      <c r="I16" s="40">
        <f t="shared" si="1"/>
        <v>1061</v>
      </c>
      <c r="J16" s="13">
        <f t="shared" si="6"/>
        <v>48.296290382440951</v>
      </c>
      <c r="K16" s="13">
        <f t="shared" si="7"/>
        <v>956.45594678951693</v>
      </c>
    </row>
    <row r="17" spans="1:11">
      <c r="A17" s="37">
        <v>13</v>
      </c>
      <c r="B17" s="32">
        <v>80</v>
      </c>
      <c r="C17" s="32">
        <f t="shared" si="4"/>
        <v>1080</v>
      </c>
      <c r="D17" s="13">
        <f t="shared" si="0"/>
        <v>18</v>
      </c>
      <c r="E17" s="37">
        <v>54</v>
      </c>
      <c r="F17" s="37">
        <f t="shared" si="2"/>
        <v>770</v>
      </c>
      <c r="G17" s="40">
        <v>67</v>
      </c>
      <c r="H17" s="40">
        <v>10</v>
      </c>
      <c r="I17" s="40">
        <f t="shared" si="1"/>
        <v>1011</v>
      </c>
      <c r="J17" s="13">
        <f t="shared" si="6"/>
        <v>51.086667781042451</v>
      </c>
      <c r="K17" s="13">
        <f t="shared" si="7"/>
        <v>905.36927900847445</v>
      </c>
    </row>
    <row r="18" spans="1:11">
      <c r="A18" s="37">
        <v>14</v>
      </c>
      <c r="B18" s="32">
        <v>360</v>
      </c>
      <c r="C18" s="32">
        <f t="shared" si="4"/>
        <v>1440</v>
      </c>
      <c r="D18" s="13">
        <f t="shared" si="0"/>
        <v>24</v>
      </c>
      <c r="E18" s="37">
        <v>54</v>
      </c>
      <c r="F18" s="37">
        <f t="shared" si="2"/>
        <v>824</v>
      </c>
      <c r="G18" s="40">
        <v>67</v>
      </c>
      <c r="H18" s="40">
        <v>10</v>
      </c>
      <c r="I18" s="40">
        <f t="shared" si="1"/>
        <v>957</v>
      </c>
      <c r="J18" s="13">
        <f t="shared" si="6"/>
        <v>51.086667781042443</v>
      </c>
      <c r="K18" s="13">
        <f t="shared" si="7"/>
        <v>854.28261122743197</v>
      </c>
    </row>
    <row r="19" spans="1:11">
      <c r="A19" s="37">
        <v>15</v>
      </c>
      <c r="B19" s="32">
        <v>360</v>
      </c>
      <c r="C19" s="32">
        <f>C18+B19</f>
        <v>1800</v>
      </c>
      <c r="D19" s="13">
        <f t="shared" si="0"/>
        <v>30</v>
      </c>
      <c r="E19" s="37">
        <v>54</v>
      </c>
      <c r="F19" s="37">
        <f>E19+F18</f>
        <v>878</v>
      </c>
      <c r="G19" s="40">
        <v>67</v>
      </c>
      <c r="H19" s="40">
        <v>10</v>
      </c>
      <c r="I19" s="40">
        <f t="shared" si="1"/>
        <v>903</v>
      </c>
      <c r="J19" s="13">
        <f t="shared" si="6"/>
        <v>51.086667781042443</v>
      </c>
      <c r="K19" s="13">
        <f t="shared" si="7"/>
        <v>803.19594344638949</v>
      </c>
    </row>
    <row r="20" spans="1:11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40">
        <v>63</v>
      </c>
      <c r="F20" s="40">
        <f t="shared" ref="F20" si="8">E20+F19</f>
        <v>941</v>
      </c>
      <c r="G20" s="40">
        <v>67</v>
      </c>
      <c r="H20" s="40">
        <v>11</v>
      </c>
      <c r="I20" s="40">
        <f t="shared" si="1"/>
        <v>850</v>
      </c>
      <c r="J20" s="13">
        <f t="shared" ref="J20" si="9">E20*K19/I20</f>
        <v>59.530993455438285</v>
      </c>
      <c r="K20" s="13">
        <f t="shared" ref="K20" si="10">K19-J20</f>
        <v>743.66494999095119</v>
      </c>
    </row>
    <row r="22" spans="1:11">
      <c r="A22" s="126" t="s">
        <v>15</v>
      </c>
      <c r="B22" s="127"/>
      <c r="C22" s="127"/>
      <c r="D22" s="127"/>
      <c r="E22" s="128"/>
      <c r="F22" s="1">
        <v>1500</v>
      </c>
    </row>
    <row r="23" spans="1:11">
      <c r="A23" s="126" t="s">
        <v>15</v>
      </c>
      <c r="B23" s="127"/>
      <c r="C23" s="127"/>
      <c r="D23" s="127"/>
      <c r="E23" s="128"/>
      <c r="F23" s="40">
        <v>1650</v>
      </c>
    </row>
  </sheetData>
  <mergeCells count="8">
    <mergeCell ref="A23:E23"/>
    <mergeCell ref="A1:A2"/>
    <mergeCell ref="D1:D2"/>
    <mergeCell ref="G1:G2"/>
    <mergeCell ref="H1:H2"/>
    <mergeCell ref="A22:E22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57" t="s">
        <v>42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2" t="s">
        <v>4</v>
      </c>
      <c r="B6" s="22" t="s">
        <v>60</v>
      </c>
      <c r="C6" s="22" t="s">
        <v>19</v>
      </c>
      <c r="D6" s="162"/>
      <c r="E6" s="162"/>
      <c r="F6" s="162"/>
      <c r="G6" s="164"/>
      <c r="H6" s="164"/>
    </row>
    <row r="7" spans="1:8">
      <c r="A7" s="67">
        <v>0</v>
      </c>
      <c r="B7" s="64">
        <v>-0.16666666666666666</v>
      </c>
      <c r="C7" s="16">
        <v>2</v>
      </c>
      <c r="D7" s="42">
        <v>2.8000000000000001E-2</v>
      </c>
      <c r="E7" s="42">
        <v>0.03</v>
      </c>
      <c r="F7" s="42">
        <v>2.9000000000000001E-2</v>
      </c>
      <c r="G7" s="16">
        <f>(C7*1000*AVERAGE(D7:F7))/$B$2</f>
        <v>0.64387211367673169</v>
      </c>
      <c r="H7" s="19">
        <f>(C7*1000*STDEV(D7:F7))/$B$2</f>
        <v>2.2202486678507972E-2</v>
      </c>
    </row>
    <row r="8" spans="1:8">
      <c r="A8" s="68">
        <v>0</v>
      </c>
      <c r="B8" s="66">
        <v>0.16666666666666666</v>
      </c>
      <c r="C8" s="16">
        <v>2</v>
      </c>
      <c r="D8" s="42">
        <v>6.8000000000000005E-2</v>
      </c>
      <c r="E8" s="42">
        <v>6.7000000000000004E-2</v>
      </c>
      <c r="F8" s="42">
        <v>6.6000000000000003E-2</v>
      </c>
      <c r="G8" s="16">
        <f t="shared" ref="G8:G23" si="0">(C8*1000*AVERAGE(D8:F8))/$B$2</f>
        <v>1.4875666074600356</v>
      </c>
      <c r="H8" s="19">
        <f t="shared" ref="H8:H23" si="1">(C8*1000*STDEV(D8:F8))/$B$2</f>
        <v>2.2202486678508014E-2</v>
      </c>
    </row>
    <row r="9" spans="1:8">
      <c r="A9" s="68">
        <v>1</v>
      </c>
      <c r="B9" s="66">
        <v>2</v>
      </c>
      <c r="C9" s="16">
        <v>2</v>
      </c>
      <c r="D9" s="42">
        <v>7.1999999999999995E-2</v>
      </c>
      <c r="E9" s="42">
        <v>7.0000000000000007E-2</v>
      </c>
      <c r="F9" s="42">
        <v>7.1999999999999995E-2</v>
      </c>
      <c r="G9" s="16">
        <f t="shared" si="0"/>
        <v>1.5837773830669037</v>
      </c>
      <c r="H9" s="19">
        <f t="shared" si="1"/>
        <v>2.5637223321031181E-2</v>
      </c>
    </row>
    <row r="10" spans="1:8">
      <c r="A10" s="68">
        <v>2</v>
      </c>
      <c r="B10" s="66">
        <v>3.3333333333333335</v>
      </c>
      <c r="C10" s="16">
        <v>2</v>
      </c>
      <c r="D10" s="55">
        <v>7.1999999999999995E-2</v>
      </c>
      <c r="E10" s="55">
        <v>7.3999999999999996E-2</v>
      </c>
      <c r="F10" s="55">
        <v>7.2999999999999995E-2</v>
      </c>
      <c r="G10" s="16">
        <f t="shared" si="0"/>
        <v>1.6207815275310835</v>
      </c>
      <c r="H10" s="19">
        <f t="shared" si="1"/>
        <v>2.2202486678508014E-2</v>
      </c>
    </row>
    <row r="11" spans="1:8">
      <c r="A11" s="68">
        <v>3</v>
      </c>
      <c r="B11" s="66">
        <v>4.666666666666667</v>
      </c>
      <c r="C11" s="16">
        <v>2</v>
      </c>
      <c r="D11" s="55">
        <v>0.105</v>
      </c>
      <c r="E11" s="55">
        <v>0.104</v>
      </c>
      <c r="F11" s="55">
        <v>0.104</v>
      </c>
      <c r="G11" s="16">
        <f t="shared" si="0"/>
        <v>2.3164594434576671</v>
      </c>
      <c r="H11" s="19">
        <f t="shared" si="1"/>
        <v>1.2818611660515681E-2</v>
      </c>
    </row>
    <row r="12" spans="1:8">
      <c r="A12" s="68">
        <v>4</v>
      </c>
      <c r="B12" s="66">
        <v>6</v>
      </c>
      <c r="C12" s="16">
        <v>2</v>
      </c>
      <c r="D12" s="55">
        <v>0.13500000000000001</v>
      </c>
      <c r="E12" s="55">
        <v>0.13700000000000001</v>
      </c>
      <c r="F12" s="55">
        <v>0.13900000000000001</v>
      </c>
      <c r="G12" s="16">
        <f t="shared" si="0"/>
        <v>3.0417406749555953</v>
      </c>
      <c r="H12" s="19">
        <f t="shared" si="1"/>
        <v>4.4404973357016028E-2</v>
      </c>
    </row>
    <row r="13" spans="1:8">
      <c r="A13" s="68">
        <v>5</v>
      </c>
      <c r="B13" s="66">
        <v>7.333333333333333</v>
      </c>
      <c r="C13" s="16">
        <v>2</v>
      </c>
      <c r="D13" s="55">
        <v>0.17499999999999999</v>
      </c>
      <c r="E13" s="55">
        <v>0.17599999999999999</v>
      </c>
      <c r="F13" s="55">
        <v>0.17499999999999999</v>
      </c>
      <c r="G13" s="16">
        <f t="shared" si="0"/>
        <v>3.8928359976317348</v>
      </c>
      <c r="H13" s="19">
        <f t="shared" si="1"/>
        <v>1.2818611660515681E-2</v>
      </c>
    </row>
    <row r="14" spans="1:8">
      <c r="A14" s="68">
        <v>6</v>
      </c>
      <c r="B14" s="66">
        <v>8.6666666666666661</v>
      </c>
      <c r="C14" s="16">
        <v>2</v>
      </c>
      <c r="D14" s="55">
        <v>0.249</v>
      </c>
      <c r="E14" s="55">
        <v>0.249</v>
      </c>
      <c r="F14" s="55">
        <v>0.249</v>
      </c>
      <c r="G14" s="16">
        <f t="shared" si="0"/>
        <v>5.5284191829484906</v>
      </c>
      <c r="H14" s="19">
        <f t="shared" si="1"/>
        <v>0</v>
      </c>
    </row>
    <row r="15" spans="1:8">
      <c r="A15" s="68">
        <v>7</v>
      </c>
      <c r="B15" s="66">
        <v>10</v>
      </c>
      <c r="C15" s="16">
        <v>2</v>
      </c>
      <c r="D15" s="55">
        <v>0.29899999999999999</v>
      </c>
      <c r="E15" s="55">
        <v>0.3</v>
      </c>
      <c r="F15" s="55">
        <v>0.30099999999999999</v>
      </c>
      <c r="G15" s="16">
        <f t="shared" si="0"/>
        <v>6.660746003552398</v>
      </c>
      <c r="H15" s="19">
        <f t="shared" si="1"/>
        <v>2.2202486678508014E-2</v>
      </c>
    </row>
    <row r="16" spans="1:8">
      <c r="A16" s="68">
        <v>8</v>
      </c>
      <c r="B16" s="66">
        <v>11.333333333333334</v>
      </c>
      <c r="C16" s="16">
        <v>2</v>
      </c>
      <c r="D16" s="55">
        <v>0.309</v>
      </c>
      <c r="E16" s="55">
        <v>0.308</v>
      </c>
      <c r="F16" s="55">
        <v>0.314</v>
      </c>
      <c r="G16" s="16">
        <f t="shared" si="0"/>
        <v>6.890171699230315</v>
      </c>
      <c r="H16" s="19">
        <f t="shared" si="1"/>
        <v>7.1371009184376596E-2</v>
      </c>
    </row>
    <row r="17" spans="1:8">
      <c r="A17" s="68">
        <v>9</v>
      </c>
      <c r="B17" s="66">
        <v>12.666666666666666</v>
      </c>
      <c r="C17" s="16">
        <v>2</v>
      </c>
      <c r="D17" s="55">
        <v>0.316</v>
      </c>
      <c r="E17" s="55">
        <v>0.31900000000000001</v>
      </c>
      <c r="F17" s="55">
        <v>0.317</v>
      </c>
      <c r="G17" s="16">
        <f t="shared" si="0"/>
        <v>7.0455891059798699</v>
      </c>
      <c r="H17" s="19">
        <f t="shared" si="1"/>
        <v>3.3914858606837212E-2</v>
      </c>
    </row>
    <row r="18" spans="1:8">
      <c r="A18" s="68">
        <v>10</v>
      </c>
      <c r="B18" s="66">
        <v>14</v>
      </c>
      <c r="C18" s="16">
        <v>2</v>
      </c>
      <c r="D18" s="42">
        <v>0.317</v>
      </c>
      <c r="E18" s="42">
        <v>0.31900000000000001</v>
      </c>
      <c r="F18" s="42">
        <v>0.32</v>
      </c>
      <c r="G18" s="16">
        <f t="shared" si="0"/>
        <v>7.075192421551213</v>
      </c>
      <c r="H18" s="19">
        <f t="shared" si="1"/>
        <v>3.3914858606837212E-2</v>
      </c>
    </row>
    <row r="19" spans="1:8">
      <c r="A19" s="68">
        <v>11</v>
      </c>
      <c r="B19" s="66">
        <v>15.333333333333334</v>
      </c>
      <c r="C19" s="16">
        <v>2</v>
      </c>
      <c r="D19" s="55">
        <v>0.318</v>
      </c>
      <c r="E19" s="55">
        <v>0.315</v>
      </c>
      <c r="F19" s="55">
        <v>0.32400000000000001</v>
      </c>
      <c r="G19" s="16">
        <f t="shared" si="0"/>
        <v>7.0825932504440496</v>
      </c>
      <c r="H19" s="19">
        <f t="shared" si="1"/>
        <v>0.10174457582051165</v>
      </c>
    </row>
    <row r="20" spans="1:8">
      <c r="A20" s="68">
        <v>12</v>
      </c>
      <c r="B20" s="66">
        <v>16.666666666666668</v>
      </c>
      <c r="C20" s="16">
        <v>2</v>
      </c>
      <c r="D20" s="55">
        <v>0.31900000000000001</v>
      </c>
      <c r="E20" s="55">
        <v>0.32200000000000001</v>
      </c>
      <c r="F20" s="55">
        <v>0.32600000000000001</v>
      </c>
      <c r="G20" s="16">
        <f t="shared" si="0"/>
        <v>7.1566015393724109</v>
      </c>
      <c r="H20" s="19">
        <f t="shared" si="1"/>
        <v>7.7972570699028632E-2</v>
      </c>
    </row>
    <row r="21" spans="1:8">
      <c r="A21" s="68">
        <v>13</v>
      </c>
      <c r="B21" s="66">
        <v>18</v>
      </c>
      <c r="C21" s="16">
        <v>2</v>
      </c>
      <c r="D21" s="55">
        <v>0.31900000000000001</v>
      </c>
      <c r="E21" s="55">
        <v>0.32100000000000001</v>
      </c>
      <c r="F21" s="55">
        <v>0.33</v>
      </c>
      <c r="G21" s="16">
        <f t="shared" si="0"/>
        <v>7.1788040260509174</v>
      </c>
      <c r="H21" s="19">
        <f t="shared" si="1"/>
        <v>0.13009469975760035</v>
      </c>
    </row>
    <row r="22" spans="1:8">
      <c r="A22" s="68">
        <v>14</v>
      </c>
      <c r="B22" s="66">
        <v>24</v>
      </c>
      <c r="C22" s="16">
        <v>2</v>
      </c>
      <c r="D22" s="55">
        <v>0.32600000000000001</v>
      </c>
      <c r="E22" s="55">
        <v>0.32700000000000001</v>
      </c>
      <c r="F22" s="55">
        <v>0.32800000000000001</v>
      </c>
      <c r="G22" s="16">
        <f t="shared" si="0"/>
        <v>7.2602131438721136</v>
      </c>
      <c r="H22" s="19">
        <f t="shared" si="1"/>
        <v>2.2202486678508014E-2</v>
      </c>
    </row>
    <row r="23" spans="1:8">
      <c r="A23" s="68">
        <v>15</v>
      </c>
      <c r="B23" s="66">
        <v>30</v>
      </c>
      <c r="C23" s="16">
        <v>2</v>
      </c>
      <c r="D23" s="55">
        <v>0.34200000000000003</v>
      </c>
      <c r="E23" s="55">
        <v>0.34399999999999997</v>
      </c>
      <c r="F23" s="55">
        <v>0.35</v>
      </c>
      <c r="G23" s="16">
        <f t="shared" si="0"/>
        <v>7.6672587329780937</v>
      </c>
      <c r="H23" s="19">
        <f t="shared" si="1"/>
        <v>9.2436323244499255E-2</v>
      </c>
    </row>
    <row r="24" spans="1:8">
      <c r="A24" s="68">
        <v>16</v>
      </c>
      <c r="B24" s="66">
        <v>48</v>
      </c>
      <c r="C24" s="16">
        <v>2</v>
      </c>
      <c r="D24" s="55">
        <v>0.33900000000000002</v>
      </c>
      <c r="E24" s="55">
        <v>0.34599999999999997</v>
      </c>
      <c r="F24" s="55">
        <v>0.34499999999999997</v>
      </c>
      <c r="G24" s="16">
        <f t="shared" ref="G24" si="2">(C24*1000*AVERAGE(D24:F24))/$B$2</f>
        <v>7.6228537596210773</v>
      </c>
      <c r="H24" s="19">
        <f t="shared" ref="H24" si="3">(C24*1000*STDEV(D24:F24))/$B$2</f>
        <v>8.4057257930731669E-2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7" sqref="B7:B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57" t="s">
        <v>44</v>
      </c>
      <c r="B4" s="158"/>
      <c r="C4" s="158"/>
      <c r="D4" s="158"/>
      <c r="E4" s="158"/>
      <c r="F4" s="158"/>
      <c r="G4" s="158"/>
      <c r="H4" s="159"/>
    </row>
    <row r="5" spans="1:8">
      <c r="A5" s="160" t="s">
        <v>62</v>
      </c>
      <c r="B5" s="158"/>
      <c r="C5" s="159"/>
      <c r="D5" s="161" t="s">
        <v>45</v>
      </c>
      <c r="E5" s="161" t="s">
        <v>46</v>
      </c>
      <c r="F5" s="161" t="s">
        <v>47</v>
      </c>
      <c r="G5" s="163" t="s">
        <v>63</v>
      </c>
      <c r="H5" s="163" t="s">
        <v>64</v>
      </c>
    </row>
    <row r="6" spans="1:8">
      <c r="A6" s="22" t="s">
        <v>4</v>
      </c>
      <c r="B6" s="22" t="s">
        <v>60</v>
      </c>
      <c r="C6" s="22" t="s">
        <v>19</v>
      </c>
      <c r="D6" s="162"/>
      <c r="E6" s="162"/>
      <c r="F6" s="162"/>
      <c r="G6" s="164"/>
      <c r="H6" s="164"/>
    </row>
    <row r="7" spans="1:8">
      <c r="A7" s="67">
        <v>0</v>
      </c>
      <c r="B7" s="64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8">
        <v>0</v>
      </c>
      <c r="B8" s="66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8">
        <v>1</v>
      </c>
      <c r="B9" s="66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8">
        <v>2</v>
      </c>
      <c r="B10" s="66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8">
        <v>3</v>
      </c>
      <c r="B11" s="66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8">
        <v>4</v>
      </c>
      <c r="B12" s="66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8">
        <v>5</v>
      </c>
      <c r="B13" s="66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8">
        <v>6</v>
      </c>
      <c r="B14" s="66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8">
        <v>7</v>
      </c>
      <c r="B15" s="66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8">
        <v>8</v>
      </c>
      <c r="B16" s="66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8">
        <v>9</v>
      </c>
      <c r="B17" s="66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8">
        <v>10</v>
      </c>
      <c r="B18" s="66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8">
        <v>11</v>
      </c>
      <c r="B19" s="66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8">
        <v>12</v>
      </c>
      <c r="B20" s="66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8">
        <v>13</v>
      </c>
      <c r="B21" s="66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8">
        <v>14</v>
      </c>
      <c r="B22" s="66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8">
        <v>15</v>
      </c>
      <c r="B23" s="66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8">
        <v>16</v>
      </c>
      <c r="B24" s="66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9"/>
  <sheetViews>
    <sheetView workbookViewId="0">
      <selection activeCell="B4" sqref="B4"/>
    </sheetView>
  </sheetViews>
  <sheetFormatPr baseColWidth="10" defaultColWidth="8.83203125" defaultRowHeight="14" x14ac:dyDescent="0"/>
  <cols>
    <col min="1" max="1" width="30.5" customWidth="1"/>
    <col min="2" max="2" width="10.1640625" bestFit="1" customWidth="1"/>
  </cols>
  <sheetData>
    <row r="1" spans="1:5">
      <c r="B1" s="30" t="s">
        <v>78</v>
      </c>
      <c r="C1" s="30" t="s">
        <v>79</v>
      </c>
    </row>
    <row r="2" spans="1:5">
      <c r="A2" s="30" t="s">
        <v>146</v>
      </c>
      <c r="B2" s="31">
        <f>Metabolites!H4-Metabolites!H20</f>
        <v>46.127644606410293</v>
      </c>
      <c r="C2" s="31">
        <f>Metabolites!I4+Metabolites!I20</f>
        <v>0.39186506312037167</v>
      </c>
    </row>
    <row r="3" spans="1:5">
      <c r="A3" s="30" t="s">
        <v>123</v>
      </c>
      <c r="B3" s="31">
        <f>Metabolites!P4-Metabolites!P20</f>
        <v>19.992230995886178</v>
      </c>
      <c r="C3" s="31">
        <f>Metabolites!Q4+Metabolites!Q20</f>
        <v>0.74869517846201616</v>
      </c>
    </row>
    <row r="4" spans="1:5">
      <c r="A4" s="30" t="s">
        <v>124</v>
      </c>
      <c r="B4" s="31">
        <f>Metabolites!T20-Metabolites!T4</f>
        <v>5.7324039629536134</v>
      </c>
      <c r="C4" s="31">
        <f>Metabolites!U4+Metabolites!U20</f>
        <v>7.0238436027539555E-2</v>
      </c>
    </row>
    <row r="5" spans="1:5">
      <c r="A5" s="30" t="s">
        <v>125</v>
      </c>
      <c r="B5" s="31">
        <f>Metabolites!L20-Metabolites!L4</f>
        <v>6.5766743902532028</v>
      </c>
      <c r="C5" s="31">
        <f>Metabolites!M20+Metabolites!M4</f>
        <v>0.11119994957013862</v>
      </c>
    </row>
    <row r="6" spans="1:5">
      <c r="A6" s="30" t="s">
        <v>126</v>
      </c>
      <c r="B6" s="31">
        <f>Metabolites!L41-Metabolites!L25</f>
        <v>53.099808393468443</v>
      </c>
      <c r="C6" s="31">
        <f>Metabolites!M41+Metabolites!M25</f>
        <v>0.81014632430289357</v>
      </c>
    </row>
    <row r="7" spans="1:5">
      <c r="A7" s="30" t="s">
        <v>80</v>
      </c>
      <c r="B7" s="31">
        <f>'H2'!G101</f>
        <v>125.09745493466639</v>
      </c>
    </row>
    <row r="8" spans="1:5">
      <c r="A8" s="30" t="s">
        <v>81</v>
      </c>
      <c r="B8" s="31">
        <f>'CO2'!G101</f>
        <v>88.559869604025096</v>
      </c>
    </row>
    <row r="9" spans="1:5">
      <c r="A9" s="30" t="s">
        <v>127</v>
      </c>
      <c r="B9" s="31">
        <f>Calculation!G20*1.5/1000</f>
        <v>0.10050000000000001</v>
      </c>
    </row>
    <row r="10" spans="1:5" ht="16">
      <c r="A10" s="30" t="s">
        <v>128</v>
      </c>
      <c r="B10" s="31">
        <f>Calculation!H20*1.5/1000</f>
        <v>1.6500000000000001E-2</v>
      </c>
    </row>
    <row r="12" spans="1:5">
      <c r="A12" s="30" t="s">
        <v>82</v>
      </c>
      <c r="B12" s="83">
        <f>((4*$B$6)+(3*$B$5)+($B$4)+(B8))/((6*$B$2)+(2*$B$3))</f>
        <v>1.0305325670621015</v>
      </c>
    </row>
    <row r="14" spans="1:5">
      <c r="A14" s="61"/>
      <c r="B14" s="61"/>
      <c r="C14" s="61" t="s">
        <v>129</v>
      </c>
      <c r="D14" s="61" t="s">
        <v>130</v>
      </c>
    </row>
    <row r="15" spans="1:5">
      <c r="A15" s="61" t="s">
        <v>162</v>
      </c>
      <c r="B15" s="61" t="s">
        <v>131</v>
      </c>
      <c r="C15" s="62">
        <f>B2</f>
        <v>46.127644606410293</v>
      </c>
      <c r="D15" s="62">
        <f>B2</f>
        <v>46.127644606410293</v>
      </c>
      <c r="E15" s="61"/>
    </row>
    <row r="16" spans="1:5">
      <c r="A16" s="61" t="s">
        <v>132</v>
      </c>
      <c r="B16" s="61" t="s">
        <v>133</v>
      </c>
      <c r="C16" s="62">
        <f>2*C15</f>
        <v>92.255289212820585</v>
      </c>
      <c r="D16" s="62">
        <f>2*B2</f>
        <v>92.255289212820585</v>
      </c>
      <c r="E16" s="61"/>
    </row>
    <row r="17" spans="1:5">
      <c r="A17" s="61" t="s">
        <v>134</v>
      </c>
      <c r="B17" s="61" t="s">
        <v>135</v>
      </c>
      <c r="C17" s="62">
        <f>B5</f>
        <v>6.5766743902532028</v>
      </c>
      <c r="D17" s="62">
        <f>B5</f>
        <v>6.5766743902532028</v>
      </c>
      <c r="E17" s="61"/>
    </row>
    <row r="18" spans="1:5">
      <c r="A18" s="61" t="s">
        <v>136</v>
      </c>
      <c r="B18" s="61" t="s">
        <v>137</v>
      </c>
      <c r="C18" s="62">
        <f>B4</f>
        <v>5.7324039629536134</v>
      </c>
      <c r="D18" s="62">
        <f>B4</f>
        <v>5.7324039629536134</v>
      </c>
      <c r="E18" s="61"/>
    </row>
    <row r="19" spans="1:5">
      <c r="A19" s="61" t="s">
        <v>163</v>
      </c>
      <c r="B19" s="61" t="s">
        <v>138</v>
      </c>
      <c r="C19" s="78">
        <f>C16-C17-C18</f>
        <v>79.946210859613771</v>
      </c>
      <c r="D19" s="78">
        <f>B8</f>
        <v>88.559869604025096</v>
      </c>
      <c r="E19" s="61"/>
    </row>
    <row r="20" spans="1:5">
      <c r="A20" s="61" t="s">
        <v>160</v>
      </c>
      <c r="B20" s="61" t="s">
        <v>160</v>
      </c>
      <c r="C20" s="69">
        <f>C16-C17</f>
        <v>85.678614822567383</v>
      </c>
      <c r="D20" s="69"/>
      <c r="E20" s="61"/>
    </row>
    <row r="21" spans="1:5">
      <c r="A21" s="61" t="s">
        <v>164</v>
      </c>
      <c r="B21" s="61" t="s">
        <v>139</v>
      </c>
      <c r="C21" s="62">
        <f>B3</f>
        <v>19.992230995886178</v>
      </c>
      <c r="D21" s="62">
        <f>B3</f>
        <v>19.992230995886178</v>
      </c>
      <c r="E21" s="61"/>
    </row>
    <row r="22" spans="1:5">
      <c r="A22" s="61" t="s">
        <v>165</v>
      </c>
      <c r="B22" s="61" t="s">
        <v>141</v>
      </c>
      <c r="C22" s="62">
        <f>C16-C17+C21</f>
        <v>105.67084581845356</v>
      </c>
      <c r="D22" s="62">
        <f>B6</f>
        <v>53.099808393468443</v>
      </c>
      <c r="E22" s="61"/>
    </row>
    <row r="23" spans="1:5">
      <c r="A23" s="61" t="s">
        <v>166</v>
      </c>
      <c r="B23" s="61" t="s">
        <v>142</v>
      </c>
      <c r="C23" s="78">
        <f>C22/2</f>
        <v>52.835422909226779</v>
      </c>
      <c r="D23" s="78">
        <f>B6</f>
        <v>53.099808393468443</v>
      </c>
      <c r="E23" s="61"/>
    </row>
    <row r="24" spans="1:5">
      <c r="A24" t="s">
        <v>156</v>
      </c>
      <c r="B24" t="s">
        <v>157</v>
      </c>
      <c r="C24" s="31">
        <f>C20-C21</f>
        <v>65.686383826681208</v>
      </c>
      <c r="D24" s="31"/>
      <c r="E24" s="61"/>
    </row>
    <row r="25" spans="1:5">
      <c r="A25" t="s">
        <v>158</v>
      </c>
      <c r="B25" t="s">
        <v>159</v>
      </c>
      <c r="C25" s="77">
        <f>C24-C18</f>
        <v>59.953979863727596</v>
      </c>
      <c r="D25" s="77">
        <f>B7</f>
        <v>125.09745493466639</v>
      </c>
      <c r="E25" s="61"/>
    </row>
    <row r="26" spans="1:5">
      <c r="A26" s="61"/>
      <c r="B26" s="61"/>
      <c r="C26" s="61"/>
      <c r="D26" s="61"/>
      <c r="E26" s="61"/>
    </row>
    <row r="27" spans="1:5">
      <c r="A27" s="61"/>
      <c r="B27" s="61"/>
      <c r="C27" s="61"/>
      <c r="D27" s="61"/>
      <c r="E27" s="61"/>
    </row>
    <row r="28" spans="1:5">
      <c r="A28" s="61"/>
      <c r="B28" s="61"/>
      <c r="C28" s="61"/>
      <c r="D28" s="61"/>
      <c r="E28" s="61"/>
    </row>
    <row r="29" spans="1:5">
      <c r="C29" s="61"/>
      <c r="D29" s="61"/>
      <c r="E29" s="6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C18" sqref="C18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30" t="s">
        <v>4</v>
      </c>
      <c r="B1" s="130" t="s">
        <v>117</v>
      </c>
      <c r="C1" s="130" t="s">
        <v>117</v>
      </c>
      <c r="D1" s="130" t="s">
        <v>5</v>
      </c>
      <c r="E1" s="135" t="s">
        <v>18</v>
      </c>
      <c r="F1" s="135"/>
      <c r="G1" s="135"/>
      <c r="H1" s="135"/>
      <c r="I1" s="135" t="s">
        <v>20</v>
      </c>
      <c r="J1" s="135"/>
      <c r="K1" s="135"/>
      <c r="L1" s="135"/>
      <c r="M1" s="135" t="s">
        <v>21</v>
      </c>
      <c r="N1" s="135"/>
      <c r="O1" s="135"/>
      <c r="P1" s="135"/>
      <c r="Q1" s="38" t="s">
        <v>22</v>
      </c>
      <c r="R1" s="38" t="s">
        <v>22</v>
      </c>
      <c r="S1" s="38" t="s">
        <v>22</v>
      </c>
    </row>
    <row r="2" spans="1:19">
      <c r="A2" s="131"/>
      <c r="B2" s="131"/>
      <c r="C2" s="131"/>
      <c r="D2" s="131"/>
      <c r="E2" s="41" t="s">
        <v>19</v>
      </c>
      <c r="F2" s="41" t="s">
        <v>68</v>
      </c>
      <c r="G2" s="41" t="s">
        <v>118</v>
      </c>
      <c r="H2" s="41" t="s">
        <v>70</v>
      </c>
      <c r="I2" s="41" t="s">
        <v>19</v>
      </c>
      <c r="J2" s="41" t="s">
        <v>68</v>
      </c>
      <c r="K2" s="41" t="s">
        <v>69</v>
      </c>
      <c r="L2" s="41" t="s">
        <v>70</v>
      </c>
      <c r="M2" s="41" t="s">
        <v>19</v>
      </c>
      <c r="N2" s="41" t="s">
        <v>68</v>
      </c>
      <c r="O2" s="41" t="s">
        <v>69</v>
      </c>
      <c r="P2" s="41" t="s">
        <v>71</v>
      </c>
      <c r="Q2" s="39" t="s">
        <v>70</v>
      </c>
      <c r="R2" s="39" t="s">
        <v>23</v>
      </c>
      <c r="S2" s="39" t="s">
        <v>72</v>
      </c>
    </row>
    <row r="3" spans="1:19" s="6" customFormat="1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Q3" s="132"/>
      <c r="R3" s="133"/>
      <c r="S3" s="134"/>
    </row>
    <row r="4" spans="1:19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Q4" s="45" t="e">
        <f>AVERAGE('Flow cytometer'!P4,'Flow cytometer'!L4,'Flow cytometer'!H4)*Calculation!K4/Calculation!M3</f>
        <v>#DIV/0!</v>
      </c>
      <c r="R4" s="45" t="e">
        <f>STDEV('Flow cytometer'!P4,'Flow cytometer'!L4,'Flow cytometer'!H4)*Calculation!K4/Calculation!M3</f>
        <v>#DIV/0!</v>
      </c>
      <c r="S4" s="46" t="e">
        <f t="shared" ref="S4:S19" si="1">LOG(Q4)</f>
        <v>#DIV/0!</v>
      </c>
    </row>
    <row r="5" spans="1:19">
      <c r="A5" s="65">
        <v>1</v>
      </c>
      <c r="B5" s="32">
        <v>110</v>
      </c>
      <c r="C5" s="32">
        <f>C4+B5</f>
        <v>120</v>
      </c>
      <c r="D5" s="13">
        <f t="shared" si="0"/>
        <v>2</v>
      </c>
      <c r="Q5" s="45" t="e">
        <f>AVERAGE('Flow cytometer'!P5,'Flow cytometer'!L5,'Flow cytometer'!H5)*Calculation!K5/Calculation!M4</f>
        <v>#DIV/0!</v>
      </c>
      <c r="R5" s="45" t="e">
        <f>STDEV('Flow cytometer'!P5,'Flow cytometer'!L5,'Flow cytometer'!H5)*Calculation!K5/Calculation!M4</f>
        <v>#DIV/0!</v>
      </c>
      <c r="S5" s="46" t="e">
        <f t="shared" si="1"/>
        <v>#DIV/0!</v>
      </c>
    </row>
    <row r="6" spans="1:19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Q6" s="45" t="e">
        <f>AVERAGE('Flow cytometer'!P6,'Flow cytometer'!L6,'Flow cytometer'!H6)*Calculation!K6/Calculation!M5</f>
        <v>#DIV/0!</v>
      </c>
      <c r="R6" s="45" t="e">
        <f>STDEV('Flow cytometer'!P6,'Flow cytometer'!L6,'Flow cytometer'!H6)*Calculation!K6/Calculation!M5</f>
        <v>#DIV/0!</v>
      </c>
      <c r="S6" s="46" t="e">
        <f t="shared" si="1"/>
        <v>#DIV/0!</v>
      </c>
    </row>
    <row r="7" spans="1:19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Q7" s="45" t="e">
        <f>AVERAGE('Flow cytometer'!P7,'Flow cytometer'!L7,'Flow cytometer'!H7)*Calculation!K7/Calculation!M6</f>
        <v>#DIV/0!</v>
      </c>
      <c r="R7" s="45" t="e">
        <f>STDEV('Flow cytometer'!P7,'Flow cytometer'!L7,'Flow cytometer'!H7)*Calculation!K7/Calculation!M6</f>
        <v>#DIV/0!</v>
      </c>
      <c r="S7" s="46" t="e">
        <f t="shared" si="1"/>
        <v>#DIV/0!</v>
      </c>
    </row>
    <row r="8" spans="1:19">
      <c r="A8" s="65">
        <v>4</v>
      </c>
      <c r="B8" s="32">
        <v>80</v>
      </c>
      <c r="C8" s="32">
        <f t="shared" ref="C8:C18" si="2">C7+B8</f>
        <v>360</v>
      </c>
      <c r="D8" s="13">
        <f t="shared" si="0"/>
        <v>6</v>
      </c>
      <c r="Q8" s="45" t="e">
        <f>AVERAGE('Flow cytometer'!P8,'Flow cytometer'!L8,'Flow cytometer'!H8)*Calculation!K8/Calculation!M7</f>
        <v>#DIV/0!</v>
      </c>
      <c r="R8" s="45" t="e">
        <f>STDEV('Flow cytometer'!P8,'Flow cytometer'!L8,'Flow cytometer'!H8)*Calculation!K8/Calculation!M7</f>
        <v>#DIV/0!</v>
      </c>
      <c r="S8" s="46" t="e">
        <f t="shared" si="1"/>
        <v>#DIV/0!</v>
      </c>
    </row>
    <row r="9" spans="1:19">
      <c r="A9" s="65">
        <v>5</v>
      </c>
      <c r="B9" s="32">
        <v>80</v>
      </c>
      <c r="C9" s="32">
        <f t="shared" si="2"/>
        <v>440</v>
      </c>
      <c r="D9" s="13">
        <f t="shared" si="0"/>
        <v>7.333333333333333</v>
      </c>
      <c r="Q9" s="45" t="e">
        <f>AVERAGE('Flow cytometer'!P9,'Flow cytometer'!L9,'Flow cytometer'!H9)*Calculation!K9/Calculation!M8</f>
        <v>#DIV/0!</v>
      </c>
      <c r="R9" s="45" t="e">
        <f>STDEV('Flow cytometer'!P9,'Flow cytometer'!L9,'Flow cytometer'!H9)*Calculation!K9/Calculation!M8</f>
        <v>#DIV/0!</v>
      </c>
      <c r="S9" s="46" t="e">
        <f t="shared" si="1"/>
        <v>#DIV/0!</v>
      </c>
    </row>
    <row r="10" spans="1:19">
      <c r="A10" s="65">
        <v>6</v>
      </c>
      <c r="B10" s="32">
        <v>80</v>
      </c>
      <c r="C10" s="32">
        <f t="shared" si="2"/>
        <v>520</v>
      </c>
      <c r="D10" s="13">
        <f t="shared" si="0"/>
        <v>8.6666666666666661</v>
      </c>
      <c r="Q10" s="45" t="e">
        <f>AVERAGE('Flow cytometer'!P10,'Flow cytometer'!L10,'Flow cytometer'!H10)*Calculation!K10/Calculation!M9</f>
        <v>#DIV/0!</v>
      </c>
      <c r="R10" s="45" t="e">
        <f>STDEV('Flow cytometer'!P10,'Flow cytometer'!L10,'Flow cytometer'!H10)*Calculation!K10/Calculation!M9</f>
        <v>#DIV/0!</v>
      </c>
      <c r="S10" s="46" t="e">
        <f t="shared" si="1"/>
        <v>#DIV/0!</v>
      </c>
    </row>
    <row r="11" spans="1:19">
      <c r="A11" s="65">
        <v>7</v>
      </c>
      <c r="B11" s="32">
        <v>80</v>
      </c>
      <c r="C11" s="32">
        <f t="shared" si="2"/>
        <v>600</v>
      </c>
      <c r="D11" s="13">
        <f t="shared" si="0"/>
        <v>10</v>
      </c>
      <c r="Q11" s="45" t="e">
        <f>AVERAGE('Flow cytometer'!P11,'Flow cytometer'!L11,'Flow cytometer'!H11)*Calculation!K11/Calculation!M10</f>
        <v>#DIV/0!</v>
      </c>
      <c r="R11" s="45" t="e">
        <f>STDEV('Flow cytometer'!P11,'Flow cytometer'!L11,'Flow cytometer'!H11)*Calculation!K11/Calculation!M10</f>
        <v>#DIV/0!</v>
      </c>
      <c r="S11" s="46" t="e">
        <f t="shared" si="1"/>
        <v>#DIV/0!</v>
      </c>
    </row>
    <row r="12" spans="1:19">
      <c r="A12" s="65">
        <v>8</v>
      </c>
      <c r="B12" s="32">
        <v>80</v>
      </c>
      <c r="C12" s="32">
        <f t="shared" si="2"/>
        <v>680</v>
      </c>
      <c r="D12" s="13">
        <f t="shared" si="0"/>
        <v>11.333333333333334</v>
      </c>
      <c r="Q12" s="45" t="e">
        <f>AVERAGE('Flow cytometer'!P12,'Flow cytometer'!L12,'Flow cytometer'!H12)*Calculation!K12/Calculation!M11</f>
        <v>#DIV/0!</v>
      </c>
      <c r="R12" s="45" t="e">
        <f>STDEV('Flow cytometer'!P12,'Flow cytometer'!L12,'Flow cytometer'!H12)*Calculation!K12/Calculation!M11</f>
        <v>#DIV/0!</v>
      </c>
      <c r="S12" s="46" t="e">
        <f t="shared" si="1"/>
        <v>#DIV/0!</v>
      </c>
    </row>
    <row r="13" spans="1:19">
      <c r="A13" s="65">
        <v>9</v>
      </c>
      <c r="B13" s="32">
        <v>80</v>
      </c>
      <c r="C13" s="32">
        <f t="shared" si="2"/>
        <v>760</v>
      </c>
      <c r="D13" s="13">
        <f t="shared" si="0"/>
        <v>12.666666666666666</v>
      </c>
      <c r="Q13" s="45" t="e">
        <f>AVERAGE('Flow cytometer'!P13,'Flow cytometer'!L13,'Flow cytometer'!H13)*Calculation!K13/Calculation!M12</f>
        <v>#DIV/0!</v>
      </c>
      <c r="R13" s="45" t="e">
        <f>STDEV('Flow cytometer'!P13,'Flow cytometer'!L13,'Flow cytometer'!H13)*Calculation!K13/Calculation!M12</f>
        <v>#DIV/0!</v>
      </c>
      <c r="S13" s="46" t="e">
        <f t="shared" si="1"/>
        <v>#DIV/0!</v>
      </c>
    </row>
    <row r="14" spans="1:19">
      <c r="A14" s="65">
        <v>10</v>
      </c>
      <c r="B14" s="32">
        <v>80</v>
      </c>
      <c r="C14" s="32">
        <f t="shared" si="2"/>
        <v>840</v>
      </c>
      <c r="D14" s="13">
        <f t="shared" si="0"/>
        <v>14</v>
      </c>
      <c r="Q14" s="45" t="e">
        <f>AVERAGE('Flow cytometer'!P14,'Flow cytometer'!L14,'Flow cytometer'!H14)*Calculation!K14/Calculation!M13</f>
        <v>#DIV/0!</v>
      </c>
      <c r="R14" s="45" t="e">
        <f>STDEV('Flow cytometer'!P14,'Flow cytometer'!L14,'Flow cytometer'!H14)*Calculation!K14/Calculation!M13</f>
        <v>#DIV/0!</v>
      </c>
      <c r="S14" s="46" t="e">
        <f t="shared" si="1"/>
        <v>#DIV/0!</v>
      </c>
    </row>
    <row r="15" spans="1:19">
      <c r="A15" s="65">
        <v>11</v>
      </c>
      <c r="B15" s="32">
        <v>80</v>
      </c>
      <c r="C15" s="32">
        <f t="shared" si="2"/>
        <v>920</v>
      </c>
      <c r="D15" s="13">
        <f t="shared" si="0"/>
        <v>15.333333333333334</v>
      </c>
      <c r="Q15" s="45" t="e">
        <f>AVERAGE('Flow cytometer'!P15,'Flow cytometer'!L15,'Flow cytometer'!H15)*Calculation!K15/Calculation!M14</f>
        <v>#DIV/0!</v>
      </c>
      <c r="R15" s="45" t="e">
        <f>STDEV('Flow cytometer'!P15,'Flow cytometer'!L15,'Flow cytometer'!H15)*Calculation!K15/Calculation!M14</f>
        <v>#DIV/0!</v>
      </c>
      <c r="S15" s="46" t="e">
        <f t="shared" si="1"/>
        <v>#DIV/0!</v>
      </c>
    </row>
    <row r="16" spans="1:19">
      <c r="A16" s="65">
        <v>12</v>
      </c>
      <c r="B16" s="32">
        <v>80</v>
      </c>
      <c r="C16" s="32">
        <f t="shared" si="2"/>
        <v>1000</v>
      </c>
      <c r="D16" s="13">
        <f t="shared" si="0"/>
        <v>16.666666666666668</v>
      </c>
      <c r="Q16" s="45" t="e">
        <f>AVERAGE('Flow cytometer'!P16,'Flow cytometer'!L16,'Flow cytometer'!H16)*Calculation!K16/Calculation!M15</f>
        <v>#DIV/0!</v>
      </c>
      <c r="R16" s="45" t="e">
        <f>STDEV('Flow cytometer'!P16,'Flow cytometer'!L16,'Flow cytometer'!H16)*Calculation!K16/Calculation!M15</f>
        <v>#DIV/0!</v>
      </c>
      <c r="S16" s="46" t="e">
        <f t="shared" si="1"/>
        <v>#DIV/0!</v>
      </c>
    </row>
    <row r="17" spans="1:19">
      <c r="A17" s="65">
        <v>13</v>
      </c>
      <c r="B17" s="32">
        <v>80</v>
      </c>
      <c r="C17" s="32">
        <f t="shared" si="2"/>
        <v>1080</v>
      </c>
      <c r="D17" s="13">
        <f t="shared" si="0"/>
        <v>18</v>
      </c>
      <c r="Q17" s="45" t="e">
        <f>AVERAGE('Flow cytometer'!P17,'Flow cytometer'!L17,'Flow cytometer'!H17)*Calculation!K17/Calculation!M16</f>
        <v>#DIV/0!</v>
      </c>
      <c r="R17" s="45" t="e">
        <f>STDEV('Flow cytometer'!P17,'Flow cytometer'!L17,'Flow cytometer'!H17)*Calculation!K17/Calculation!M16</f>
        <v>#DIV/0!</v>
      </c>
      <c r="S17" s="46" t="e">
        <f t="shared" si="1"/>
        <v>#DIV/0!</v>
      </c>
    </row>
    <row r="18" spans="1:19">
      <c r="A18" s="65">
        <v>14</v>
      </c>
      <c r="B18" s="32">
        <v>360</v>
      </c>
      <c r="C18" s="32">
        <f t="shared" si="2"/>
        <v>1440</v>
      </c>
      <c r="D18" s="13">
        <f t="shared" si="0"/>
        <v>24</v>
      </c>
      <c r="Q18" s="45" t="e">
        <f>AVERAGE('Flow cytometer'!P18,'Flow cytometer'!L18,'Flow cytometer'!H18)*Calculation!K18/Calculation!M17</f>
        <v>#DIV/0!</v>
      </c>
      <c r="R18" s="45" t="e">
        <f>STDEV('Flow cytometer'!P18,'Flow cytometer'!L18,'Flow cytometer'!H18)*Calculation!K18/Calculation!M17</f>
        <v>#DIV/0!</v>
      </c>
      <c r="S18" s="46" t="e">
        <f t="shared" si="1"/>
        <v>#DIV/0!</v>
      </c>
    </row>
    <row r="19" spans="1:19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Q19" s="45" t="e">
        <f>AVERAGE('Flow cytometer'!P19,'Flow cytometer'!L19,'Flow cytometer'!H19)*Calculation!K19/Calculation!M18</f>
        <v>#DIV/0!</v>
      </c>
      <c r="R19" s="45" t="e">
        <f>STDEV('Flow cytometer'!P19,'Flow cytometer'!L19,'Flow cytometer'!H19)*Calculation!K19/Calculation!M18</f>
        <v>#DIV/0!</v>
      </c>
      <c r="S19" s="46" t="e">
        <f t="shared" si="1"/>
        <v>#DIV/0!</v>
      </c>
    </row>
    <row r="20" spans="1:19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Q20" s="45" t="e">
        <f>AVERAGE('Flow cytometer'!P20,'Flow cytometer'!L20,'Flow cytometer'!H20)*Calculation!K20/Calculation!M19</f>
        <v>#DIV/0!</v>
      </c>
      <c r="R20" s="45" t="e">
        <f>STDEV('Flow cytometer'!P20,'Flow cytometer'!L20,'Flow cytometer'!H20)*Calculation!K20/Calculation!M19</f>
        <v>#DIV/0!</v>
      </c>
      <c r="S20" s="46" t="e">
        <f t="shared" ref="S20" si="3">LOG(Q20)</f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0"/>
  <sheetViews>
    <sheetView topLeftCell="D1" workbookViewId="0">
      <selection activeCell="X5" sqref="X5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</cols>
  <sheetData>
    <row r="1" spans="1:24">
      <c r="A1" s="130" t="s">
        <v>4</v>
      </c>
      <c r="B1" s="130" t="s">
        <v>117</v>
      </c>
      <c r="C1" s="130" t="s">
        <v>117</v>
      </c>
      <c r="D1" s="130" t="s">
        <v>5</v>
      </c>
      <c r="E1" s="129" t="s">
        <v>119</v>
      </c>
      <c r="F1" s="129"/>
      <c r="G1" s="129"/>
      <c r="H1" s="129"/>
      <c r="I1" s="129" t="s">
        <v>120</v>
      </c>
      <c r="J1" s="129"/>
      <c r="K1" s="129"/>
      <c r="L1" s="129"/>
      <c r="M1" s="129" t="s">
        <v>121</v>
      </c>
      <c r="N1" s="129"/>
      <c r="O1" s="129"/>
      <c r="P1" s="129"/>
      <c r="Q1" s="24" t="s">
        <v>122</v>
      </c>
      <c r="R1" s="24" t="s">
        <v>122</v>
      </c>
      <c r="S1" s="24" t="s">
        <v>122</v>
      </c>
      <c r="T1" s="59" t="s">
        <v>122</v>
      </c>
      <c r="U1" s="73" t="s">
        <v>119</v>
      </c>
      <c r="V1" s="73" t="s">
        <v>120</v>
      </c>
      <c r="W1" s="73" t="s">
        <v>121</v>
      </c>
      <c r="X1" s="73" t="s">
        <v>122</v>
      </c>
    </row>
    <row r="2" spans="1:24">
      <c r="A2" s="131"/>
      <c r="B2" s="131"/>
      <c r="C2" s="131"/>
      <c r="D2" s="131"/>
      <c r="E2" s="23" t="s">
        <v>19</v>
      </c>
      <c r="F2" s="23" t="s">
        <v>68</v>
      </c>
      <c r="G2" s="23" t="s">
        <v>69</v>
      </c>
      <c r="H2" s="23" t="s">
        <v>70</v>
      </c>
      <c r="I2" s="23" t="s">
        <v>19</v>
      </c>
      <c r="J2" s="23" t="s">
        <v>68</v>
      </c>
      <c r="K2" s="23" t="s">
        <v>69</v>
      </c>
      <c r="L2" s="23" t="s">
        <v>70</v>
      </c>
      <c r="M2" s="23" t="s">
        <v>19</v>
      </c>
      <c r="N2" s="23" t="s">
        <v>68</v>
      </c>
      <c r="O2" s="23" t="s">
        <v>69</v>
      </c>
      <c r="P2" s="23" t="s">
        <v>71</v>
      </c>
      <c r="Q2" s="25" t="s">
        <v>70</v>
      </c>
      <c r="R2" s="25" t="s">
        <v>23</v>
      </c>
      <c r="S2" s="25" t="s">
        <v>72</v>
      </c>
      <c r="T2" s="60" t="s">
        <v>140</v>
      </c>
      <c r="U2" s="74" t="s">
        <v>150</v>
      </c>
      <c r="V2" s="74" t="s">
        <v>150</v>
      </c>
      <c r="W2" s="74" t="s">
        <v>150</v>
      </c>
      <c r="X2" s="74" t="s">
        <v>151</v>
      </c>
    </row>
    <row r="3" spans="1:24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E3" s="43" t="s">
        <v>101</v>
      </c>
      <c r="F3" s="43" t="s">
        <v>101</v>
      </c>
      <c r="G3" s="43" t="s">
        <v>101</v>
      </c>
      <c r="H3" s="44" t="s">
        <v>101</v>
      </c>
      <c r="I3" s="43" t="s">
        <v>101</v>
      </c>
      <c r="J3" s="43" t="s">
        <v>101</v>
      </c>
      <c r="K3" s="43" t="s">
        <v>101</v>
      </c>
      <c r="L3" s="44" t="s">
        <v>101</v>
      </c>
      <c r="M3" s="43" t="s">
        <v>101</v>
      </c>
      <c r="N3" s="43" t="s">
        <v>101</v>
      </c>
      <c r="O3" s="43" t="s">
        <v>101</v>
      </c>
      <c r="P3" s="44" t="s">
        <v>101</v>
      </c>
      <c r="Q3" s="136" t="s">
        <v>101</v>
      </c>
      <c r="R3" s="137"/>
      <c r="S3" s="138"/>
      <c r="T3" s="72"/>
      <c r="U3" s="44" t="s">
        <v>101</v>
      </c>
      <c r="V3" s="44" t="s">
        <v>101</v>
      </c>
      <c r="W3" s="44" t="s">
        <v>101</v>
      </c>
      <c r="X3" s="44" t="s">
        <v>101</v>
      </c>
    </row>
    <row r="4" spans="1:24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32">
        <v>2</v>
      </c>
      <c r="F4" s="32">
        <v>13583</v>
      </c>
      <c r="G4" s="32">
        <v>7</v>
      </c>
      <c r="H4" s="44">
        <f>('Flow cytometer'!F4/'Flow cytometer'!G4)*POWER(10,'Flow cytometer'!E4+2)*10.2</f>
        <v>197923714.28571427</v>
      </c>
      <c r="I4" s="32">
        <v>2</v>
      </c>
      <c r="J4" s="32">
        <v>14630</v>
      </c>
      <c r="K4" s="32">
        <v>7</v>
      </c>
      <c r="L4" s="44">
        <f>('Flow cytometer'!J4/'Flow cytometer'!K4)*POWER(10,'Flow cytometer'!I4+2)*10.2</f>
        <v>213180000</v>
      </c>
      <c r="M4" s="32">
        <v>2</v>
      </c>
      <c r="N4" s="32">
        <v>14274</v>
      </c>
      <c r="O4" s="32">
        <v>7</v>
      </c>
      <c r="P4" s="44">
        <f>('Flow cytometer'!N4/'Flow cytometer'!O4)*POWER(10,'Flow cytometer'!M4+2)*10.2</f>
        <v>207992571.4285714</v>
      </c>
      <c r="Q4" s="47">
        <f>AVERAGE(H4,L4,P4)*Calculation!I4/Calculation!K3</f>
        <v>206755779.31904158</v>
      </c>
      <c r="R4" s="48">
        <f>STDEV(H4,L4,P4)*Calculation!I4/Calculation!K3</f>
        <v>7771880.0509428922</v>
      </c>
      <c r="S4" s="49">
        <f>LOG(Q4)</f>
        <v>8.3154576579647994</v>
      </c>
      <c r="T4" s="71">
        <f>LN(Q4)</f>
        <v>19.147048844652925</v>
      </c>
      <c r="U4" s="49">
        <f>LOG(H4)</f>
        <v>8.2964978324399254</v>
      </c>
      <c r="V4" s="49">
        <f>LOG(L4)</f>
        <v>8.3287464578729722</v>
      </c>
      <c r="W4" s="49">
        <f>LOG(P4)</f>
        <v>8.3180478241685698</v>
      </c>
      <c r="X4" s="49">
        <f xml:space="preserve"> STDEV(U4:W4)*Calculation!I4/Calculation!K3</f>
        <v>1.6456846426760822E-2</v>
      </c>
    </row>
    <row r="5" spans="1:24">
      <c r="A5" s="65">
        <v>1</v>
      </c>
      <c r="B5" s="32">
        <v>110</v>
      </c>
      <c r="C5" s="32">
        <f>C4+B5</f>
        <v>120</v>
      </c>
      <c r="D5" s="13">
        <f t="shared" si="0"/>
        <v>2</v>
      </c>
      <c r="E5" s="32">
        <v>2</v>
      </c>
      <c r="F5" s="32">
        <v>39740</v>
      </c>
      <c r="G5" s="32">
        <v>7</v>
      </c>
      <c r="H5" s="44">
        <f>('Flow cytometer'!F5/'Flow cytometer'!G5)*POWER(10,'Flow cytometer'!E5+2)*10.2</f>
        <v>579068571.42857134</v>
      </c>
      <c r="I5" s="32">
        <v>2</v>
      </c>
      <c r="J5" s="32">
        <v>40187</v>
      </c>
      <c r="K5" s="32">
        <v>7</v>
      </c>
      <c r="L5" s="44">
        <f>('Flow cytometer'!J5/'Flow cytometer'!K5)*POWER(10,'Flow cytometer'!I5+2)*10.2</f>
        <v>585582000</v>
      </c>
      <c r="M5" s="32">
        <v>2</v>
      </c>
      <c r="N5" s="32">
        <v>38781</v>
      </c>
      <c r="O5" s="32">
        <v>7</v>
      </c>
      <c r="P5" s="44">
        <f>('Flow cytometer'!N5/'Flow cytometer'!O5)*POWER(10,'Flow cytometer'!M5+2)*10.2</f>
        <v>565094571.42857134</v>
      </c>
      <c r="Q5" s="47">
        <f>AVERAGE(H5,L5,P5)*Calculation!I5/Calculation!K4</f>
        <v>579927412.51401937</v>
      </c>
      <c r="R5" s="48">
        <f>STDEV(H5,L5,P5)*Calculation!I5/Calculation!K4</f>
        <v>10528405.881904047</v>
      </c>
      <c r="S5" s="49">
        <f t="shared" ref="S5:S19" si="1">LOG(Q5)</f>
        <v>8.7633736378432303</v>
      </c>
      <c r="T5" s="49">
        <f t="shared" ref="T5:T19" si="2">LN(Q5)</f>
        <v>20.178413502834822</v>
      </c>
      <c r="U5" s="49">
        <f t="shared" ref="U5:U20" si="3">LOG(H5)</f>
        <v>8.7627299945214574</v>
      </c>
      <c r="V5" s="49">
        <f t="shared" ref="V5:V20" si="4">LOG(L5)</f>
        <v>8.767587718629537</v>
      </c>
      <c r="W5" s="49">
        <f t="shared" ref="W5:W20" si="5">LOG(P5)</f>
        <v>8.7521211352753525</v>
      </c>
      <c r="X5" s="49">
        <f xml:space="preserve"> STDEV(U5:W5)*Calculation!I5/Calculation!K4</f>
        <v>7.9553900456709667E-3</v>
      </c>
    </row>
    <row r="6" spans="1:24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E6" s="32">
        <v>3</v>
      </c>
      <c r="F6" s="32">
        <v>8331</v>
      </c>
      <c r="G6" s="32">
        <v>7</v>
      </c>
      <c r="H6" s="44">
        <f>('Flow cytometer'!F6/'Flow cytometer'!G6)*POWER(10,'Flow cytometer'!E6+2)*10.2</f>
        <v>1213945714.2857141</v>
      </c>
      <c r="I6" s="32">
        <v>3</v>
      </c>
      <c r="J6" s="32">
        <v>8448</v>
      </c>
      <c r="K6" s="32">
        <v>7</v>
      </c>
      <c r="L6" s="44">
        <f>('Flow cytometer'!J6/'Flow cytometer'!K6)*POWER(10,'Flow cytometer'!I6+2)*10.2</f>
        <v>1230994285.7142856</v>
      </c>
      <c r="M6" s="32">
        <v>3</v>
      </c>
      <c r="N6" s="32">
        <v>8878</v>
      </c>
      <c r="O6" s="32">
        <v>7</v>
      </c>
      <c r="P6" s="44">
        <f>('Flow cytometer'!N6/'Flow cytometer'!O6)*POWER(10,'Flow cytometer'!M6+2)*10.2</f>
        <v>1293651428.5714283</v>
      </c>
      <c r="Q6" s="47">
        <f>AVERAGE(H6,L6,P6)*Calculation!I6/Calculation!K5</f>
        <v>1261795726.4722898</v>
      </c>
      <c r="R6" s="48">
        <f>STDEV(H6,L6,P6)*Calculation!I6/Calculation!K5</f>
        <v>42496717.04296881</v>
      </c>
      <c r="S6" s="49">
        <f t="shared" si="1"/>
        <v>9.1009890521770771</v>
      </c>
      <c r="T6" s="49">
        <f t="shared" si="2"/>
        <v>20.955801723044946</v>
      </c>
      <c r="U6" s="49">
        <f t="shared" si="3"/>
        <v>9.0841992662175812</v>
      </c>
      <c r="V6" s="49">
        <f t="shared" si="4"/>
        <v>9.0902560369373973</v>
      </c>
      <c r="W6" s="49">
        <f t="shared" si="5"/>
        <v>9.1118172724370083</v>
      </c>
      <c r="X6" s="49">
        <f xml:space="preserve"> STDEV(U6:W6)*Calculation!I6/Calculation!K5</f>
        <v>1.4697928968354746E-2</v>
      </c>
    </row>
    <row r="7" spans="1:24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E7" s="32">
        <v>3</v>
      </c>
      <c r="F7" s="32">
        <v>14643</v>
      </c>
      <c r="G7" s="32">
        <v>7</v>
      </c>
      <c r="H7" s="44">
        <f>('Flow cytometer'!F7/'Flow cytometer'!G7)*POWER(10,'Flow cytometer'!E7+2)*10.2</f>
        <v>2133694285.7142854</v>
      </c>
      <c r="I7" s="32">
        <v>3</v>
      </c>
      <c r="J7" s="32">
        <v>14577</v>
      </c>
      <c r="K7" s="32">
        <v>7</v>
      </c>
      <c r="L7" s="44">
        <f>('Flow cytometer'!J7/'Flow cytometer'!K7)*POWER(10,'Flow cytometer'!I7+2)*10.2</f>
        <v>2124077142.8571429</v>
      </c>
      <c r="M7" s="32">
        <v>3</v>
      </c>
      <c r="N7" s="32">
        <v>15406</v>
      </c>
      <c r="O7" s="32">
        <v>7</v>
      </c>
      <c r="P7" s="44">
        <f>('Flow cytometer'!N7/'Flow cytometer'!O7)*POWER(10,'Flow cytometer'!M7+2)*10.2</f>
        <v>2244874285.7142854</v>
      </c>
      <c r="Q7" s="47">
        <f>AVERAGE(H7,L7,P7)*Calculation!I7/Calculation!K6</f>
        <v>2212767681.2559061</v>
      </c>
      <c r="R7" s="48">
        <f>STDEV(H7,L7,P7)*Calculation!I7/Calculation!K6</f>
        <v>68539086.89172253</v>
      </c>
      <c r="S7" s="49">
        <f t="shared" si="1"/>
        <v>9.344935819690976</v>
      </c>
      <c r="T7" s="49">
        <f t="shared" si="2"/>
        <v>21.517509913406535</v>
      </c>
      <c r="U7" s="49">
        <f t="shared" si="3"/>
        <v>9.3291321941238436</v>
      </c>
      <c r="V7" s="49">
        <f t="shared" si="4"/>
        <v>9.3271702855303289</v>
      </c>
      <c r="W7" s="49">
        <f t="shared" si="5"/>
        <v>9.3511920252728444</v>
      </c>
      <c r="X7" s="49">
        <f xml:space="preserve"> STDEV(U7:W7)*Calculation!I7/Calculation!K6</f>
        <v>1.3616993844425346E-2</v>
      </c>
    </row>
    <row r="8" spans="1:24">
      <c r="A8" s="65">
        <v>4</v>
      </c>
      <c r="B8" s="32">
        <v>80</v>
      </c>
      <c r="C8" s="32">
        <f t="shared" ref="C8:C18" si="6">C7+B8</f>
        <v>360</v>
      </c>
      <c r="D8" s="13">
        <f t="shared" si="0"/>
        <v>6</v>
      </c>
      <c r="E8" s="32">
        <v>3</v>
      </c>
      <c r="F8" s="32">
        <v>19425</v>
      </c>
      <c r="G8" s="32">
        <v>7</v>
      </c>
      <c r="H8" s="44">
        <f>('Flow cytometer'!F8/'Flow cytometer'!G8)*POWER(10,'Flow cytometer'!E8+2)*10.2</f>
        <v>2830500000</v>
      </c>
      <c r="I8" s="32">
        <v>3</v>
      </c>
      <c r="J8" s="32">
        <v>18842</v>
      </c>
      <c r="K8" s="32">
        <v>7</v>
      </c>
      <c r="L8" s="44">
        <f>('Flow cytometer'!J8/'Flow cytometer'!K8)*POWER(10,'Flow cytometer'!I8+2)*10.2</f>
        <v>2745548571.4285717</v>
      </c>
      <c r="M8" s="32">
        <v>3</v>
      </c>
      <c r="N8" s="32">
        <v>20910</v>
      </c>
      <c r="O8" s="32">
        <v>7</v>
      </c>
      <c r="P8" s="44">
        <f>('Flow cytometer'!N8/'Flow cytometer'!O8)*POWER(10,'Flow cytometer'!M8+2)*10.2</f>
        <v>3046885714.2857141</v>
      </c>
      <c r="Q8" s="47">
        <f>AVERAGE(H8,L8,P8)*Calculation!I8/Calculation!K7</f>
        <v>2959106594.7969813</v>
      </c>
      <c r="R8" s="48">
        <f>STDEV(H8,L8,P8)*Calculation!I8/Calculation!K7</f>
        <v>159956102.12891632</v>
      </c>
      <c r="S8" s="49">
        <f t="shared" si="1"/>
        <v>9.471160609871113</v>
      </c>
      <c r="T8" s="49">
        <f t="shared" si="2"/>
        <v>21.808153233641619</v>
      </c>
      <c r="U8" s="49">
        <f t="shared" si="3"/>
        <v>9.451863159220613</v>
      </c>
      <c r="V8" s="49">
        <f t="shared" si="4"/>
        <v>9.438629131205774</v>
      </c>
      <c r="W8" s="49">
        <f t="shared" si="5"/>
        <v>9.4838561645653332</v>
      </c>
      <c r="X8" s="49">
        <f xml:space="preserve"> STDEV(U8:W8)*Calculation!I8/Calculation!K7</f>
        <v>2.393885618419227E-2</v>
      </c>
    </row>
    <row r="9" spans="1:24">
      <c r="A9" s="65">
        <v>5</v>
      </c>
      <c r="B9" s="32">
        <v>80</v>
      </c>
      <c r="C9" s="32">
        <f t="shared" si="6"/>
        <v>440</v>
      </c>
      <c r="D9" s="13">
        <f t="shared" si="0"/>
        <v>7.333333333333333</v>
      </c>
      <c r="E9" s="32">
        <v>3</v>
      </c>
      <c r="F9" s="32">
        <v>24420</v>
      </c>
      <c r="G9" s="32">
        <v>7</v>
      </c>
      <c r="H9" s="44">
        <f>('Flow cytometer'!F9/'Flow cytometer'!G9)*POWER(10,'Flow cytometer'!E9+2)*10.2</f>
        <v>3558342857.1428571</v>
      </c>
      <c r="I9" s="32">
        <v>3</v>
      </c>
      <c r="J9" s="32">
        <v>25921</v>
      </c>
      <c r="K9" s="32">
        <v>7</v>
      </c>
      <c r="L9" s="44">
        <f>('Flow cytometer'!J9/'Flow cytometer'!K9)*POWER(10,'Flow cytometer'!I9+2)*10.2</f>
        <v>3777059999.9999995</v>
      </c>
      <c r="M9" s="32">
        <v>3</v>
      </c>
      <c r="N9" s="32">
        <v>25526</v>
      </c>
      <c r="O9" s="32">
        <v>7</v>
      </c>
      <c r="P9" s="44">
        <f>('Flow cytometer'!N9/'Flow cytometer'!O9)*POWER(10,'Flow cytometer'!M9+2)*10.2</f>
        <v>3719502857.1428571</v>
      </c>
      <c r="Q9" s="47">
        <f>AVERAGE(H9,L9,P9)*Calculation!I9/Calculation!K8</f>
        <v>3821289436.3809633</v>
      </c>
      <c r="R9" s="48">
        <f>STDEV(H9,L9,P9)*Calculation!I9/Calculation!K8</f>
        <v>117568569.9709482</v>
      </c>
      <c r="S9" s="49">
        <f t="shared" si="1"/>
        <v>9.5822099337529245</v>
      </c>
      <c r="T9" s="49">
        <f t="shared" si="2"/>
        <v>22.063853751398948</v>
      </c>
      <c r="U9" s="49">
        <f t="shared" si="3"/>
        <v>9.5512477913565252</v>
      </c>
      <c r="V9" s="49">
        <f t="shared" si="4"/>
        <v>9.5771538838113592</v>
      </c>
      <c r="W9" s="49">
        <f t="shared" si="5"/>
        <v>9.5704848966486225</v>
      </c>
      <c r="X9" s="49">
        <f xml:space="preserve"> STDEV(U9:W9)*Calculation!I9/Calculation!K8</f>
        <v>1.394918667305617E-2</v>
      </c>
    </row>
    <row r="10" spans="1:24">
      <c r="A10" s="65">
        <v>6</v>
      </c>
      <c r="B10" s="32">
        <v>80</v>
      </c>
      <c r="C10" s="32">
        <f t="shared" si="6"/>
        <v>520</v>
      </c>
      <c r="D10" s="13">
        <f t="shared" si="0"/>
        <v>8.6666666666666661</v>
      </c>
      <c r="E10" s="32">
        <v>3</v>
      </c>
      <c r="F10" s="32">
        <v>26038</v>
      </c>
      <c r="G10" s="32">
        <v>7</v>
      </c>
      <c r="H10" s="44">
        <f>('Flow cytometer'!F10/'Flow cytometer'!G10)*POWER(10,'Flow cytometer'!E10+2)*10.2</f>
        <v>3794108571.4285712</v>
      </c>
      <c r="I10" s="32">
        <v>3</v>
      </c>
      <c r="J10" s="32">
        <v>32397</v>
      </c>
      <c r="K10" s="32">
        <v>7</v>
      </c>
      <c r="L10" s="44">
        <f>('Flow cytometer'!J10/'Flow cytometer'!K10)*POWER(10,'Flow cytometer'!I10+2)*10.2</f>
        <v>4720705714.2857132</v>
      </c>
      <c r="M10" s="32">
        <v>3</v>
      </c>
      <c r="N10" s="32">
        <v>26006</v>
      </c>
      <c r="O10" s="32">
        <v>7</v>
      </c>
      <c r="P10" s="44">
        <f>('Flow cytometer'!N10/'Flow cytometer'!O10)*POWER(10,'Flow cytometer'!M10+2)*10.2</f>
        <v>3789445714.2857141</v>
      </c>
      <c r="Q10" s="47">
        <f>AVERAGE(H10,L10,P10)*Calculation!I10/Calculation!K9</f>
        <v>4285053550.5724726</v>
      </c>
      <c r="R10" s="48">
        <f>STDEV(H10,L10,P10)*Calculation!I10/Calculation!K9</f>
        <v>560335071.35219944</v>
      </c>
      <c r="S10" s="49">
        <f t="shared" si="1"/>
        <v>9.6319562536974441</v>
      </c>
      <c r="T10" s="49">
        <f t="shared" si="2"/>
        <v>22.178398886134509</v>
      </c>
      <c r="U10" s="49">
        <f t="shared" si="3"/>
        <v>9.5791097544118085</v>
      </c>
      <c r="V10" s="49">
        <f t="shared" si="4"/>
        <v>9.674006927640443</v>
      </c>
      <c r="W10" s="49">
        <f t="shared" si="5"/>
        <v>9.5785756899597185</v>
      </c>
      <c r="X10" s="49">
        <f xml:space="preserve"> STDEV(U10:W10)*Calculation!I10/Calculation!K9</f>
        <v>5.7403733115031025E-2</v>
      </c>
    </row>
    <row r="11" spans="1:24">
      <c r="A11" s="65">
        <v>7</v>
      </c>
      <c r="B11" s="32">
        <v>80</v>
      </c>
      <c r="C11" s="32">
        <f t="shared" si="6"/>
        <v>600</v>
      </c>
      <c r="D11" s="13">
        <f t="shared" si="0"/>
        <v>10</v>
      </c>
      <c r="E11" s="32">
        <v>3</v>
      </c>
      <c r="F11" s="32">
        <v>32976</v>
      </c>
      <c r="G11" s="32">
        <v>7</v>
      </c>
      <c r="H11" s="44">
        <f>('Flow cytometer'!F11/'Flow cytometer'!G11)*POWER(10,'Flow cytometer'!E11+2)*10.2</f>
        <v>4805074285.7142859</v>
      </c>
      <c r="I11" s="32">
        <v>3</v>
      </c>
      <c r="J11" s="32">
        <v>31985</v>
      </c>
      <c r="K11" s="32">
        <v>7</v>
      </c>
      <c r="L11" s="44">
        <f>('Flow cytometer'!J11/'Flow cytometer'!K11)*POWER(10,'Flow cytometer'!I11+2)*10.2</f>
        <v>4660671428.5714283</v>
      </c>
      <c r="M11" s="32">
        <v>3</v>
      </c>
      <c r="N11" s="32">
        <v>34650</v>
      </c>
      <c r="O11" s="32">
        <v>7</v>
      </c>
      <c r="P11" s="44">
        <f>('Flow cytometer'!N11/'Flow cytometer'!O11)*POWER(10,'Flow cytometer'!M11+2)*10.2</f>
        <v>5049000000</v>
      </c>
      <c r="Q11" s="47">
        <f>AVERAGE(H11,L11,P11)*Calculation!I11/Calculation!K10</f>
        <v>5074419338.3902626</v>
      </c>
      <c r="R11" s="48">
        <f>STDEV(H11,L11,P11)*Calculation!I11/Calculation!K10</f>
        <v>205859283.57814911</v>
      </c>
      <c r="S11" s="49">
        <f t="shared" si="1"/>
        <v>9.7053863534698461</v>
      </c>
      <c r="T11" s="49">
        <f t="shared" si="2"/>
        <v>22.347477939247508</v>
      </c>
      <c r="U11" s="49">
        <f t="shared" si="3"/>
        <v>9.6817001061827987</v>
      </c>
      <c r="V11" s="49">
        <f t="shared" si="4"/>
        <v>9.6684484868012426</v>
      </c>
      <c r="W11" s="49">
        <f t="shared" si="5"/>
        <v>9.7032053706954855</v>
      </c>
      <c r="X11" s="49">
        <f xml:space="preserve"> STDEV(U11:W11)*Calculation!I11/Calculation!K10</f>
        <v>1.8397247192341881E-2</v>
      </c>
    </row>
    <row r="12" spans="1:24">
      <c r="A12" s="65">
        <v>8</v>
      </c>
      <c r="B12" s="32">
        <v>80</v>
      </c>
      <c r="C12" s="32">
        <f t="shared" si="6"/>
        <v>680</v>
      </c>
      <c r="D12" s="13">
        <f t="shared" si="0"/>
        <v>11.333333333333334</v>
      </c>
      <c r="E12" s="32">
        <v>3</v>
      </c>
      <c r="F12" s="32">
        <v>28198</v>
      </c>
      <c r="G12" s="32">
        <v>7</v>
      </c>
      <c r="H12" s="44">
        <f>('Flow cytometer'!F12/'Flow cytometer'!G12)*POWER(10,'Flow cytometer'!E12+2)*10.2</f>
        <v>4108851428.5714278</v>
      </c>
      <c r="I12" s="32">
        <v>3</v>
      </c>
      <c r="J12" s="32">
        <v>27174</v>
      </c>
      <c r="K12" s="32">
        <v>7</v>
      </c>
      <c r="L12" s="44">
        <f>('Flow cytometer'!J12/'Flow cytometer'!K12)*POWER(10,'Flow cytometer'!I12+2)*10.2</f>
        <v>3959639999.9999995</v>
      </c>
      <c r="M12" s="32">
        <v>3</v>
      </c>
      <c r="N12" s="32">
        <v>29346</v>
      </c>
      <c r="O12" s="32">
        <v>7</v>
      </c>
      <c r="P12" s="44">
        <f>('Flow cytometer'!N12/'Flow cytometer'!O12)*POWER(10,'Flow cytometer'!M12+2)*10.2</f>
        <v>4276131428.5714288</v>
      </c>
      <c r="Q12" s="47">
        <f>AVERAGE(H12,L12,P12)*Calculation!I12/Calculation!K11</f>
        <v>4326084267.297965</v>
      </c>
      <c r="R12" s="48">
        <f>STDEV(H12,L12,P12)*Calculation!I12/Calculation!K11</f>
        <v>166458565.56172365</v>
      </c>
      <c r="S12" s="49">
        <f t="shared" si="1"/>
        <v>9.6360949747577358</v>
      </c>
      <c r="T12" s="49">
        <f t="shared" si="2"/>
        <v>22.187928643551999</v>
      </c>
      <c r="U12" s="49">
        <f t="shared" si="3"/>
        <v>9.6137204379476504</v>
      </c>
      <c r="V12" s="49">
        <f t="shared" si="4"/>
        <v>9.5976557028142615</v>
      </c>
      <c r="W12" s="49">
        <f t="shared" si="5"/>
        <v>9.6310510449525868</v>
      </c>
      <c r="X12" s="49">
        <f xml:space="preserve"> STDEV(U12:W12)*Calculation!I12/Calculation!K11</f>
        <v>1.7558939467115488E-2</v>
      </c>
    </row>
    <row r="13" spans="1:24">
      <c r="A13" s="65">
        <v>9</v>
      </c>
      <c r="B13" s="32">
        <v>80</v>
      </c>
      <c r="C13" s="32">
        <f t="shared" si="6"/>
        <v>760</v>
      </c>
      <c r="D13" s="13">
        <f t="shared" si="0"/>
        <v>12.666666666666666</v>
      </c>
      <c r="E13" s="32">
        <v>3</v>
      </c>
      <c r="F13" s="32">
        <v>24612</v>
      </c>
      <c r="G13" s="32">
        <v>7</v>
      </c>
      <c r="H13" s="44">
        <f>('Flow cytometer'!F13/'Flow cytometer'!G13)*POWER(10,'Flow cytometer'!E13+2)*10.2</f>
        <v>3586319999.9999995</v>
      </c>
      <c r="I13" s="32">
        <v>3</v>
      </c>
      <c r="J13" s="32">
        <v>23054</v>
      </c>
      <c r="K13" s="32">
        <v>7</v>
      </c>
      <c r="L13" s="44">
        <f>('Flow cytometer'!J13/'Flow cytometer'!K13)*POWER(10,'Flow cytometer'!I13+2)*10.2</f>
        <v>3359297142.8571424</v>
      </c>
      <c r="M13" s="32">
        <v>3</v>
      </c>
      <c r="N13" s="32">
        <v>25987</v>
      </c>
      <c r="O13" s="32">
        <v>7</v>
      </c>
      <c r="P13" s="44">
        <f>('Flow cytometer'!N13/'Flow cytometer'!O13)*POWER(10,'Flow cytometer'!M13+2)*10.2</f>
        <v>3786677142.8571424</v>
      </c>
      <c r="Q13" s="47">
        <f>AVERAGE(H13,L13,P13)*Calculation!I13/Calculation!K12</f>
        <v>3767308112.8345757</v>
      </c>
      <c r="R13" s="48">
        <f>STDEV(H13,L13,P13)*Calculation!I13/Calculation!K12</f>
        <v>225177824.92168376</v>
      </c>
      <c r="S13" s="49">
        <f t="shared" si="1"/>
        <v>9.5760311408381895</v>
      </c>
      <c r="T13" s="49">
        <f t="shared" si="2"/>
        <v>22.049626554940779</v>
      </c>
      <c r="U13" s="49">
        <f t="shared" si="3"/>
        <v>9.5546490381636513</v>
      </c>
      <c r="V13" s="49">
        <f t="shared" si="4"/>
        <v>9.5262484205715392</v>
      </c>
      <c r="W13" s="49">
        <f t="shared" si="5"/>
        <v>9.5782582781726138</v>
      </c>
      <c r="X13" s="49">
        <f xml:space="preserve"> STDEV(U13:W13)*Calculation!I13/Calculation!K12</f>
        <v>2.7423881737075731E-2</v>
      </c>
    </row>
    <row r="14" spans="1:24">
      <c r="A14" s="65">
        <v>10</v>
      </c>
      <c r="B14" s="32">
        <v>80</v>
      </c>
      <c r="C14" s="32">
        <f t="shared" si="6"/>
        <v>840</v>
      </c>
      <c r="D14" s="13">
        <f t="shared" si="0"/>
        <v>14</v>
      </c>
      <c r="E14" s="32">
        <v>3</v>
      </c>
      <c r="F14" s="32">
        <v>21838</v>
      </c>
      <c r="G14" s="32">
        <v>7</v>
      </c>
      <c r="H14" s="44">
        <f>('Flow cytometer'!F14/'Flow cytometer'!G14)*POWER(10,'Flow cytometer'!E14+2)*10.2</f>
        <v>3182108571.4285717</v>
      </c>
      <c r="I14" s="32">
        <v>3</v>
      </c>
      <c r="J14" s="32">
        <v>24397</v>
      </c>
      <c r="K14" s="32">
        <v>7</v>
      </c>
      <c r="L14" s="44">
        <f>('Flow cytometer'!J14/'Flow cytometer'!K14)*POWER(10,'Flow cytometer'!I14+2)*10.2</f>
        <v>3554991428.5714283</v>
      </c>
      <c r="M14" s="32">
        <v>3</v>
      </c>
      <c r="N14" s="32">
        <v>23866</v>
      </c>
      <c r="O14" s="32">
        <v>7</v>
      </c>
      <c r="P14" s="44">
        <f>('Flow cytometer'!N14/'Flow cytometer'!O14)*POWER(10,'Flow cytometer'!M14+2)*10.2</f>
        <v>3477617142.8571424</v>
      </c>
      <c r="Q14" s="47">
        <f>AVERAGE(H14,L14,P14)*Calculation!I14/Calculation!K13</f>
        <v>3588740604.9253311</v>
      </c>
      <c r="R14" s="48">
        <f>STDEV(H14,L14,P14)*Calculation!I14/Calculation!K13</f>
        <v>207413093.54210138</v>
      </c>
      <c r="S14" s="49">
        <f t="shared" si="1"/>
        <v>9.554942068553137</v>
      </c>
      <c r="T14" s="49">
        <f t="shared" si="2"/>
        <v>22.001067171472144</v>
      </c>
      <c r="U14" s="49">
        <f t="shared" si="3"/>
        <v>9.5027149934023019</v>
      </c>
      <c r="V14" s="49">
        <f t="shared" si="4"/>
        <v>9.5508385579409971</v>
      </c>
      <c r="W14" s="49">
        <f t="shared" si="5"/>
        <v>9.5412817680356419</v>
      </c>
      <c r="X14" s="49">
        <f xml:space="preserve"> STDEV(U14:W14)*Calculation!I14/Calculation!K13</f>
        <v>2.6853018209683086E-2</v>
      </c>
    </row>
    <row r="15" spans="1:24">
      <c r="A15" s="65">
        <v>11</v>
      </c>
      <c r="B15" s="32">
        <v>80</v>
      </c>
      <c r="C15" s="32">
        <f t="shared" si="6"/>
        <v>920</v>
      </c>
      <c r="D15" s="13">
        <f t="shared" si="0"/>
        <v>15.333333333333334</v>
      </c>
      <c r="E15" s="32">
        <v>3</v>
      </c>
      <c r="F15" s="32">
        <v>24704</v>
      </c>
      <c r="G15" s="32">
        <v>7</v>
      </c>
      <c r="H15" s="44">
        <f>('Flow cytometer'!F15/'Flow cytometer'!G15)*POWER(10,'Flow cytometer'!E15+2)*10.2</f>
        <v>3599725714.2857141</v>
      </c>
      <c r="I15" s="32">
        <v>3</v>
      </c>
      <c r="J15" s="32">
        <v>20547</v>
      </c>
      <c r="K15" s="32">
        <v>7</v>
      </c>
      <c r="L15" s="44">
        <f>('Flow cytometer'!J15/'Flow cytometer'!K15)*POWER(10,'Flow cytometer'!I15+2)*10.2</f>
        <v>2993991428.5714283</v>
      </c>
      <c r="M15" s="32">
        <v>3</v>
      </c>
      <c r="N15" s="32">
        <v>25573</v>
      </c>
      <c r="O15" s="32">
        <v>7</v>
      </c>
      <c r="P15" s="44">
        <f>('Flow cytometer'!N15/'Flow cytometer'!O15)*POWER(10,'Flow cytometer'!M15+2)*10.2</f>
        <v>3726351428.5714278</v>
      </c>
      <c r="Q15" s="47">
        <f>AVERAGE(H15,L15,P15)*Calculation!I15/Calculation!K14</f>
        <v>3625753763.9011078</v>
      </c>
      <c r="R15" s="48">
        <f>STDEV(H15,L15,P15)*Calculation!I15/Calculation!K14</f>
        <v>412562556.65693843</v>
      </c>
      <c r="S15" s="49">
        <f t="shared" si="1"/>
        <v>9.559398306485857</v>
      </c>
      <c r="T15" s="49">
        <f t="shared" si="2"/>
        <v>22.011328038506861</v>
      </c>
      <c r="U15" s="49">
        <f t="shared" si="3"/>
        <v>9.5562694104033028</v>
      </c>
      <c r="V15" s="49">
        <f t="shared" si="4"/>
        <v>9.4762505526772216</v>
      </c>
      <c r="W15" s="49">
        <f t="shared" si="5"/>
        <v>9.5712838103810078</v>
      </c>
      <c r="X15" s="49">
        <f xml:space="preserve"> STDEV(U15:W15)*Calculation!I15/Calculation!K14</f>
        <v>5.3846073639412489E-2</v>
      </c>
    </row>
    <row r="16" spans="1:24">
      <c r="A16" s="65">
        <v>12</v>
      </c>
      <c r="B16" s="32">
        <v>80</v>
      </c>
      <c r="C16" s="32">
        <f t="shared" si="6"/>
        <v>1000</v>
      </c>
      <c r="D16" s="13">
        <f t="shared" si="0"/>
        <v>16.666666666666668</v>
      </c>
      <c r="E16" s="32">
        <v>3</v>
      </c>
      <c r="F16" s="32">
        <v>17628</v>
      </c>
      <c r="G16" s="32">
        <v>7</v>
      </c>
      <c r="H16" s="44">
        <f>('Flow cytometer'!F16/'Flow cytometer'!G16)*POWER(10,'Flow cytometer'!E16+2)*10.2</f>
        <v>2568651428.5714283</v>
      </c>
      <c r="I16" s="32">
        <v>3</v>
      </c>
      <c r="J16" s="32">
        <v>17688</v>
      </c>
      <c r="K16" s="32">
        <v>7</v>
      </c>
      <c r="L16" s="44">
        <f>('Flow cytometer'!J16/'Flow cytometer'!K16)*POWER(10,'Flow cytometer'!I16+2)*10.2</f>
        <v>2577394285.7142854</v>
      </c>
      <c r="M16" s="32">
        <v>3</v>
      </c>
      <c r="N16" s="32">
        <v>20448</v>
      </c>
      <c r="O16" s="32">
        <v>7</v>
      </c>
      <c r="P16" s="44">
        <f>('Flow cytometer'!N16/'Flow cytometer'!O16)*POWER(10,'Flow cytometer'!M16+2)*10.2</f>
        <v>2979565714.2857141</v>
      </c>
      <c r="Q16" s="47">
        <f>AVERAGE(H16,L16,P16)*Calculation!I16/Calculation!K15</f>
        <v>2860165722.7060251</v>
      </c>
      <c r="R16" s="48">
        <f>STDEV(H16,L16,P16)*Calculation!I16/Calculation!K15</f>
        <v>247900507.88708809</v>
      </c>
      <c r="S16" s="49">
        <f t="shared" si="1"/>
        <v>9.4563911975946411</v>
      </c>
      <c r="T16" s="49">
        <f t="shared" si="2"/>
        <v>21.774145405101532</v>
      </c>
      <c r="U16" s="49">
        <f t="shared" si="3"/>
        <v>9.4097051735855413</v>
      </c>
      <c r="V16" s="49">
        <f t="shared" si="4"/>
        <v>9.4111808613183179</v>
      </c>
      <c r="W16" s="49">
        <f t="shared" si="5"/>
        <v>9.4741529682259671</v>
      </c>
      <c r="X16" s="49">
        <f xml:space="preserve"> STDEV(U16:W16)*Calculation!I16/Calculation!K15</f>
        <v>3.8849944452758106E-2</v>
      </c>
    </row>
    <row r="17" spans="1:24">
      <c r="A17" s="65">
        <v>13</v>
      </c>
      <c r="B17" s="32">
        <v>80</v>
      </c>
      <c r="C17" s="32">
        <f t="shared" si="6"/>
        <v>1080</v>
      </c>
      <c r="D17" s="13">
        <f t="shared" si="0"/>
        <v>18</v>
      </c>
      <c r="E17" s="32">
        <v>3</v>
      </c>
      <c r="F17" s="32">
        <v>18161</v>
      </c>
      <c r="G17" s="32">
        <v>7</v>
      </c>
      <c r="H17" s="44">
        <f>('Flow cytometer'!F17/'Flow cytometer'!G17)*POWER(10,'Flow cytometer'!E17+2)*10.2</f>
        <v>2646317142.8571429</v>
      </c>
      <c r="I17" s="32">
        <v>3</v>
      </c>
      <c r="J17" s="32">
        <v>16188</v>
      </c>
      <c r="K17" s="32">
        <v>7</v>
      </c>
      <c r="L17" s="44">
        <f>('Flow cytometer'!J17/'Flow cytometer'!K17)*POWER(10,'Flow cytometer'!I17+2)*10.2</f>
        <v>2358822857.1428566</v>
      </c>
      <c r="M17" s="32">
        <v>3</v>
      </c>
      <c r="N17" s="32">
        <v>16425</v>
      </c>
      <c r="O17" s="32">
        <v>7</v>
      </c>
      <c r="P17" s="44">
        <f>('Flow cytometer'!N17/'Flow cytometer'!O17)*POWER(10,'Flow cytometer'!M17+2)*10.2</f>
        <v>2393357142.8571429</v>
      </c>
      <c r="Q17" s="47">
        <f>AVERAGE(H17,L17,P17)*Calculation!I17/Calculation!K16</f>
        <v>2606804365.1272793</v>
      </c>
      <c r="R17" s="48">
        <f>STDEV(H17,L17,P17)*Calculation!I17/Calculation!K16</f>
        <v>165919804.05430588</v>
      </c>
      <c r="S17" s="49">
        <f t="shared" si="1"/>
        <v>9.4161084395558401</v>
      </c>
      <c r="T17" s="49">
        <f t="shared" si="2"/>
        <v>21.681390926936704</v>
      </c>
      <c r="U17" s="49">
        <f t="shared" si="3"/>
        <v>9.4226418901686788</v>
      </c>
      <c r="V17" s="49">
        <f t="shared" si="4"/>
        <v>9.3726953274671896</v>
      </c>
      <c r="W17" s="49">
        <f t="shared" si="5"/>
        <v>9.3790075099794787</v>
      </c>
      <c r="X17" s="49">
        <f xml:space="preserve"> STDEV(U17:W17)*Calculation!I17/Calculation!K16</f>
        <v>2.8749269046142622E-2</v>
      </c>
    </row>
    <row r="18" spans="1:24">
      <c r="A18" s="65">
        <v>14</v>
      </c>
      <c r="B18" s="32">
        <v>360</v>
      </c>
      <c r="C18" s="32">
        <f t="shared" si="6"/>
        <v>1440</v>
      </c>
      <c r="D18" s="13">
        <f t="shared" si="0"/>
        <v>24</v>
      </c>
      <c r="E18" s="32">
        <v>3</v>
      </c>
      <c r="F18" s="32">
        <v>12244</v>
      </c>
      <c r="G18" s="32">
        <v>7</v>
      </c>
      <c r="H18" s="44">
        <f>('Flow cytometer'!F18/'Flow cytometer'!G18)*POWER(10,'Flow cytometer'!E18+2)*10.2</f>
        <v>1784125714.2857141</v>
      </c>
      <c r="I18" s="32">
        <v>3</v>
      </c>
      <c r="J18" s="32">
        <v>11604</v>
      </c>
      <c r="K18" s="32">
        <v>7</v>
      </c>
      <c r="L18" s="44">
        <f>('Flow cytometer'!J18/'Flow cytometer'!K18)*POWER(10,'Flow cytometer'!I18+2)*10.2</f>
        <v>1690868571.4285712</v>
      </c>
      <c r="M18" s="32">
        <v>3</v>
      </c>
      <c r="N18" s="32">
        <v>12399</v>
      </c>
      <c r="O18" s="32">
        <v>7</v>
      </c>
      <c r="P18" s="44">
        <f>('Flow cytometer'!N18/'Flow cytometer'!O18)*POWER(10,'Flow cytometer'!M18+2)*10.2</f>
        <v>1806711428.5714285</v>
      </c>
      <c r="Q18" s="47">
        <f>AVERAGE(H18,L18,P18)*Calculation!I18/Calculation!K17</f>
        <v>1860968957.0009942</v>
      </c>
      <c r="R18" s="48">
        <f>STDEV(H18,L18,P18)*Calculation!I18/Calculation!K17</f>
        <v>64911251.882744156</v>
      </c>
      <c r="S18" s="49">
        <f t="shared" si="1"/>
        <v>9.2697391286839022</v>
      </c>
      <c r="T18" s="49">
        <f t="shared" si="2"/>
        <v>21.344363133651168</v>
      </c>
      <c r="U18" s="49">
        <f t="shared" si="3"/>
        <v>9.251425452672958</v>
      </c>
      <c r="V18" s="49">
        <f t="shared" si="4"/>
        <v>9.2281098518782869</v>
      </c>
      <c r="W18" s="49">
        <f t="shared" si="5"/>
        <v>9.2568887917490308</v>
      </c>
      <c r="X18" s="49">
        <f xml:space="preserve"> STDEV(U18:W18)*Calculation!I18/Calculation!K17</f>
        <v>1.6156116031139197E-2</v>
      </c>
    </row>
    <row r="19" spans="1:24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E19" s="32">
        <v>3</v>
      </c>
      <c r="F19" s="32">
        <v>10673</v>
      </c>
      <c r="G19" s="32">
        <v>7</v>
      </c>
      <c r="H19" s="44">
        <f>('Flow cytometer'!F19/'Flow cytometer'!G19)*POWER(10,'Flow cytometer'!E19+2)*10.2</f>
        <v>1555208571.4285712</v>
      </c>
      <c r="I19" s="32">
        <v>3</v>
      </c>
      <c r="J19" s="32">
        <v>10955</v>
      </c>
      <c r="K19" s="32">
        <v>7</v>
      </c>
      <c r="L19" s="44">
        <f>('Flow cytometer'!J19/'Flow cytometer'!K19)*POWER(10,'Flow cytometer'!I19+2)*10.2</f>
        <v>1596300000</v>
      </c>
      <c r="M19" s="32">
        <v>3</v>
      </c>
      <c r="N19" s="32">
        <v>11952</v>
      </c>
      <c r="O19" s="32">
        <v>7</v>
      </c>
      <c r="P19" s="44">
        <f>('Flow cytometer'!N19/'Flow cytometer'!O19)*POWER(10,'Flow cytometer'!M19+2)*10.2</f>
        <v>1741577142.8571427</v>
      </c>
      <c r="Q19" s="47">
        <f>AVERAGE(H19,L19,P19)*Calculation!I19/Calculation!K18</f>
        <v>1724041646.9250803</v>
      </c>
      <c r="R19" s="48">
        <f>STDEV(H19,L19,P19)*Calculation!I19/Calculation!K18</f>
        <v>103501625.34873275</v>
      </c>
      <c r="S19" s="49">
        <f t="shared" si="1"/>
        <v>9.2365477526785362</v>
      </c>
      <c r="T19" s="49">
        <f t="shared" si="2"/>
        <v>21.26793716604525</v>
      </c>
      <c r="U19" s="49">
        <f t="shared" si="3"/>
        <v>9.1917886411739378</v>
      </c>
      <c r="V19" s="49">
        <f t="shared" si="4"/>
        <v>9.203114513644385</v>
      </c>
      <c r="W19" s="49">
        <f t="shared" si="5"/>
        <v>9.240942716218985</v>
      </c>
      <c r="X19" s="49">
        <f xml:space="preserve"> STDEV(U19:W19)*Calculation!I19/Calculation!K18</f>
        <v>2.7208175022569839E-2</v>
      </c>
    </row>
    <row r="20" spans="1:24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E20" s="32">
        <v>3</v>
      </c>
      <c r="F20" s="32">
        <v>13596</v>
      </c>
      <c r="G20" s="32">
        <v>7</v>
      </c>
      <c r="H20" s="44">
        <f>('Flow cytometer'!F20/'Flow cytometer'!G20)*POWER(10,'Flow cytometer'!E20+2)*10.2</f>
        <v>1981131428.5714285</v>
      </c>
      <c r="I20" s="32">
        <v>3</v>
      </c>
      <c r="J20" s="32">
        <v>14392</v>
      </c>
      <c r="K20" s="32">
        <v>7</v>
      </c>
      <c r="L20" s="44">
        <f>('Flow cytometer'!J20/'Flow cytometer'!K20)*POWER(10,'Flow cytometer'!I20+2)*10.2</f>
        <v>2097119999.9999998</v>
      </c>
      <c r="M20" s="32">
        <v>3</v>
      </c>
      <c r="N20" s="32">
        <v>16229</v>
      </c>
      <c r="O20" s="32">
        <v>7</v>
      </c>
      <c r="P20" s="44">
        <f>('Flow cytometer'!N20/'Flow cytometer'!O20)*POWER(10,'Flow cytometer'!M20+2)*10.2</f>
        <v>2364797142.8571429</v>
      </c>
      <c r="Q20" s="47">
        <f>AVERAGE(H20,L20,P20)*Calculation!I20/Calculation!K19</f>
        <v>2272833227.641016</v>
      </c>
      <c r="R20" s="48">
        <f>STDEV(H20,L20,P20)*Calculation!I20/Calculation!K19</f>
        <v>208233181.29891005</v>
      </c>
      <c r="S20" s="49">
        <f t="shared" ref="S20" si="7">LOG(Q20)</f>
        <v>9.356567569920994</v>
      </c>
      <c r="T20" s="49">
        <f t="shared" ref="T20" si="8">LN(Q20)</f>
        <v>21.544293008091604</v>
      </c>
      <c r="U20" s="49">
        <f t="shared" si="3"/>
        <v>9.2969132876586826</v>
      </c>
      <c r="V20" s="49">
        <f t="shared" si="4"/>
        <v>9.3216232820851559</v>
      </c>
      <c r="W20" s="49">
        <f t="shared" si="5"/>
        <v>9.3737938920013839</v>
      </c>
      <c r="X20" s="49">
        <f xml:space="preserve"> STDEV(U20:W20)*Calculation!I20/Calculation!K19</f>
        <v>4.1536307640481288E-2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1:R48"/>
  <sheetViews>
    <sheetView topLeftCell="A17" workbookViewId="0">
      <selection activeCell="G13" sqref="G13"/>
    </sheetView>
  </sheetViews>
  <sheetFormatPr baseColWidth="10" defaultColWidth="8.83203125" defaultRowHeight="14" x14ac:dyDescent="0"/>
  <cols>
    <col min="1" max="2" width="8.83203125" style="85"/>
    <col min="3" max="3" width="9.83203125" style="85" customWidth="1"/>
    <col min="4" max="17" width="8.83203125" style="85"/>
    <col min="18" max="18" width="13.83203125" style="85" bestFit="1" customWidth="1"/>
    <col min="19" max="16384" width="8.83203125" style="85"/>
  </cols>
  <sheetData>
    <row r="1" spans="2:18">
      <c r="B1" s="142" t="s">
        <v>4</v>
      </c>
      <c r="C1" s="144" t="s">
        <v>186</v>
      </c>
      <c r="D1" s="145" t="s">
        <v>18</v>
      </c>
      <c r="E1" s="145"/>
      <c r="F1" s="145"/>
      <c r="G1" s="145"/>
      <c r="H1" s="145" t="s">
        <v>20</v>
      </c>
      <c r="I1" s="145"/>
      <c r="J1" s="145"/>
      <c r="K1" s="145"/>
      <c r="L1" s="145" t="s">
        <v>21</v>
      </c>
      <c r="M1" s="145"/>
      <c r="N1" s="145"/>
      <c r="O1" s="145"/>
      <c r="P1" s="84" t="s">
        <v>22</v>
      </c>
      <c r="Q1" s="84" t="s">
        <v>22</v>
      </c>
      <c r="R1" s="84" t="s">
        <v>22</v>
      </c>
    </row>
    <row r="2" spans="2:18">
      <c r="B2" s="143"/>
      <c r="C2" s="143"/>
      <c r="D2" s="86" t="s">
        <v>19</v>
      </c>
      <c r="E2" s="86" t="s">
        <v>68</v>
      </c>
      <c r="F2" s="86" t="s">
        <v>69</v>
      </c>
      <c r="G2" s="86" t="s">
        <v>70</v>
      </c>
      <c r="H2" s="86" t="s">
        <v>19</v>
      </c>
      <c r="I2" s="86" t="s">
        <v>68</v>
      </c>
      <c r="J2" s="86" t="s">
        <v>69</v>
      </c>
      <c r="K2" s="86" t="s">
        <v>70</v>
      </c>
      <c r="L2" s="86" t="s">
        <v>19</v>
      </c>
      <c r="M2" s="86" t="s">
        <v>68</v>
      </c>
      <c r="N2" s="86" t="s">
        <v>69</v>
      </c>
      <c r="O2" s="86" t="s">
        <v>71</v>
      </c>
      <c r="P2" s="87" t="s">
        <v>70</v>
      </c>
      <c r="Q2" s="87" t="s">
        <v>23</v>
      </c>
      <c r="R2" s="87" t="s">
        <v>72</v>
      </c>
    </row>
    <row r="3" spans="2:18">
      <c r="B3" s="88"/>
      <c r="C3" s="88"/>
      <c r="D3" s="89"/>
      <c r="E3" s="89"/>
      <c r="F3" s="89"/>
      <c r="G3" s="90"/>
      <c r="H3" s="89"/>
      <c r="I3" s="89"/>
      <c r="J3" s="89"/>
      <c r="K3" s="90"/>
      <c r="L3" s="89"/>
      <c r="M3" s="89"/>
      <c r="N3" s="89"/>
      <c r="O3" s="90"/>
      <c r="P3" s="139"/>
      <c r="Q3" s="140"/>
      <c r="R3" s="141"/>
    </row>
    <row r="4" spans="2:18">
      <c r="B4" s="91" t="s">
        <v>187</v>
      </c>
      <c r="C4" s="92">
        <v>500</v>
      </c>
      <c r="D4" s="92">
        <v>3</v>
      </c>
      <c r="E4" s="92">
        <v>14133</v>
      </c>
      <c r="F4" s="92">
        <v>7</v>
      </c>
      <c r="G4" s="90">
        <f>(E4/F4)*(10.2)*POWER(10,D4+2)</f>
        <v>2059380000</v>
      </c>
      <c r="H4" s="92">
        <v>3</v>
      </c>
      <c r="I4" s="92">
        <v>15082</v>
      </c>
      <c r="J4" s="92">
        <v>7</v>
      </c>
      <c r="K4" s="90">
        <f t="shared" ref="K4:K18" si="0">(I4/J4)*(10.2)*POWER(10,H4+2)</f>
        <v>2197662857.1428571</v>
      </c>
      <c r="L4" s="92">
        <v>3</v>
      </c>
      <c r="M4" s="92">
        <v>15922</v>
      </c>
      <c r="N4" s="92">
        <v>7</v>
      </c>
      <c r="O4" s="90">
        <f t="shared" ref="O4:O19" si="1">(M4/N4)*(10.2)*POWER(10,L4+2)</f>
        <v>2320062857.1428571</v>
      </c>
      <c r="P4" s="93">
        <f t="shared" ref="P4:P19" si="2">AVERAGE(O4,K4,G4)</f>
        <v>2192368571.4285712</v>
      </c>
      <c r="Q4" s="93">
        <f t="shared" ref="Q4:Q19" si="3">STDEV(O4,K4,G4)</f>
        <v>130422046.05801573</v>
      </c>
      <c r="R4" s="94">
        <f>LOG(P4)</f>
        <v>9.3409135676416426</v>
      </c>
    </row>
    <row r="5" spans="2:18">
      <c r="B5" s="91" t="s">
        <v>188</v>
      </c>
      <c r="C5" s="92">
        <v>500</v>
      </c>
      <c r="D5" s="92">
        <v>2</v>
      </c>
      <c r="E5" s="92">
        <v>16544</v>
      </c>
      <c r="F5" s="92">
        <v>7</v>
      </c>
      <c r="G5" s="90">
        <f t="shared" ref="G5:G19" si="4">(E5/F5)*(10.2)*POWER(10,D5+2)</f>
        <v>241069714.2857143</v>
      </c>
      <c r="H5" s="92">
        <v>2</v>
      </c>
      <c r="I5" s="92">
        <v>15924</v>
      </c>
      <c r="J5" s="92">
        <v>7</v>
      </c>
      <c r="K5" s="90">
        <f t="shared" si="0"/>
        <v>232035428.57142854</v>
      </c>
      <c r="L5" s="92">
        <v>2</v>
      </c>
      <c r="M5" s="92">
        <v>15173</v>
      </c>
      <c r="N5" s="92">
        <v>7</v>
      </c>
      <c r="O5" s="90">
        <f t="shared" si="1"/>
        <v>221092285.71428567</v>
      </c>
      <c r="P5" s="93">
        <f t="shared" si="2"/>
        <v>231399142.85714284</v>
      </c>
      <c r="Q5" s="93">
        <f t="shared" si="3"/>
        <v>10003902.124385577</v>
      </c>
      <c r="R5" s="94">
        <f t="shared" ref="R5:R19" si="5">LOG(P5)</f>
        <v>8.3643617459160655</v>
      </c>
    </row>
    <row r="6" spans="2:18">
      <c r="B6" s="91" t="s">
        <v>189</v>
      </c>
      <c r="C6" s="92">
        <v>500</v>
      </c>
      <c r="D6" s="92">
        <v>1</v>
      </c>
      <c r="E6" s="92">
        <v>18107</v>
      </c>
      <c r="F6" s="92">
        <v>7</v>
      </c>
      <c r="G6" s="90">
        <f t="shared" si="4"/>
        <v>26384485.714285713</v>
      </c>
      <c r="H6" s="92">
        <v>1</v>
      </c>
      <c r="I6" s="92">
        <v>18423</v>
      </c>
      <c r="J6" s="92">
        <v>7</v>
      </c>
      <c r="K6" s="90">
        <f t="shared" si="0"/>
        <v>26844942.857142854</v>
      </c>
      <c r="L6" s="92">
        <v>1</v>
      </c>
      <c r="M6" s="92">
        <v>17005</v>
      </c>
      <c r="N6" s="92">
        <v>7</v>
      </c>
      <c r="O6" s="90">
        <f t="shared" si="1"/>
        <v>24778714.285714284</v>
      </c>
      <c r="P6" s="93">
        <f t="shared" si="2"/>
        <v>26002714.285714284</v>
      </c>
      <c r="Q6" s="93">
        <f t="shared" si="3"/>
        <v>1084729.0883451225</v>
      </c>
      <c r="R6" s="94">
        <f t="shared" si="5"/>
        <v>7.4150186840393397</v>
      </c>
    </row>
    <row r="7" spans="2:18">
      <c r="B7" s="91" t="s">
        <v>190</v>
      </c>
      <c r="C7" s="92">
        <v>500</v>
      </c>
      <c r="D7" s="92">
        <v>1</v>
      </c>
      <c r="E7" s="92">
        <v>1825</v>
      </c>
      <c r="F7" s="92">
        <v>7</v>
      </c>
      <c r="G7" s="90">
        <f t="shared" si="4"/>
        <v>2659285.7142857141</v>
      </c>
      <c r="H7" s="92">
        <v>1</v>
      </c>
      <c r="I7" s="92">
        <v>1808</v>
      </c>
      <c r="J7" s="92">
        <v>7</v>
      </c>
      <c r="K7" s="90">
        <f t="shared" si="0"/>
        <v>2634514.2857142854</v>
      </c>
      <c r="L7" s="92">
        <v>1</v>
      </c>
      <c r="M7" s="92">
        <v>1822</v>
      </c>
      <c r="N7" s="92">
        <v>7</v>
      </c>
      <c r="O7" s="90">
        <f t="shared" si="1"/>
        <v>2654914.2857142854</v>
      </c>
      <c r="P7" s="93">
        <f t="shared" si="2"/>
        <v>2649571.4285714286</v>
      </c>
      <c r="Q7" s="93">
        <f t="shared" si="3"/>
        <v>13221.78165770719</v>
      </c>
      <c r="R7" s="94">
        <f t="shared" si="5"/>
        <v>6.4231756319523594</v>
      </c>
    </row>
    <row r="8" spans="2:18">
      <c r="B8" s="91" t="s">
        <v>191</v>
      </c>
      <c r="C8" s="92">
        <v>500</v>
      </c>
      <c r="D8" s="92">
        <v>0</v>
      </c>
      <c r="E8" s="92">
        <v>2306</v>
      </c>
      <c r="F8" s="92">
        <v>7</v>
      </c>
      <c r="G8" s="90">
        <f t="shared" si="4"/>
        <v>336017.14285714284</v>
      </c>
      <c r="H8" s="92">
        <v>0</v>
      </c>
      <c r="I8" s="92">
        <v>2052</v>
      </c>
      <c r="J8" s="92">
        <v>7</v>
      </c>
      <c r="K8" s="90">
        <f t="shared" si="0"/>
        <v>299005.71428571432</v>
      </c>
      <c r="L8" s="92">
        <v>0</v>
      </c>
      <c r="M8" s="92">
        <v>2049</v>
      </c>
      <c r="N8" s="92">
        <v>7</v>
      </c>
      <c r="O8" s="90">
        <f t="shared" si="1"/>
        <v>298568.57142857142</v>
      </c>
      <c r="P8" s="93">
        <f t="shared" si="2"/>
        <v>311197.14285714284</v>
      </c>
      <c r="Q8" s="93">
        <f t="shared" si="3"/>
        <v>21495.861775453133</v>
      </c>
      <c r="R8" s="94">
        <f t="shared" si="5"/>
        <v>5.4930356010198587</v>
      </c>
    </row>
    <row r="9" spans="2:18">
      <c r="B9" s="91" t="s">
        <v>192</v>
      </c>
      <c r="C9" s="92">
        <v>1000</v>
      </c>
      <c r="D9" s="92">
        <v>3</v>
      </c>
      <c r="E9" s="92">
        <v>13995</v>
      </c>
      <c r="F9" s="92">
        <v>7</v>
      </c>
      <c r="G9" s="90">
        <f t="shared" si="4"/>
        <v>2039271428.5714283</v>
      </c>
      <c r="H9" s="92">
        <v>3</v>
      </c>
      <c r="I9" s="92">
        <v>13769</v>
      </c>
      <c r="J9" s="92">
        <v>7</v>
      </c>
      <c r="K9" s="90">
        <f t="shared" si="0"/>
        <v>2006339999.9999998</v>
      </c>
      <c r="L9" s="92">
        <v>3</v>
      </c>
      <c r="M9" s="92">
        <v>15093</v>
      </c>
      <c r="N9" s="92">
        <v>7</v>
      </c>
      <c r="O9" s="90">
        <f t="shared" si="1"/>
        <v>2199265714.2857146</v>
      </c>
      <c r="P9" s="93">
        <f t="shared" si="2"/>
        <v>2081625714.2857141</v>
      </c>
      <c r="Q9" s="93">
        <f t="shared" si="3"/>
        <v>103201244.89045103</v>
      </c>
      <c r="R9" s="94">
        <f t="shared" si="5"/>
        <v>9.3184026440827186</v>
      </c>
    </row>
    <row r="10" spans="2:18">
      <c r="B10" s="91" t="s">
        <v>193</v>
      </c>
      <c r="C10" s="92">
        <v>900</v>
      </c>
      <c r="D10" s="92">
        <v>3</v>
      </c>
      <c r="E10" s="92">
        <v>6387</v>
      </c>
      <c r="F10" s="92">
        <v>7</v>
      </c>
      <c r="G10" s="90">
        <f t="shared" si="4"/>
        <v>930677142.85714281</v>
      </c>
      <c r="H10" s="92">
        <v>3</v>
      </c>
      <c r="I10" s="92">
        <v>7378</v>
      </c>
      <c r="J10" s="92">
        <v>7</v>
      </c>
      <c r="K10" s="90">
        <f t="shared" si="0"/>
        <v>1075080000</v>
      </c>
      <c r="L10" s="92">
        <v>3</v>
      </c>
      <c r="M10" s="92">
        <v>6564</v>
      </c>
      <c r="N10" s="92">
        <v>7</v>
      </c>
      <c r="O10" s="90">
        <f t="shared" si="1"/>
        <v>956468571.42857134</v>
      </c>
      <c r="P10" s="93">
        <f t="shared" si="2"/>
        <v>987408571.42857134</v>
      </c>
      <c r="Q10" s="93">
        <f t="shared" si="3"/>
        <v>77013044.270143658</v>
      </c>
      <c r="R10" s="94">
        <f t="shared" si="5"/>
        <v>8.9944968928936131</v>
      </c>
    </row>
    <row r="11" spans="2:18">
      <c r="B11" s="91" t="s">
        <v>194</v>
      </c>
      <c r="C11" s="92">
        <v>900</v>
      </c>
      <c r="D11" s="92">
        <v>3</v>
      </c>
      <c r="E11" s="92">
        <v>3341</v>
      </c>
      <c r="F11" s="92">
        <v>7</v>
      </c>
      <c r="G11" s="90">
        <f t="shared" si="4"/>
        <v>486831428.5714286</v>
      </c>
      <c r="H11" s="92">
        <v>3</v>
      </c>
      <c r="I11" s="92">
        <v>3712</v>
      </c>
      <c r="J11" s="92">
        <v>7</v>
      </c>
      <c r="K11" s="90">
        <f t="shared" si="0"/>
        <v>540891428.57142866</v>
      </c>
      <c r="L11" s="92">
        <v>3</v>
      </c>
      <c r="M11" s="92">
        <v>3690</v>
      </c>
      <c r="N11" s="92">
        <v>7</v>
      </c>
      <c r="O11" s="90">
        <f t="shared" si="1"/>
        <v>537685714.28571427</v>
      </c>
      <c r="P11" s="93">
        <f t="shared" si="2"/>
        <v>521802857.14285713</v>
      </c>
      <c r="Q11" s="93">
        <f t="shared" si="3"/>
        <v>30328530.516088422</v>
      </c>
      <c r="R11" s="94">
        <f t="shared" si="5"/>
        <v>8.7175064527595634</v>
      </c>
    </row>
    <row r="12" spans="2:18">
      <c r="B12" s="91" t="s">
        <v>195</v>
      </c>
      <c r="C12" s="92">
        <v>900</v>
      </c>
      <c r="D12" s="92">
        <v>2</v>
      </c>
      <c r="E12" s="92">
        <v>19134</v>
      </c>
      <c r="F12" s="92">
        <v>7</v>
      </c>
      <c r="G12" s="90">
        <f>(E12/F12)*(10.2)*POWER(10,D12+2)</f>
        <v>278809714.28571427</v>
      </c>
      <c r="H12" s="92">
        <v>2</v>
      </c>
      <c r="I12" s="92">
        <v>18838</v>
      </c>
      <c r="J12" s="92">
        <v>7</v>
      </c>
      <c r="K12" s="90">
        <f t="shared" si="0"/>
        <v>274496571.42857146</v>
      </c>
      <c r="L12" s="92">
        <v>2</v>
      </c>
      <c r="M12" s="92">
        <v>18096</v>
      </c>
      <c r="N12" s="92">
        <v>7</v>
      </c>
      <c r="O12" s="90">
        <f t="shared" si="1"/>
        <v>263684571.42857143</v>
      </c>
      <c r="P12" s="93">
        <f t="shared" si="2"/>
        <v>272330285.71428573</v>
      </c>
      <c r="Q12" s="93">
        <f t="shared" si="3"/>
        <v>7791795.8109272597</v>
      </c>
      <c r="R12" s="94">
        <f t="shared" si="5"/>
        <v>8.4350959416969342</v>
      </c>
    </row>
    <row r="13" spans="2:18">
      <c r="B13" s="91" t="s">
        <v>196</v>
      </c>
      <c r="C13" s="92">
        <v>900</v>
      </c>
      <c r="D13" s="92">
        <v>2</v>
      </c>
      <c r="E13" s="92">
        <v>9224</v>
      </c>
      <c r="F13" s="92">
        <v>7</v>
      </c>
      <c r="G13" s="90">
        <f t="shared" si="4"/>
        <v>134406857.14285713</v>
      </c>
      <c r="H13" s="92">
        <v>2</v>
      </c>
      <c r="I13" s="92">
        <v>9341</v>
      </c>
      <c r="J13" s="92">
        <v>7</v>
      </c>
      <c r="K13" s="90">
        <f t="shared" si="0"/>
        <v>136111714.28571427</v>
      </c>
      <c r="L13" s="92">
        <v>2</v>
      </c>
      <c r="M13" s="92">
        <v>9173</v>
      </c>
      <c r="N13" s="92">
        <v>7</v>
      </c>
      <c r="O13" s="90">
        <f t="shared" si="1"/>
        <v>133663714.28571427</v>
      </c>
      <c r="P13" s="93">
        <f t="shared" si="2"/>
        <v>134727428.57142857</v>
      </c>
      <c r="Q13" s="93">
        <f t="shared" si="3"/>
        <v>1255089.8496172463</v>
      </c>
      <c r="R13" s="94">
        <f t="shared" si="5"/>
        <v>8.1294560208497231</v>
      </c>
    </row>
    <row r="14" spans="2:18">
      <c r="B14" s="91" t="s">
        <v>197</v>
      </c>
      <c r="C14" s="92">
        <v>900</v>
      </c>
      <c r="D14" s="92">
        <v>2</v>
      </c>
      <c r="E14" s="92">
        <v>4238</v>
      </c>
      <c r="F14" s="92">
        <v>7</v>
      </c>
      <c r="G14" s="90">
        <f t="shared" si="4"/>
        <v>61753714.285714284</v>
      </c>
      <c r="H14" s="92">
        <v>2</v>
      </c>
      <c r="I14" s="92">
        <v>4832</v>
      </c>
      <c r="J14" s="92">
        <v>7</v>
      </c>
      <c r="K14" s="90">
        <f t="shared" si="0"/>
        <v>70409142.857142866</v>
      </c>
      <c r="L14" s="92">
        <v>2</v>
      </c>
      <c r="M14" s="92">
        <v>4770</v>
      </c>
      <c r="N14" s="92">
        <v>7</v>
      </c>
      <c r="O14" s="90">
        <f t="shared" si="1"/>
        <v>69505714.285714284</v>
      </c>
      <c r="P14" s="93">
        <f t="shared" si="2"/>
        <v>67222857.142857134</v>
      </c>
      <c r="Q14" s="93">
        <f t="shared" si="3"/>
        <v>4757907.9950957391</v>
      </c>
      <c r="R14" s="94">
        <f t="shared" si="5"/>
        <v>7.8275169671487372</v>
      </c>
    </row>
    <row r="15" spans="2:18">
      <c r="B15" s="91" t="s">
        <v>198</v>
      </c>
      <c r="C15" s="92">
        <v>900</v>
      </c>
      <c r="D15" s="92">
        <v>1</v>
      </c>
      <c r="E15" s="92">
        <v>22411</v>
      </c>
      <c r="F15" s="92">
        <v>7</v>
      </c>
      <c r="G15" s="90">
        <f t="shared" si="4"/>
        <v>32656028.571428567</v>
      </c>
      <c r="H15" s="92">
        <v>1</v>
      </c>
      <c r="I15" s="92">
        <v>23826</v>
      </c>
      <c r="J15" s="92">
        <v>7</v>
      </c>
      <c r="K15" s="90">
        <f t="shared" si="0"/>
        <v>34717885.714285716</v>
      </c>
      <c r="L15" s="92">
        <v>1</v>
      </c>
      <c r="M15" s="92">
        <v>24471</v>
      </c>
      <c r="N15" s="92">
        <v>7</v>
      </c>
      <c r="O15" s="90">
        <f t="shared" si="1"/>
        <v>35657742.857142851</v>
      </c>
      <c r="P15" s="93">
        <f t="shared" si="2"/>
        <v>34343885.714285709</v>
      </c>
      <c r="Q15" s="93">
        <f t="shared" si="3"/>
        <v>1535408.4678890193</v>
      </c>
      <c r="R15" s="94">
        <f t="shared" si="5"/>
        <v>7.5358494302775298</v>
      </c>
    </row>
    <row r="16" spans="2:18">
      <c r="B16" s="91" t="s">
        <v>199</v>
      </c>
      <c r="C16" s="92">
        <v>900</v>
      </c>
      <c r="D16" s="92">
        <v>1</v>
      </c>
      <c r="E16" s="92">
        <v>12012</v>
      </c>
      <c r="F16" s="92">
        <v>7</v>
      </c>
      <c r="G16" s="90">
        <f t="shared" si="4"/>
        <v>17503199.999999996</v>
      </c>
      <c r="H16" s="92">
        <v>1</v>
      </c>
      <c r="I16" s="92">
        <v>12668</v>
      </c>
      <c r="J16" s="92">
        <v>7</v>
      </c>
      <c r="K16" s="90">
        <f t="shared" si="0"/>
        <v>18459085.714285713</v>
      </c>
      <c r="L16" s="92">
        <v>1</v>
      </c>
      <c r="M16" s="92">
        <v>11470</v>
      </c>
      <c r="N16" s="92">
        <v>7</v>
      </c>
      <c r="O16" s="90">
        <f t="shared" si="1"/>
        <v>16713428.571428573</v>
      </c>
      <c r="P16" s="93">
        <f t="shared" si="2"/>
        <v>17558571.428571429</v>
      </c>
      <c r="Q16" s="93">
        <f t="shared" si="3"/>
        <v>874144.84579420183</v>
      </c>
      <c r="R16" s="94">
        <f t="shared" si="5"/>
        <v>7.2444891786585481</v>
      </c>
    </row>
    <row r="17" spans="2:18">
      <c r="B17" s="91" t="s">
        <v>200</v>
      </c>
      <c r="C17" s="92">
        <v>900</v>
      </c>
      <c r="D17" s="92">
        <v>1</v>
      </c>
      <c r="E17" s="92">
        <v>5750</v>
      </c>
      <c r="F17" s="92">
        <v>7</v>
      </c>
      <c r="G17" s="90">
        <f t="shared" si="4"/>
        <v>8378571.4285714272</v>
      </c>
      <c r="H17" s="92">
        <v>1</v>
      </c>
      <c r="I17" s="92">
        <v>5481</v>
      </c>
      <c r="J17" s="92">
        <v>7</v>
      </c>
      <c r="K17" s="90">
        <f t="shared" si="0"/>
        <v>7986599.9999999991</v>
      </c>
      <c r="L17" s="92">
        <v>1</v>
      </c>
      <c r="M17" s="92">
        <v>5831</v>
      </c>
      <c r="N17" s="92">
        <v>7</v>
      </c>
      <c r="O17" s="90">
        <f t="shared" si="1"/>
        <v>8496599.9999999981</v>
      </c>
      <c r="P17" s="93">
        <f t="shared" si="2"/>
        <v>8287257.1428571418</v>
      </c>
      <c r="Q17" s="93">
        <f t="shared" si="3"/>
        <v>266980.75601367303</v>
      </c>
      <c r="R17" s="94">
        <f t="shared" si="5"/>
        <v>6.9184108146481318</v>
      </c>
    </row>
    <row r="18" spans="2:18">
      <c r="B18" s="91" t="s">
        <v>201</v>
      </c>
      <c r="C18" s="92">
        <v>900</v>
      </c>
      <c r="D18" s="92">
        <v>1</v>
      </c>
      <c r="E18" s="92">
        <v>2868</v>
      </c>
      <c r="F18" s="92">
        <v>7</v>
      </c>
      <c r="G18" s="90">
        <f t="shared" si="4"/>
        <v>4179085.7142857141</v>
      </c>
      <c r="H18" s="92">
        <v>1</v>
      </c>
      <c r="I18" s="92">
        <v>2835</v>
      </c>
      <c r="J18" s="92">
        <v>7</v>
      </c>
      <c r="K18" s="90">
        <f t="shared" si="0"/>
        <v>4131000</v>
      </c>
      <c r="L18" s="92">
        <v>1</v>
      </c>
      <c r="M18" s="92">
        <v>2976</v>
      </c>
      <c r="N18" s="92">
        <v>7</v>
      </c>
      <c r="O18" s="90">
        <f t="shared" si="1"/>
        <v>4336457.1428571427</v>
      </c>
      <c r="P18" s="93">
        <f t="shared" si="2"/>
        <v>4215514.2857142854</v>
      </c>
      <c r="Q18" s="93">
        <f t="shared" si="3"/>
        <v>107463.6682790979</v>
      </c>
      <c r="R18" s="94">
        <f t="shared" si="5"/>
        <v>6.6248505653956435</v>
      </c>
    </row>
    <row r="19" spans="2:18">
      <c r="B19" s="91" t="s">
        <v>202</v>
      </c>
      <c r="C19" s="92">
        <v>900</v>
      </c>
      <c r="D19" s="92">
        <v>0</v>
      </c>
      <c r="E19" s="92">
        <v>10096</v>
      </c>
      <c r="F19" s="92">
        <v>7</v>
      </c>
      <c r="G19" s="90">
        <f t="shared" si="4"/>
        <v>1471131.4285714284</v>
      </c>
      <c r="H19" s="92">
        <v>0</v>
      </c>
      <c r="I19" s="92">
        <v>8923</v>
      </c>
      <c r="J19" s="92">
        <v>7</v>
      </c>
      <c r="K19" s="90">
        <f>(I19/J19)*(10.2)*POWER(10,H19+2)</f>
        <v>1300208.5714285716</v>
      </c>
      <c r="L19" s="92">
        <v>0</v>
      </c>
      <c r="M19" s="92">
        <v>8050</v>
      </c>
      <c r="N19" s="92">
        <v>7</v>
      </c>
      <c r="O19" s="90">
        <f t="shared" si="1"/>
        <v>1173000</v>
      </c>
      <c r="P19" s="93">
        <f t="shared" si="2"/>
        <v>1314780</v>
      </c>
      <c r="Q19" s="93">
        <f t="shared" si="3"/>
        <v>149598.9039848533</v>
      </c>
      <c r="R19" s="94">
        <f t="shared" si="5"/>
        <v>6.118853089115321</v>
      </c>
    </row>
    <row r="20" spans="2:18" ht="15" thickBot="1"/>
    <row r="21" spans="2:18" ht="55" customHeight="1" thickBot="1">
      <c r="B21" s="95" t="s">
        <v>4</v>
      </c>
      <c r="C21" s="95" t="s">
        <v>203</v>
      </c>
      <c r="D21" s="95" t="s">
        <v>204</v>
      </c>
      <c r="E21" s="95" t="s">
        <v>205</v>
      </c>
      <c r="F21" s="95" t="s">
        <v>206</v>
      </c>
      <c r="G21" s="96" t="s">
        <v>207</v>
      </c>
      <c r="H21" s="97" t="s">
        <v>208</v>
      </c>
      <c r="I21" s="97" t="s">
        <v>209</v>
      </c>
      <c r="J21" s="97" t="s">
        <v>210</v>
      </c>
      <c r="K21" s="97" t="s">
        <v>211</v>
      </c>
      <c r="L21" s="97" t="s">
        <v>212</v>
      </c>
      <c r="M21" s="98" t="s">
        <v>213</v>
      </c>
    </row>
    <row r="23" spans="2:18">
      <c r="B23" s="91" t="s">
        <v>187</v>
      </c>
      <c r="C23" s="99">
        <v>16.382114410400391</v>
      </c>
      <c r="D23" s="99">
        <v>16.2430419921875</v>
      </c>
      <c r="E23" s="99">
        <v>16.416009902954102</v>
      </c>
      <c r="F23" s="99">
        <f>AVERAGE(C23:E23)</f>
        <v>16.347055435180664</v>
      </c>
      <c r="G23" s="85">
        <f>15*180/4*1000/900</f>
        <v>750</v>
      </c>
      <c r="H23" s="85">
        <f>LOG(G23)/LOG(2)</f>
        <v>9.5507467853832431</v>
      </c>
      <c r="I23" s="92">
        <f>C23-H23</f>
        <v>6.8313676250171476</v>
      </c>
      <c r="J23" s="92">
        <f>D23-H23</f>
        <v>6.6922952068042569</v>
      </c>
      <c r="K23" s="92">
        <f>E23-H23</f>
        <v>6.8652631175708585</v>
      </c>
      <c r="L23" s="100">
        <f>AVERAGE(I23:K23)</f>
        <v>6.796308649797421</v>
      </c>
    </row>
    <row r="24" spans="2:18">
      <c r="B24" s="91" t="s">
        <v>188</v>
      </c>
      <c r="C24" s="99">
        <v>20.246736526489258</v>
      </c>
      <c r="D24" s="99">
        <v>20.337041854858398</v>
      </c>
      <c r="E24" s="99">
        <v>20.223323822021484</v>
      </c>
      <c r="F24" s="99">
        <f t="shared" ref="F24:F38" si="6">AVERAGE(C24:E24)</f>
        <v>20.269034067789715</v>
      </c>
      <c r="G24" s="85">
        <f t="shared" ref="G24:G26" si="7">15*180/4*1000/900</f>
        <v>750</v>
      </c>
      <c r="H24" s="85">
        <f t="shared" ref="H24:H38" si="8">LOG(G24)/LOG(2)</f>
        <v>9.5507467853832431</v>
      </c>
      <c r="I24" s="92">
        <f t="shared" ref="I24:I38" si="9">C24-H24</f>
        <v>10.695989741106015</v>
      </c>
      <c r="J24" s="92">
        <f t="shared" ref="J24:J38" si="10">D24-H24</f>
        <v>10.786295069475155</v>
      </c>
      <c r="K24" s="92">
        <f t="shared" ref="K24:K38" si="11">E24-H24</f>
        <v>10.672577036638241</v>
      </c>
      <c r="L24" s="100">
        <f t="shared" ref="L24:L38" si="12">AVERAGE(I24:K24)</f>
        <v>10.71828728240647</v>
      </c>
    </row>
    <row r="25" spans="2:18">
      <c r="B25" s="91" t="s">
        <v>189</v>
      </c>
      <c r="C25" s="99">
        <v>23.471084594726562</v>
      </c>
      <c r="D25" s="99">
        <v>23.434993743896484</v>
      </c>
      <c r="E25" s="99">
        <v>23.65556526184082</v>
      </c>
      <c r="F25" s="99">
        <f t="shared" si="6"/>
        <v>23.520547866821289</v>
      </c>
      <c r="G25" s="85">
        <f t="shared" si="7"/>
        <v>750</v>
      </c>
      <c r="H25" s="85">
        <f t="shared" si="8"/>
        <v>9.5507467853832431</v>
      </c>
      <c r="I25" s="92">
        <f t="shared" si="9"/>
        <v>13.920337809343319</v>
      </c>
      <c r="J25" s="92">
        <f t="shared" si="10"/>
        <v>13.884246958513241</v>
      </c>
      <c r="K25" s="92">
        <f t="shared" si="11"/>
        <v>14.104818476457577</v>
      </c>
      <c r="L25" s="100">
        <f t="shared" si="12"/>
        <v>13.969801081438044</v>
      </c>
    </row>
    <row r="26" spans="2:18">
      <c r="B26" s="91" t="s">
        <v>190</v>
      </c>
      <c r="C26" s="99">
        <v>27.687118530273438</v>
      </c>
      <c r="D26" s="99">
        <v>27.683933258056641</v>
      </c>
      <c r="E26" s="99">
        <v>27.721792221069336</v>
      </c>
      <c r="F26" s="99">
        <f t="shared" si="6"/>
        <v>27.697614669799805</v>
      </c>
      <c r="G26" s="85">
        <f t="shared" si="7"/>
        <v>750</v>
      </c>
      <c r="H26" s="85">
        <f t="shared" si="8"/>
        <v>9.5507467853832431</v>
      </c>
      <c r="I26" s="92">
        <f t="shared" si="9"/>
        <v>18.136371744890194</v>
      </c>
      <c r="J26" s="92">
        <f t="shared" si="10"/>
        <v>18.133186472673398</v>
      </c>
      <c r="K26" s="92">
        <f t="shared" si="11"/>
        <v>18.171045435686093</v>
      </c>
      <c r="L26" s="100">
        <f t="shared" si="12"/>
        <v>18.146867884416562</v>
      </c>
    </row>
    <row r="27" spans="2:18">
      <c r="B27" s="91" t="s">
        <v>191</v>
      </c>
      <c r="C27" s="99">
        <v>31.580327987670898</v>
      </c>
      <c r="D27" s="99">
        <v>31.876550674438477</v>
      </c>
      <c r="E27" s="99">
        <v>31.972114562988281</v>
      </c>
      <c r="F27" s="99">
        <f t="shared" si="6"/>
        <v>31.809664408365887</v>
      </c>
      <c r="G27" s="85">
        <f>15*180/4*1000/900</f>
        <v>750</v>
      </c>
      <c r="H27" s="85">
        <f>LOG(G27)/LOG(2)</f>
        <v>9.5507467853832431</v>
      </c>
      <c r="I27" s="92">
        <f t="shared" si="9"/>
        <v>22.029581202287655</v>
      </c>
      <c r="J27" s="92">
        <f t="shared" si="10"/>
        <v>22.325803889055233</v>
      </c>
      <c r="K27" s="92">
        <f t="shared" si="11"/>
        <v>22.421367777605038</v>
      </c>
      <c r="L27" s="100">
        <f t="shared" si="12"/>
        <v>22.25891762298264</v>
      </c>
    </row>
    <row r="28" spans="2:18">
      <c r="B28" s="91" t="s">
        <v>192</v>
      </c>
      <c r="C28" s="99">
        <v>16.648801803588867</v>
      </c>
      <c r="D28" s="99">
        <v>17.485513687133789</v>
      </c>
      <c r="E28" s="99">
        <v>16.725131988525391</v>
      </c>
      <c r="F28" s="99">
        <f t="shared" si="6"/>
        <v>16.953149159749348</v>
      </c>
      <c r="G28" s="85">
        <f>15*180/4*1000/1000</f>
        <v>675</v>
      </c>
      <c r="H28" s="85">
        <f t="shared" si="8"/>
        <v>9.3987436919381935</v>
      </c>
      <c r="I28" s="92">
        <f t="shared" si="9"/>
        <v>7.2500581116506737</v>
      </c>
      <c r="J28" s="92">
        <f t="shared" si="10"/>
        <v>8.0867699951955956</v>
      </c>
      <c r="K28" s="92">
        <f t="shared" si="11"/>
        <v>7.3263882965871971</v>
      </c>
      <c r="L28" s="100">
        <f t="shared" si="12"/>
        <v>7.5544054678111552</v>
      </c>
    </row>
    <row r="29" spans="2:18">
      <c r="B29" s="91" t="s">
        <v>193</v>
      </c>
      <c r="C29" s="99">
        <v>19.15205192565918</v>
      </c>
      <c r="D29" s="99">
        <v>18.957448959350586</v>
      </c>
      <c r="E29" s="99">
        <v>18.855649948120117</v>
      </c>
      <c r="F29" s="99">
        <f t="shared" si="6"/>
        <v>18.988383611043293</v>
      </c>
      <c r="G29" s="85">
        <f>15*180/4*1000/500</f>
        <v>1350</v>
      </c>
      <c r="H29" s="85">
        <f t="shared" si="8"/>
        <v>10.398743691938193</v>
      </c>
      <c r="I29" s="92">
        <f t="shared" si="9"/>
        <v>8.7533082337209862</v>
      </c>
      <c r="J29" s="92">
        <f t="shared" si="10"/>
        <v>8.5587052674123925</v>
      </c>
      <c r="K29" s="92">
        <f t="shared" si="11"/>
        <v>8.4569062561819237</v>
      </c>
      <c r="L29" s="100">
        <f t="shared" si="12"/>
        <v>8.5896399191051014</v>
      </c>
    </row>
    <row r="30" spans="2:18">
      <c r="B30" s="91" t="s">
        <v>194</v>
      </c>
      <c r="C30" s="99">
        <v>19.934587478637695</v>
      </c>
      <c r="D30" s="99">
        <v>19.768661499023438</v>
      </c>
      <c r="E30" s="99">
        <v>19.823604583740234</v>
      </c>
      <c r="F30" s="99">
        <f t="shared" si="6"/>
        <v>19.842284520467121</v>
      </c>
      <c r="G30" s="85">
        <f t="shared" ref="G30:G38" si="13">15*180/4*1000/500</f>
        <v>1350</v>
      </c>
      <c r="H30" s="85">
        <f t="shared" si="8"/>
        <v>10.398743691938193</v>
      </c>
      <c r="I30" s="92">
        <f t="shared" si="9"/>
        <v>9.5358437866995018</v>
      </c>
      <c r="J30" s="92">
        <f t="shared" si="10"/>
        <v>9.369917807085244</v>
      </c>
      <c r="K30" s="92">
        <f t="shared" si="11"/>
        <v>9.4248608918020409</v>
      </c>
      <c r="L30" s="100">
        <f t="shared" si="12"/>
        <v>9.4435408285289295</v>
      </c>
    </row>
    <row r="31" spans="2:18">
      <c r="B31" s="91" t="s">
        <v>195</v>
      </c>
      <c r="C31" s="99">
        <v>20.650510787963867</v>
      </c>
      <c r="D31" s="99">
        <v>20.447122573852539</v>
      </c>
      <c r="E31" s="99">
        <v>20.447004318237305</v>
      </c>
      <c r="F31" s="99">
        <f t="shared" si="6"/>
        <v>20.51487922668457</v>
      </c>
      <c r="G31" s="85">
        <f t="shared" si="13"/>
        <v>1350</v>
      </c>
      <c r="H31" s="85">
        <f t="shared" si="8"/>
        <v>10.398743691938193</v>
      </c>
      <c r="I31" s="92">
        <f t="shared" si="9"/>
        <v>10.251767096025674</v>
      </c>
      <c r="J31" s="92">
        <f t="shared" si="10"/>
        <v>10.048378881914346</v>
      </c>
      <c r="K31" s="92">
        <f t="shared" si="11"/>
        <v>10.048260626299111</v>
      </c>
      <c r="L31" s="100">
        <f t="shared" si="12"/>
        <v>10.116135534746377</v>
      </c>
    </row>
    <row r="32" spans="2:18">
      <c r="B32" s="91" t="s">
        <v>196</v>
      </c>
      <c r="C32" s="99">
        <v>21.825428009033203</v>
      </c>
      <c r="D32" s="99">
        <v>21.617404937744141</v>
      </c>
      <c r="E32" s="99">
        <v>21.863065719604492</v>
      </c>
      <c r="F32" s="99">
        <f t="shared" si="6"/>
        <v>21.768632888793945</v>
      </c>
      <c r="G32" s="85">
        <f t="shared" si="13"/>
        <v>1350</v>
      </c>
      <c r="H32" s="85">
        <f t="shared" si="8"/>
        <v>10.398743691938193</v>
      </c>
      <c r="I32" s="92">
        <f t="shared" si="9"/>
        <v>11.42668431709501</v>
      </c>
      <c r="J32" s="92">
        <f t="shared" si="10"/>
        <v>11.218661245805947</v>
      </c>
      <c r="K32" s="92">
        <f t="shared" si="11"/>
        <v>11.464322027666299</v>
      </c>
      <c r="L32" s="100">
        <f t="shared" si="12"/>
        <v>11.369889196855752</v>
      </c>
    </row>
    <row r="33" spans="2:12">
      <c r="B33" s="91" t="s">
        <v>197</v>
      </c>
      <c r="C33" s="99">
        <v>22.909189224243164</v>
      </c>
      <c r="D33" s="99">
        <v>22.986705780029297</v>
      </c>
      <c r="E33" s="99">
        <v>23.151363372802734</v>
      </c>
      <c r="F33" s="99">
        <f t="shared" si="6"/>
        <v>23.015752792358398</v>
      </c>
      <c r="G33" s="85">
        <f>15*180/4*1000/500</f>
        <v>1350</v>
      </c>
      <c r="H33" s="85">
        <f t="shared" si="8"/>
        <v>10.398743691938193</v>
      </c>
      <c r="I33" s="92">
        <f t="shared" si="9"/>
        <v>12.510445532304971</v>
      </c>
      <c r="J33" s="92">
        <f t="shared" si="10"/>
        <v>12.587962088091103</v>
      </c>
      <c r="K33" s="92">
        <f t="shared" si="11"/>
        <v>12.752619680864541</v>
      </c>
      <c r="L33" s="100">
        <f t="shared" si="12"/>
        <v>12.617009100420205</v>
      </c>
    </row>
    <row r="34" spans="2:12">
      <c r="B34" s="91" t="s">
        <v>198</v>
      </c>
      <c r="C34" s="99">
        <v>24.431295394897461</v>
      </c>
      <c r="D34" s="99">
        <v>24.009675979614258</v>
      </c>
      <c r="E34" s="99">
        <v>23.951196670532227</v>
      </c>
      <c r="F34" s="99">
        <f t="shared" si="6"/>
        <v>24.130722681681316</v>
      </c>
      <c r="G34" s="85">
        <f t="shared" si="13"/>
        <v>1350</v>
      </c>
      <c r="H34" s="85">
        <f t="shared" si="8"/>
        <v>10.398743691938193</v>
      </c>
      <c r="I34" s="92">
        <f t="shared" si="9"/>
        <v>14.032551702959267</v>
      </c>
      <c r="J34" s="92">
        <f t="shared" si="10"/>
        <v>13.610932287676064</v>
      </c>
      <c r="K34" s="92">
        <f t="shared" si="11"/>
        <v>13.552452978594033</v>
      </c>
      <c r="L34" s="100">
        <f t="shared" si="12"/>
        <v>13.731978989743121</v>
      </c>
    </row>
    <row r="35" spans="2:12">
      <c r="B35" s="91" t="s">
        <v>199</v>
      </c>
      <c r="C35" s="99">
        <v>25.132335662841797</v>
      </c>
      <c r="D35" s="99">
        <v>24.967596054077148</v>
      </c>
      <c r="E35" s="99">
        <v>25.03386116027832</v>
      </c>
      <c r="F35" s="99">
        <f t="shared" si="6"/>
        <v>25.044597625732422</v>
      </c>
      <c r="G35" s="85">
        <f t="shared" si="13"/>
        <v>1350</v>
      </c>
      <c r="H35" s="85">
        <f t="shared" si="8"/>
        <v>10.398743691938193</v>
      </c>
      <c r="I35" s="92">
        <f t="shared" si="9"/>
        <v>14.733591970903603</v>
      </c>
      <c r="J35" s="92">
        <f t="shared" si="10"/>
        <v>14.568852362138955</v>
      </c>
      <c r="K35" s="92">
        <f t="shared" si="11"/>
        <v>14.635117468340127</v>
      </c>
      <c r="L35" s="100">
        <f t="shared" si="12"/>
        <v>14.645853933794228</v>
      </c>
    </row>
    <row r="36" spans="2:12">
      <c r="B36" s="91" t="s">
        <v>200</v>
      </c>
      <c r="C36" s="99">
        <v>26.708147048950195</v>
      </c>
      <c r="D36" s="99">
        <v>26.763067245483398</v>
      </c>
      <c r="E36" s="99"/>
      <c r="F36" s="99">
        <f t="shared" si="6"/>
        <v>26.735607147216797</v>
      </c>
      <c r="G36" s="85">
        <f t="shared" si="13"/>
        <v>1350</v>
      </c>
      <c r="H36" s="85">
        <f t="shared" si="8"/>
        <v>10.398743691938193</v>
      </c>
      <c r="I36" s="92">
        <f t="shared" si="9"/>
        <v>16.309403357012002</v>
      </c>
      <c r="J36" s="92">
        <f t="shared" si="10"/>
        <v>16.364323553545205</v>
      </c>
      <c r="K36" s="92"/>
      <c r="L36" s="100">
        <f t="shared" si="12"/>
        <v>16.336863455278603</v>
      </c>
    </row>
    <row r="37" spans="2:12">
      <c r="B37" s="91" t="s">
        <v>201</v>
      </c>
      <c r="C37" s="99">
        <v>27.613700866699219</v>
      </c>
      <c r="D37" s="99">
        <v>27.812423706054688</v>
      </c>
      <c r="E37" s="99">
        <v>27.789873123168945</v>
      </c>
      <c r="F37" s="99">
        <f t="shared" si="6"/>
        <v>27.738665898640949</v>
      </c>
      <c r="G37" s="85">
        <f t="shared" si="13"/>
        <v>1350</v>
      </c>
      <c r="H37" s="85">
        <f t="shared" si="8"/>
        <v>10.398743691938193</v>
      </c>
      <c r="I37" s="92">
        <f t="shared" si="9"/>
        <v>17.214957174761025</v>
      </c>
      <c r="J37" s="92">
        <f t="shared" si="10"/>
        <v>17.413680014116494</v>
      </c>
      <c r="K37" s="92">
        <f t="shared" si="11"/>
        <v>17.391129431230752</v>
      </c>
      <c r="L37" s="100">
        <f t="shared" si="12"/>
        <v>17.339922206702756</v>
      </c>
    </row>
    <row r="38" spans="2:12">
      <c r="B38" s="91" t="s">
        <v>202</v>
      </c>
      <c r="C38" s="99">
        <v>29.07282829284668</v>
      </c>
      <c r="D38" s="99">
        <v>28.964012145996094</v>
      </c>
      <c r="E38" s="99">
        <v>29.311826705932617</v>
      </c>
      <c r="F38" s="99">
        <f t="shared" si="6"/>
        <v>29.116222381591797</v>
      </c>
      <c r="G38" s="85">
        <f t="shared" si="13"/>
        <v>1350</v>
      </c>
      <c r="H38" s="85">
        <f t="shared" si="8"/>
        <v>10.398743691938193</v>
      </c>
      <c r="I38" s="92">
        <f t="shared" si="9"/>
        <v>18.674084600908486</v>
      </c>
      <c r="J38" s="92">
        <f t="shared" si="10"/>
        <v>18.5652684540579</v>
      </c>
      <c r="K38" s="92">
        <f t="shared" si="11"/>
        <v>18.913083013994424</v>
      </c>
      <c r="L38" s="100">
        <f t="shared" si="12"/>
        <v>18.717478689653603</v>
      </c>
    </row>
    <row r="40" spans="2:12">
      <c r="B40" s="91" t="s">
        <v>214</v>
      </c>
      <c r="C40" s="99">
        <v>15.713388442993164</v>
      </c>
      <c r="D40" s="99">
        <v>15.726656913757324</v>
      </c>
      <c r="E40" s="99">
        <v>15.612536430358887</v>
      </c>
      <c r="F40" s="99">
        <f>AVERAGE(C40:E40)</f>
        <v>15.684193929036459</v>
      </c>
    </row>
    <row r="42" spans="2:12">
      <c r="B42" s="101" t="s">
        <v>215</v>
      </c>
      <c r="C42" s="85" t="s">
        <v>216</v>
      </c>
    </row>
    <row r="43" spans="2:12">
      <c r="B43" s="98" t="s">
        <v>217</v>
      </c>
      <c r="C43" s="85" t="s">
        <v>216</v>
      </c>
    </row>
    <row r="44" spans="2:12">
      <c r="C44" s="102" t="s">
        <v>218</v>
      </c>
      <c r="D44" s="100">
        <v>-3.6977000000000002</v>
      </c>
    </row>
    <row r="45" spans="2:12">
      <c r="C45" s="102" t="s">
        <v>219</v>
      </c>
      <c r="D45" s="100">
        <v>41.616</v>
      </c>
    </row>
    <row r="48" spans="2:12">
      <c r="B48" s="98" t="s">
        <v>220</v>
      </c>
      <c r="D48" s="85">
        <f>-1+ POWER(10,-(1/D44))</f>
        <v>0.86396769252626071</v>
      </c>
    </row>
  </sheetData>
  <mergeCells count="6">
    <mergeCell ref="P3:R3"/>
    <mergeCell ref="B1:B2"/>
    <mergeCell ref="C1:C2"/>
    <mergeCell ref="D1:G1"/>
    <mergeCell ref="H1:K1"/>
    <mergeCell ref="L1:O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opLeftCell="A16" workbookViewId="0">
      <selection activeCell="H31" sqref="H31"/>
    </sheetView>
  </sheetViews>
  <sheetFormatPr baseColWidth="10" defaultRowHeight="14" x14ac:dyDescent="0"/>
  <sheetData>
    <row r="1" spans="1:21">
      <c r="A1" s="85"/>
      <c r="B1" s="142" t="s">
        <v>4</v>
      </c>
      <c r="C1" s="144" t="s">
        <v>186</v>
      </c>
      <c r="D1" s="145" t="s">
        <v>18</v>
      </c>
      <c r="E1" s="145"/>
      <c r="F1" s="145"/>
      <c r="G1" s="145"/>
      <c r="H1" s="145" t="s">
        <v>20</v>
      </c>
      <c r="I1" s="145"/>
      <c r="J1" s="145"/>
      <c r="K1" s="145"/>
      <c r="L1" s="145" t="s">
        <v>21</v>
      </c>
      <c r="M1" s="145"/>
      <c r="N1" s="145"/>
      <c r="O1" s="145"/>
      <c r="P1" s="84" t="s">
        <v>22</v>
      </c>
      <c r="Q1" s="84" t="s">
        <v>22</v>
      </c>
      <c r="R1" s="84" t="s">
        <v>22</v>
      </c>
      <c r="S1" s="146" t="s">
        <v>221</v>
      </c>
      <c r="T1" s="85"/>
      <c r="U1" s="85"/>
    </row>
    <row r="2" spans="1:21">
      <c r="A2" s="85"/>
      <c r="B2" s="143"/>
      <c r="C2" s="143"/>
      <c r="D2" s="86" t="s">
        <v>19</v>
      </c>
      <c r="E2" s="86" t="s">
        <v>68</v>
      </c>
      <c r="F2" s="86" t="s">
        <v>69</v>
      </c>
      <c r="G2" s="86" t="s">
        <v>70</v>
      </c>
      <c r="H2" s="86" t="s">
        <v>19</v>
      </c>
      <c r="I2" s="86" t="s">
        <v>68</v>
      </c>
      <c r="J2" s="86" t="s">
        <v>69</v>
      </c>
      <c r="K2" s="86" t="s">
        <v>70</v>
      </c>
      <c r="L2" s="86" t="s">
        <v>19</v>
      </c>
      <c r="M2" s="86" t="s">
        <v>68</v>
      </c>
      <c r="N2" s="86" t="s">
        <v>69</v>
      </c>
      <c r="O2" s="86" t="s">
        <v>71</v>
      </c>
      <c r="P2" s="87" t="s">
        <v>70</v>
      </c>
      <c r="Q2" s="87" t="s">
        <v>23</v>
      </c>
      <c r="R2" s="87" t="s">
        <v>72</v>
      </c>
      <c r="S2" s="147"/>
      <c r="T2" s="85"/>
      <c r="U2" s="85"/>
    </row>
    <row r="3" spans="1:21">
      <c r="A3" s="85"/>
      <c r="B3" s="88"/>
      <c r="C3" s="88"/>
      <c r="D3" s="89"/>
      <c r="E3" s="89"/>
      <c r="F3" s="89"/>
      <c r="G3" s="90"/>
      <c r="H3" s="89"/>
      <c r="I3" s="89"/>
      <c r="J3" s="89"/>
      <c r="K3" s="90"/>
      <c r="L3" s="89"/>
      <c r="M3" s="89"/>
      <c r="N3" s="89"/>
      <c r="O3" s="90"/>
      <c r="P3" s="139"/>
      <c r="Q3" s="140"/>
      <c r="R3" s="141"/>
      <c r="S3" s="85"/>
      <c r="T3" s="85"/>
      <c r="U3" s="85"/>
    </row>
    <row r="4" spans="1:21">
      <c r="A4" s="85"/>
      <c r="B4" s="91" t="s">
        <v>187</v>
      </c>
      <c r="C4" s="92">
        <v>500</v>
      </c>
      <c r="D4" s="92">
        <v>2</v>
      </c>
      <c r="E4" s="92">
        <v>26960</v>
      </c>
      <c r="F4" s="92">
        <v>7</v>
      </c>
      <c r="G4" s="90">
        <f t="shared" ref="G4:G19" si="0">(E4/F4)*(10.2)*POWER(10,D4+2)</f>
        <v>392845714.28571427</v>
      </c>
      <c r="H4" s="92">
        <v>2</v>
      </c>
      <c r="I4" s="92">
        <v>28998</v>
      </c>
      <c r="J4" s="92">
        <v>7</v>
      </c>
      <c r="K4" s="90">
        <f t="shared" ref="K4:K19" si="1">(I4/J4)*(10.2)*POWER(10,H4+2)</f>
        <v>422542285.71428567</v>
      </c>
      <c r="L4" s="92">
        <v>2</v>
      </c>
      <c r="M4" s="92">
        <v>29053</v>
      </c>
      <c r="N4" s="92">
        <v>7</v>
      </c>
      <c r="O4" s="90">
        <f t="shared" ref="O4:O19" si="2">(M4/N4)*(10.2)*POWER(10,L4+2)</f>
        <v>423343714.28571433</v>
      </c>
      <c r="P4" s="93">
        <f t="shared" ref="P4:P19" si="3">AVERAGE(O4,K4,G4)</f>
        <v>412910571.4285714</v>
      </c>
      <c r="Q4" s="93">
        <f t="shared" ref="Q4:Q19" si="4">STDEV(O4,K4,G4)</f>
        <v>17381295.724462688</v>
      </c>
      <c r="R4" s="94">
        <f>LOG(P4)</f>
        <v>8.6158560019212569</v>
      </c>
      <c r="S4" s="85"/>
      <c r="T4" s="85"/>
      <c r="U4" s="85"/>
    </row>
    <row r="5" spans="1:21">
      <c r="A5" s="85"/>
      <c r="B5" s="91" t="s">
        <v>188</v>
      </c>
      <c r="C5" s="92">
        <v>500</v>
      </c>
      <c r="D5" s="92">
        <v>1</v>
      </c>
      <c r="E5" s="92">
        <v>25770</v>
      </c>
      <c r="F5" s="92">
        <v>7</v>
      </c>
      <c r="G5" s="90">
        <f t="shared" si="0"/>
        <v>37550571.428571425</v>
      </c>
      <c r="H5" s="92">
        <v>1</v>
      </c>
      <c r="I5" s="92">
        <v>24760</v>
      </c>
      <c r="J5" s="92">
        <v>7</v>
      </c>
      <c r="K5" s="90">
        <f t="shared" si="1"/>
        <v>36078857.142857142</v>
      </c>
      <c r="L5" s="92">
        <v>1</v>
      </c>
      <c r="M5" s="92">
        <v>27526</v>
      </c>
      <c r="N5" s="92">
        <v>7</v>
      </c>
      <c r="O5" s="90">
        <f t="shared" si="2"/>
        <v>40109314.285714284</v>
      </c>
      <c r="P5" s="93">
        <f t="shared" si="3"/>
        <v>37912914.285714291</v>
      </c>
      <c r="Q5" s="93">
        <f t="shared" si="4"/>
        <v>2039513.5338344474</v>
      </c>
      <c r="R5" s="94">
        <f t="shared" ref="R5:R19" si="5">LOG(P5)</f>
        <v>7.5787871690098934</v>
      </c>
      <c r="S5" s="85"/>
      <c r="T5" s="85"/>
      <c r="U5" s="85"/>
    </row>
    <row r="6" spans="1:21">
      <c r="A6" s="85"/>
      <c r="B6" s="91" t="s">
        <v>189</v>
      </c>
      <c r="C6" s="92">
        <v>500</v>
      </c>
      <c r="D6" s="92">
        <v>0</v>
      </c>
      <c r="E6" s="92">
        <v>2493</v>
      </c>
      <c r="F6" s="92">
        <v>7</v>
      </c>
      <c r="G6" s="90">
        <f t="shared" si="0"/>
        <v>363265.71428571426</v>
      </c>
      <c r="H6" s="92">
        <v>0</v>
      </c>
      <c r="I6" s="92">
        <v>2459</v>
      </c>
      <c r="J6" s="92">
        <v>7</v>
      </c>
      <c r="K6" s="90">
        <f t="shared" si="1"/>
        <v>358311.42857142852</v>
      </c>
      <c r="L6" s="92">
        <v>0</v>
      </c>
      <c r="M6" s="92">
        <v>2550</v>
      </c>
      <c r="N6" s="92">
        <v>7</v>
      </c>
      <c r="O6" s="90">
        <f t="shared" si="2"/>
        <v>371571.42857142852</v>
      </c>
      <c r="P6" s="93">
        <f t="shared" si="3"/>
        <v>364382.8571428571</v>
      </c>
      <c r="Q6" s="93">
        <f t="shared" si="4"/>
        <v>6700.2168712996863</v>
      </c>
      <c r="R6" s="94">
        <f t="shared" si="5"/>
        <v>5.5615579368427026</v>
      </c>
      <c r="S6" s="98" t="s">
        <v>131</v>
      </c>
      <c r="T6" s="85"/>
      <c r="U6" s="85"/>
    </row>
    <row r="7" spans="1:21">
      <c r="A7" s="85"/>
      <c r="B7" s="91" t="s">
        <v>190</v>
      </c>
      <c r="C7" s="92">
        <v>500</v>
      </c>
      <c r="D7" s="92">
        <f>LOG(705/250)</f>
        <v>0.45024910831936105</v>
      </c>
      <c r="E7" s="92">
        <v>946</v>
      </c>
      <c r="F7" s="92">
        <v>7</v>
      </c>
      <c r="G7" s="90">
        <f>(E7/F7)*(1)*POWER(10,D7+2)</f>
        <v>38110.285714285717</v>
      </c>
      <c r="H7" s="92">
        <f>LOG(705/250)</f>
        <v>0.45024910831936105</v>
      </c>
      <c r="I7" s="92">
        <v>885</v>
      </c>
      <c r="J7" s="92">
        <v>7</v>
      </c>
      <c r="K7" s="90">
        <f t="shared" si="1"/>
        <v>363659.1428571429</v>
      </c>
      <c r="L7" s="92">
        <f>LOG(705/250)</f>
        <v>0.45024910831936105</v>
      </c>
      <c r="M7" s="92">
        <v>947</v>
      </c>
      <c r="N7" s="92">
        <v>7</v>
      </c>
      <c r="O7" s="90">
        <f>(M7/N7)*(1)*POWER(10,L7+2)</f>
        <v>38150.571428571435</v>
      </c>
      <c r="P7" s="93">
        <f t="shared" si="3"/>
        <v>146640.00000000003</v>
      </c>
      <c r="Q7" s="93">
        <f t="shared" si="4"/>
        <v>187944.09190121258</v>
      </c>
      <c r="R7" s="94">
        <f t="shared" si="5"/>
        <v>5.1662524519541604</v>
      </c>
      <c r="S7" s="85"/>
      <c r="T7" s="85"/>
      <c r="U7" s="85"/>
    </row>
    <row r="8" spans="1:21">
      <c r="A8" s="85"/>
      <c r="B8" s="91" t="s">
        <v>191</v>
      </c>
      <c r="C8" s="92">
        <v>500</v>
      </c>
      <c r="D8" s="92">
        <f>LOG(705/250)</f>
        <v>0.45024910831936105</v>
      </c>
      <c r="E8" s="92">
        <v>1248</v>
      </c>
      <c r="F8" s="92">
        <v>70</v>
      </c>
      <c r="G8" s="90">
        <f>(E8/F8)*(1)*POWER(10,D8+2)</f>
        <v>5027.6571428571442</v>
      </c>
      <c r="H8" s="92">
        <f>LOG(705/250)</f>
        <v>0.45024910831936105</v>
      </c>
      <c r="I8" s="92">
        <v>1303</v>
      </c>
      <c r="J8" s="92">
        <v>70</v>
      </c>
      <c r="K8" s="90">
        <f t="shared" si="1"/>
        <v>53542.131428571432</v>
      </c>
      <c r="L8" s="92">
        <f>LOG(705/250)</f>
        <v>0.45024910831936105</v>
      </c>
      <c r="M8" s="92">
        <v>1278</v>
      </c>
      <c r="N8" s="92">
        <v>70</v>
      </c>
      <c r="O8" s="90">
        <f>(M8/N8)*(1)*POWER(10,L8+2)</f>
        <v>5148.5142857142864</v>
      </c>
      <c r="P8" s="93">
        <f t="shared" si="3"/>
        <v>21239.434285714287</v>
      </c>
      <c r="Q8" s="93">
        <f t="shared" si="4"/>
        <v>27975.021602129429</v>
      </c>
      <c r="R8" s="94">
        <f t="shared" si="5"/>
        <v>4.3271429450900092</v>
      </c>
      <c r="S8" s="85"/>
      <c r="T8" s="85"/>
      <c r="U8" s="85"/>
    </row>
    <row r="9" spans="1:21">
      <c r="A9" s="85"/>
      <c r="B9" s="91" t="s">
        <v>192</v>
      </c>
      <c r="C9" s="92">
        <v>900</v>
      </c>
      <c r="D9" s="92">
        <v>2</v>
      </c>
      <c r="E9" s="92">
        <v>26822</v>
      </c>
      <c r="F9" s="92">
        <v>7</v>
      </c>
      <c r="G9" s="90">
        <f t="shared" si="0"/>
        <v>390834857.14285713</v>
      </c>
      <c r="H9" s="92">
        <v>2</v>
      </c>
      <c r="I9" s="92">
        <v>25452</v>
      </c>
      <c r="J9" s="92">
        <v>7</v>
      </c>
      <c r="K9" s="90">
        <f t="shared" si="1"/>
        <v>370872000</v>
      </c>
      <c r="L9" s="92">
        <v>2</v>
      </c>
      <c r="M9" s="92">
        <v>29126</v>
      </c>
      <c r="N9" s="92">
        <v>7</v>
      </c>
      <c r="O9" s="90">
        <f t="shared" si="2"/>
        <v>424407428.57142854</v>
      </c>
      <c r="P9" s="93">
        <f t="shared" si="3"/>
        <v>395371428.57142854</v>
      </c>
      <c r="Q9" s="93">
        <f t="shared" si="4"/>
        <v>27054498.485954784</v>
      </c>
      <c r="R9" s="94">
        <f t="shared" si="5"/>
        <v>8.5970052819172</v>
      </c>
      <c r="S9" s="85"/>
      <c r="T9" s="85"/>
      <c r="U9" s="85"/>
    </row>
    <row r="10" spans="1:21">
      <c r="A10" s="85"/>
      <c r="B10" s="91" t="s">
        <v>193</v>
      </c>
      <c r="C10" s="92">
        <v>900</v>
      </c>
      <c r="D10" s="92">
        <v>1</v>
      </c>
      <c r="E10" s="92">
        <v>11669</v>
      </c>
      <c r="F10" s="92">
        <v>7</v>
      </c>
      <c r="G10" s="90">
        <f t="shared" si="0"/>
        <v>17003399.999999996</v>
      </c>
      <c r="H10" s="92">
        <v>1</v>
      </c>
      <c r="I10" s="92">
        <v>13970</v>
      </c>
      <c r="J10" s="92">
        <v>20</v>
      </c>
      <c r="K10" s="90">
        <f t="shared" si="1"/>
        <v>7124700</v>
      </c>
      <c r="L10" s="92">
        <v>1</v>
      </c>
      <c r="M10" s="92">
        <v>12995</v>
      </c>
      <c r="N10" s="92">
        <v>7</v>
      </c>
      <c r="O10" s="90">
        <f t="shared" si="2"/>
        <v>18935571.428571429</v>
      </c>
      <c r="P10" s="93">
        <f t="shared" si="3"/>
        <v>14354557.142857142</v>
      </c>
      <c r="Q10" s="93">
        <f t="shared" si="4"/>
        <v>6335333.2459262749</v>
      </c>
      <c r="R10" s="94">
        <f t="shared" si="5"/>
        <v>7.1569897984779303</v>
      </c>
      <c r="S10" s="98" t="s">
        <v>131</v>
      </c>
      <c r="T10" s="85"/>
      <c r="U10" s="85"/>
    </row>
    <row r="11" spans="1:21">
      <c r="A11" s="85"/>
      <c r="B11" s="91" t="s">
        <v>194</v>
      </c>
      <c r="C11" s="92">
        <v>900</v>
      </c>
      <c r="D11" s="92">
        <v>1</v>
      </c>
      <c r="E11" s="92">
        <v>6123</v>
      </c>
      <c r="F11" s="92">
        <v>7</v>
      </c>
      <c r="G11" s="90">
        <f t="shared" si="0"/>
        <v>8922085.7142857127</v>
      </c>
      <c r="H11" s="92">
        <v>1</v>
      </c>
      <c r="I11" s="92">
        <v>6639</v>
      </c>
      <c r="J11" s="92">
        <v>7</v>
      </c>
      <c r="K11" s="90">
        <f t="shared" si="1"/>
        <v>9673971.4285714272</v>
      </c>
      <c r="L11" s="92">
        <v>1</v>
      </c>
      <c r="M11" s="92">
        <v>7021</v>
      </c>
      <c r="N11" s="92">
        <v>7</v>
      </c>
      <c r="O11" s="90">
        <f t="shared" si="2"/>
        <v>10230599.999999998</v>
      </c>
      <c r="P11" s="93">
        <f t="shared" si="3"/>
        <v>9608885.7142857127</v>
      </c>
      <c r="Q11" s="93">
        <f t="shared" si="4"/>
        <v>656680.68468065432</v>
      </c>
      <c r="R11" s="94">
        <f t="shared" si="5"/>
        <v>6.9826730280228597</v>
      </c>
      <c r="S11" s="98" t="s">
        <v>131</v>
      </c>
      <c r="T11" s="85"/>
      <c r="U11" s="85"/>
    </row>
    <row r="12" spans="1:21">
      <c r="A12" s="85"/>
      <c r="B12" s="91" t="s">
        <v>195</v>
      </c>
      <c r="C12" s="92">
        <v>900</v>
      </c>
      <c r="D12" s="92">
        <v>1</v>
      </c>
      <c r="E12" s="92">
        <v>29009</v>
      </c>
      <c r="F12" s="92">
        <v>7</v>
      </c>
      <c r="G12" s="90">
        <f t="shared" si="0"/>
        <v>42270257.142857142</v>
      </c>
      <c r="H12" s="92">
        <v>1</v>
      </c>
      <c r="I12" s="92">
        <v>29016</v>
      </c>
      <c r="J12" s="92">
        <v>7</v>
      </c>
      <c r="K12" s="90">
        <f t="shared" si="1"/>
        <v>42280457.142857134</v>
      </c>
      <c r="L12" s="92">
        <v>1</v>
      </c>
      <c r="M12" s="92">
        <v>31568</v>
      </c>
      <c r="N12" s="92">
        <v>7</v>
      </c>
      <c r="O12" s="90">
        <f t="shared" si="2"/>
        <v>45999085.714285709</v>
      </c>
      <c r="P12" s="93">
        <f t="shared" si="3"/>
        <v>43516599.999999993</v>
      </c>
      <c r="Q12" s="93">
        <f t="shared" si="4"/>
        <v>2149901.7422255576</v>
      </c>
      <c r="R12" s="94">
        <f t="shared" si="5"/>
        <v>7.6386549561082937</v>
      </c>
      <c r="S12" s="85"/>
      <c r="T12" s="85"/>
      <c r="U12" s="85"/>
    </row>
    <row r="13" spans="1:21">
      <c r="A13" s="85"/>
      <c r="B13" s="91" t="s">
        <v>196</v>
      </c>
      <c r="C13" s="92">
        <v>900</v>
      </c>
      <c r="D13" s="92">
        <v>1</v>
      </c>
      <c r="E13" s="92">
        <v>13542</v>
      </c>
      <c r="F13" s="92">
        <v>7</v>
      </c>
      <c r="G13" s="90">
        <f t="shared" si="0"/>
        <v>19732628.571428571</v>
      </c>
      <c r="H13" s="92">
        <v>1</v>
      </c>
      <c r="I13" s="92">
        <v>14070</v>
      </c>
      <c r="J13" s="92">
        <v>7</v>
      </c>
      <c r="K13" s="90">
        <f t="shared" si="1"/>
        <v>20502000</v>
      </c>
      <c r="L13" s="92">
        <v>1</v>
      </c>
      <c r="M13" s="92">
        <v>15197</v>
      </c>
      <c r="N13" s="92">
        <v>7</v>
      </c>
      <c r="O13" s="90">
        <f t="shared" si="2"/>
        <v>22144199.999999996</v>
      </c>
      <c r="P13" s="93">
        <f t="shared" si="3"/>
        <v>20792942.857142854</v>
      </c>
      <c r="Q13" s="93">
        <f t="shared" si="4"/>
        <v>1231829.938898768</v>
      </c>
      <c r="R13" s="94">
        <f t="shared" si="5"/>
        <v>7.3179159600467427</v>
      </c>
      <c r="S13" s="85"/>
      <c r="T13" s="85"/>
      <c r="U13" s="85"/>
    </row>
    <row r="14" spans="1:21">
      <c r="A14" s="85"/>
      <c r="B14" s="91" t="s">
        <v>197</v>
      </c>
      <c r="C14" s="92">
        <v>900</v>
      </c>
      <c r="D14" s="92">
        <v>1</v>
      </c>
      <c r="E14" s="92">
        <v>6282</v>
      </c>
      <c r="F14" s="92">
        <v>7</v>
      </c>
      <c r="G14" s="90">
        <f t="shared" si="0"/>
        <v>9153771.4285714291</v>
      </c>
      <c r="H14" s="92">
        <v>1</v>
      </c>
      <c r="I14" s="92">
        <v>6343</v>
      </c>
      <c r="J14" s="92">
        <v>7</v>
      </c>
      <c r="K14" s="90">
        <f t="shared" si="1"/>
        <v>9242657.1428571418</v>
      </c>
      <c r="L14" s="92">
        <v>1</v>
      </c>
      <c r="M14" s="92">
        <v>7014</v>
      </c>
      <c r="N14" s="92">
        <v>7</v>
      </c>
      <c r="O14" s="90">
        <f t="shared" si="2"/>
        <v>10220400</v>
      </c>
      <c r="P14" s="93">
        <f t="shared" si="3"/>
        <v>9538942.8571428563</v>
      </c>
      <c r="Q14" s="93">
        <f t="shared" si="4"/>
        <v>591830.25075969705</v>
      </c>
      <c r="R14" s="94">
        <f t="shared" si="5"/>
        <v>6.9795002471622967</v>
      </c>
      <c r="S14" s="85"/>
      <c r="T14" s="85"/>
      <c r="U14" s="85"/>
    </row>
    <row r="15" spans="1:21">
      <c r="A15" s="85"/>
      <c r="B15" s="91" t="s">
        <v>198</v>
      </c>
      <c r="C15" s="92">
        <v>900</v>
      </c>
      <c r="D15" s="92">
        <v>1</v>
      </c>
      <c r="E15" s="92">
        <v>3249</v>
      </c>
      <c r="F15" s="92">
        <v>7</v>
      </c>
      <c r="G15" s="90">
        <f t="shared" si="0"/>
        <v>4734257.1428571427</v>
      </c>
      <c r="H15" s="92">
        <v>1</v>
      </c>
      <c r="I15" s="92">
        <v>3902</v>
      </c>
      <c r="J15" s="92">
        <v>7</v>
      </c>
      <c r="K15" s="90">
        <f t="shared" si="1"/>
        <v>5685771.4285714282</v>
      </c>
      <c r="L15" s="92">
        <v>1</v>
      </c>
      <c r="M15" s="92">
        <v>3833</v>
      </c>
      <c r="N15" s="92">
        <v>7</v>
      </c>
      <c r="O15" s="90">
        <f t="shared" si="2"/>
        <v>5585228.5714285709</v>
      </c>
      <c r="P15" s="93">
        <f t="shared" si="3"/>
        <v>5335085.7142857136</v>
      </c>
      <c r="Q15" s="93">
        <f t="shared" si="4"/>
        <v>522755.62714741344</v>
      </c>
      <c r="R15" s="94">
        <f t="shared" si="5"/>
        <v>6.7271414012566968</v>
      </c>
      <c r="S15" s="85"/>
      <c r="T15" s="85"/>
      <c r="U15" s="85"/>
    </row>
    <row r="16" spans="1:21">
      <c r="A16" s="85"/>
      <c r="B16" s="91" t="s">
        <v>199</v>
      </c>
      <c r="C16" s="92">
        <v>900</v>
      </c>
      <c r="D16" s="92">
        <v>0</v>
      </c>
      <c r="E16" s="92">
        <v>12331</v>
      </c>
      <c r="F16" s="92">
        <v>7</v>
      </c>
      <c r="G16" s="90">
        <f t="shared" si="0"/>
        <v>1796802.857142857</v>
      </c>
      <c r="H16" s="92">
        <v>0</v>
      </c>
      <c r="I16" s="92">
        <v>13246</v>
      </c>
      <c r="J16" s="92">
        <v>7</v>
      </c>
      <c r="K16" s="90">
        <f t="shared" si="1"/>
        <v>1930131.4285714284</v>
      </c>
      <c r="L16" s="92">
        <v>0</v>
      </c>
      <c r="M16" s="92">
        <v>11745</v>
      </c>
      <c r="N16" s="92">
        <v>7</v>
      </c>
      <c r="O16" s="90">
        <f t="shared" si="2"/>
        <v>1711414.2857142854</v>
      </c>
      <c r="P16" s="93">
        <f t="shared" si="3"/>
        <v>1812782.857142857</v>
      </c>
      <c r="Q16" s="93">
        <f t="shared" si="4"/>
        <v>110230.74636823416</v>
      </c>
      <c r="R16" s="94">
        <f t="shared" si="5"/>
        <v>6.2583457855668376</v>
      </c>
      <c r="S16" s="85"/>
      <c r="T16" s="85"/>
      <c r="U16" s="85"/>
    </row>
    <row r="17" spans="1:21">
      <c r="A17" s="85"/>
      <c r="B17" s="91" t="s">
        <v>200</v>
      </c>
      <c r="C17" s="92">
        <v>900</v>
      </c>
      <c r="D17" s="92">
        <v>0</v>
      </c>
      <c r="E17" s="92">
        <v>6389</v>
      </c>
      <c r="F17" s="92">
        <v>7</v>
      </c>
      <c r="G17" s="90">
        <f t="shared" si="0"/>
        <v>930968.57142857136</v>
      </c>
      <c r="H17" s="92">
        <v>0</v>
      </c>
      <c r="I17" s="92">
        <v>4586</v>
      </c>
      <c r="J17" s="92">
        <v>7</v>
      </c>
      <c r="K17" s="90">
        <f t="shared" si="1"/>
        <v>668245.7142857142</v>
      </c>
      <c r="L17" s="92">
        <v>0</v>
      </c>
      <c r="M17" s="92">
        <v>5332</v>
      </c>
      <c r="N17" s="92">
        <v>7</v>
      </c>
      <c r="O17" s="90">
        <f t="shared" si="2"/>
        <v>776948.57142857136</v>
      </c>
      <c r="P17" s="93">
        <f t="shared" si="3"/>
        <v>792054.28571428556</v>
      </c>
      <c r="Q17" s="93">
        <f t="shared" si="4"/>
        <v>132011.21872548491</v>
      </c>
      <c r="R17" s="94">
        <f t="shared" si="5"/>
        <v>5.8987549482286576</v>
      </c>
      <c r="S17" s="85"/>
      <c r="T17" s="85"/>
      <c r="U17" s="85"/>
    </row>
    <row r="18" spans="1:21">
      <c r="A18" s="85"/>
      <c r="B18" s="91" t="s">
        <v>201</v>
      </c>
      <c r="C18" s="92">
        <v>900</v>
      </c>
      <c r="D18" s="92">
        <v>0</v>
      </c>
      <c r="E18" s="92">
        <v>2453</v>
      </c>
      <c r="F18" s="92">
        <v>7</v>
      </c>
      <c r="G18" s="90">
        <f t="shared" si="0"/>
        <v>357437.14285714284</v>
      </c>
      <c r="H18" s="92">
        <v>0</v>
      </c>
      <c r="I18" s="92">
        <v>2433</v>
      </c>
      <c r="J18" s="92">
        <v>7</v>
      </c>
      <c r="K18" s="90">
        <f t="shared" si="1"/>
        <v>354522.8571428571</v>
      </c>
      <c r="L18" s="92">
        <v>0</v>
      </c>
      <c r="M18" s="92">
        <v>1833</v>
      </c>
      <c r="N18" s="92">
        <v>7</v>
      </c>
      <c r="O18" s="90">
        <f t="shared" si="2"/>
        <v>267094.28571428568</v>
      </c>
      <c r="P18" s="93">
        <f t="shared" si="3"/>
        <v>326351.42857142852</v>
      </c>
      <c r="Q18" s="93">
        <f t="shared" si="4"/>
        <v>51338.874159841398</v>
      </c>
      <c r="R18" s="94">
        <f t="shared" si="5"/>
        <v>5.5136855181177333</v>
      </c>
      <c r="S18" s="85"/>
      <c r="T18" s="85"/>
      <c r="U18" s="85"/>
    </row>
    <row r="19" spans="1:21">
      <c r="A19" s="85"/>
      <c r="B19" s="91" t="s">
        <v>202</v>
      </c>
      <c r="C19" s="92">
        <v>900</v>
      </c>
      <c r="D19" s="92">
        <v>0</v>
      </c>
      <c r="E19" s="92">
        <v>2574</v>
      </c>
      <c r="F19" s="92">
        <v>14</v>
      </c>
      <c r="G19" s="90">
        <f t="shared" si="0"/>
        <v>187534.28571428571</v>
      </c>
      <c r="H19" s="92">
        <v>0</v>
      </c>
      <c r="I19" s="92">
        <v>1997</v>
      </c>
      <c r="J19" s="92">
        <v>14</v>
      </c>
      <c r="K19" s="90">
        <f t="shared" si="1"/>
        <v>145495.71428571429</v>
      </c>
      <c r="L19" s="92">
        <v>0</v>
      </c>
      <c r="M19" s="92">
        <v>1974</v>
      </c>
      <c r="N19" s="92">
        <v>14</v>
      </c>
      <c r="O19" s="90">
        <f t="shared" si="2"/>
        <v>143819.99999999997</v>
      </c>
      <c r="P19" s="93">
        <f t="shared" si="3"/>
        <v>158950</v>
      </c>
      <c r="Q19" s="93">
        <f t="shared" si="4"/>
        <v>24768.892727345858</v>
      </c>
      <c r="R19" s="94">
        <f t="shared" si="5"/>
        <v>5.2012605322507914</v>
      </c>
      <c r="S19" s="85"/>
      <c r="T19" s="85"/>
      <c r="U19" s="85"/>
    </row>
    <row r="20" spans="1:21" ht="15" thickBot="1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</row>
    <row r="21" spans="1:21" ht="43" thickBot="1">
      <c r="A21" s="85"/>
      <c r="B21" s="95" t="s">
        <v>4</v>
      </c>
      <c r="C21" s="95" t="s">
        <v>203</v>
      </c>
      <c r="D21" s="95" t="s">
        <v>204</v>
      </c>
      <c r="E21" s="95" t="s">
        <v>205</v>
      </c>
      <c r="F21" s="95" t="s">
        <v>206</v>
      </c>
      <c r="G21" s="96" t="s">
        <v>207</v>
      </c>
      <c r="H21" s="97" t="s">
        <v>208</v>
      </c>
      <c r="I21" s="97" t="s">
        <v>222</v>
      </c>
      <c r="J21" s="97" t="s">
        <v>223</v>
      </c>
      <c r="K21" s="97" t="s">
        <v>224</v>
      </c>
      <c r="L21" s="97" t="s">
        <v>225</v>
      </c>
      <c r="M21" s="98" t="s">
        <v>213</v>
      </c>
      <c r="N21" s="85"/>
      <c r="O21" s="85"/>
      <c r="P21" s="85"/>
      <c r="Q21" s="85"/>
      <c r="R21" s="85"/>
      <c r="S21" s="85"/>
      <c r="T21" s="85"/>
      <c r="U21" s="85"/>
    </row>
    <row r="22" spans="1:21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</row>
    <row r="23" spans="1:21">
      <c r="A23" s="85"/>
      <c r="B23" s="91" t="s">
        <v>187</v>
      </c>
      <c r="C23" s="99">
        <v>13.733217239379883</v>
      </c>
      <c r="D23" s="99">
        <v>13.964070320129395</v>
      </c>
      <c r="E23" s="99">
        <v>13.836982727050781</v>
      </c>
      <c r="F23" s="103">
        <f>AVERAGE(C23:E23)</f>
        <v>13.844756762186686</v>
      </c>
      <c r="G23" s="85">
        <f>150/100*180/4*1000/900</f>
        <v>75</v>
      </c>
      <c r="H23" s="104">
        <f>LOG(G23)/LOG(2)</f>
        <v>6.2288186904958813</v>
      </c>
      <c r="I23" s="99">
        <f>C23-H23</f>
        <v>7.5043985488840015</v>
      </c>
      <c r="J23" s="99">
        <f>D23-H23</f>
        <v>7.7352516296335132</v>
      </c>
      <c r="K23" s="99">
        <f>E23-H23</f>
        <v>7.6081640365548999</v>
      </c>
      <c r="L23" s="103">
        <f>AVERAGE(I23:K23)</f>
        <v>7.6159380716908052</v>
      </c>
      <c r="M23" s="85"/>
      <c r="N23" s="85"/>
      <c r="O23" s="85"/>
      <c r="P23" s="85"/>
      <c r="Q23" s="85"/>
      <c r="R23" s="85"/>
      <c r="S23" s="85"/>
      <c r="T23" s="85"/>
      <c r="U23" s="85"/>
    </row>
    <row r="24" spans="1:21">
      <c r="A24" s="85"/>
      <c r="B24" s="91" t="s">
        <v>188</v>
      </c>
      <c r="C24" s="99">
        <v>17.19072151184082</v>
      </c>
      <c r="D24" s="99">
        <v>17.22271728515625</v>
      </c>
      <c r="E24" s="99">
        <v>17.264667510986328</v>
      </c>
      <c r="F24" s="103">
        <f t="shared" ref="F24:F38" si="6">AVERAGE(C24:E24)</f>
        <v>17.226035435994465</v>
      </c>
      <c r="G24" s="85">
        <f t="shared" ref="G24:G27" si="7">150/100*180/4*1000/900</f>
        <v>75</v>
      </c>
      <c r="H24" s="104">
        <f t="shared" ref="H24:H37" si="8">LOG(G24)/LOG(2)</f>
        <v>6.2288186904958813</v>
      </c>
      <c r="I24" s="99">
        <f t="shared" ref="I24:I38" si="9">C24-H24</f>
        <v>10.961902821344939</v>
      </c>
      <c r="J24" s="99">
        <f t="shared" ref="J24:J38" si="10">D24-H24</f>
        <v>10.993898594660369</v>
      </c>
      <c r="K24" s="99">
        <f t="shared" ref="K24:K38" si="11">E24-H24</f>
        <v>11.035848820490447</v>
      </c>
      <c r="L24" s="103">
        <f t="shared" ref="L24:L38" si="12">AVERAGE(I24:K24)</f>
        <v>10.997216745498585</v>
      </c>
      <c r="M24" s="85"/>
      <c r="N24" s="85"/>
      <c r="O24" s="85"/>
      <c r="P24" s="85"/>
      <c r="Q24" s="85"/>
      <c r="R24" s="85"/>
      <c r="S24" s="85"/>
      <c r="T24" s="85"/>
      <c r="U24" s="85"/>
    </row>
    <row r="25" spans="1:21">
      <c r="A25" s="85"/>
      <c r="B25" s="91" t="s">
        <v>189</v>
      </c>
      <c r="C25" s="99">
        <v>20.897546768188477</v>
      </c>
      <c r="D25" s="99">
        <v>20.622665405273438</v>
      </c>
      <c r="E25" s="99">
        <v>20.75037956237793</v>
      </c>
      <c r="F25" s="103">
        <f t="shared" si="6"/>
        <v>20.756863911946613</v>
      </c>
      <c r="G25" s="85">
        <f t="shared" si="7"/>
        <v>75</v>
      </c>
      <c r="H25" s="104">
        <f t="shared" si="8"/>
        <v>6.2288186904958813</v>
      </c>
      <c r="I25" s="99">
        <f t="shared" si="9"/>
        <v>14.668728077692595</v>
      </c>
      <c r="J25" s="99">
        <f t="shared" si="10"/>
        <v>14.393846714777556</v>
      </c>
      <c r="K25" s="99">
        <f t="shared" si="11"/>
        <v>14.521560871882048</v>
      </c>
      <c r="L25" s="103">
        <f t="shared" si="12"/>
        <v>14.528045221450734</v>
      </c>
      <c r="M25" s="98" t="s">
        <v>131</v>
      </c>
      <c r="N25" s="85"/>
      <c r="O25" s="85"/>
      <c r="P25" s="85"/>
      <c r="Q25" s="85"/>
      <c r="R25" s="85"/>
      <c r="S25" s="85"/>
      <c r="T25" s="85"/>
      <c r="U25" s="85"/>
    </row>
    <row r="26" spans="1:21">
      <c r="A26" s="85"/>
      <c r="B26" s="91" t="s">
        <v>190</v>
      </c>
      <c r="C26" s="99">
        <v>25.132444381713867</v>
      </c>
      <c r="D26" s="99">
        <v>25.147838592529297</v>
      </c>
      <c r="E26" s="99">
        <v>25.181661605834961</v>
      </c>
      <c r="F26" s="103">
        <f t="shared" si="6"/>
        <v>25.153981526692707</v>
      </c>
      <c r="G26" s="85">
        <f t="shared" si="7"/>
        <v>75</v>
      </c>
      <c r="H26" s="104">
        <f t="shared" si="8"/>
        <v>6.2288186904958813</v>
      </c>
      <c r="I26" s="99">
        <f t="shared" si="9"/>
        <v>18.903625691217986</v>
      </c>
      <c r="J26" s="99">
        <f t="shared" si="10"/>
        <v>18.919019902033416</v>
      </c>
      <c r="K26" s="99">
        <f t="shared" si="11"/>
        <v>18.95284291533908</v>
      </c>
      <c r="L26" s="103">
        <f t="shared" si="12"/>
        <v>18.925162836196829</v>
      </c>
      <c r="M26" s="85"/>
      <c r="N26" s="85"/>
      <c r="O26" s="85"/>
      <c r="P26" s="85"/>
      <c r="Q26" s="85"/>
      <c r="R26" s="85"/>
      <c r="S26" s="85"/>
      <c r="T26" s="85"/>
      <c r="U26" s="85"/>
    </row>
    <row r="27" spans="1:21">
      <c r="A27" s="85"/>
      <c r="B27" s="91" t="s">
        <v>191</v>
      </c>
      <c r="C27" s="99">
        <v>28.415132522583008</v>
      </c>
      <c r="D27" s="99">
        <v>28.359806060791016</v>
      </c>
      <c r="E27" s="99">
        <v>28.363668441772461</v>
      </c>
      <c r="F27" s="103">
        <f t="shared" si="6"/>
        <v>28.379535675048828</v>
      </c>
      <c r="G27" s="85">
        <f t="shared" si="7"/>
        <v>75</v>
      </c>
      <c r="H27" s="104">
        <f t="shared" si="8"/>
        <v>6.2288186904958813</v>
      </c>
      <c r="I27" s="99">
        <f t="shared" si="9"/>
        <v>22.186313832087126</v>
      </c>
      <c r="J27" s="99">
        <f t="shared" si="10"/>
        <v>22.130987370295134</v>
      </c>
      <c r="K27" s="99">
        <f t="shared" si="11"/>
        <v>22.13484975127658</v>
      </c>
      <c r="L27" s="103">
        <f t="shared" si="12"/>
        <v>22.150716984552947</v>
      </c>
      <c r="M27" s="85"/>
      <c r="N27" s="85"/>
      <c r="O27" s="85"/>
      <c r="P27" s="85"/>
      <c r="Q27" s="85"/>
      <c r="R27" s="85"/>
      <c r="S27" s="85"/>
      <c r="T27" s="85"/>
      <c r="U27" s="85"/>
    </row>
    <row r="28" spans="1:21">
      <c r="A28" s="85"/>
      <c r="B28" s="91" t="s">
        <v>192</v>
      </c>
      <c r="C28" s="99">
        <v>14.936457633972168</v>
      </c>
      <c r="D28" s="99">
        <v>14.999619483947754</v>
      </c>
      <c r="E28" s="99">
        <v>15.074687957763672</v>
      </c>
      <c r="F28" s="103">
        <f t="shared" si="6"/>
        <v>15.003588358561197</v>
      </c>
      <c r="G28" s="85">
        <f>150/100*180/4*1000/500</f>
        <v>135</v>
      </c>
      <c r="H28" s="104">
        <f t="shared" si="8"/>
        <v>7.0768155970508309</v>
      </c>
      <c r="I28" s="99">
        <f t="shared" si="9"/>
        <v>7.8596420369213371</v>
      </c>
      <c r="J28" s="99">
        <f t="shared" si="10"/>
        <v>7.9228038868969231</v>
      </c>
      <c r="K28" s="99">
        <f t="shared" si="11"/>
        <v>7.997872360712841</v>
      </c>
      <c r="L28" s="103">
        <f t="shared" si="12"/>
        <v>7.9267727615103674</v>
      </c>
      <c r="M28" s="85"/>
      <c r="N28" s="85"/>
      <c r="O28" s="85"/>
      <c r="P28" s="85"/>
      <c r="Q28" s="85"/>
      <c r="R28" s="85"/>
      <c r="S28" s="85"/>
      <c r="T28" s="85"/>
      <c r="U28" s="85"/>
    </row>
    <row r="29" spans="1:21">
      <c r="A29" s="85"/>
      <c r="B29" s="91" t="s">
        <v>193</v>
      </c>
      <c r="C29" s="99">
        <v>16.18989372253418</v>
      </c>
      <c r="D29" s="99">
        <v>15.8782958984375</v>
      </c>
      <c r="E29" s="99">
        <v>15.960098266601562</v>
      </c>
      <c r="F29" s="103">
        <f t="shared" si="6"/>
        <v>16.009429295857746</v>
      </c>
      <c r="G29" s="85">
        <f t="shared" ref="G29:G37" si="13">150/100*180/4*1000/500</f>
        <v>135</v>
      </c>
      <c r="H29" s="104">
        <f t="shared" si="8"/>
        <v>7.0768155970508309</v>
      </c>
      <c r="I29" s="99">
        <f t="shared" si="9"/>
        <v>9.1130781254833479</v>
      </c>
      <c r="J29" s="99">
        <f t="shared" si="10"/>
        <v>8.8014803013866683</v>
      </c>
      <c r="K29" s="99">
        <f t="shared" si="11"/>
        <v>8.8832826695507308</v>
      </c>
      <c r="L29" s="103">
        <f t="shared" si="12"/>
        <v>8.9326136988069162</v>
      </c>
      <c r="M29" s="98" t="s">
        <v>131</v>
      </c>
      <c r="N29" s="85"/>
      <c r="O29" s="85"/>
      <c r="P29" s="85"/>
      <c r="Q29" s="85"/>
      <c r="R29" s="85"/>
      <c r="S29" s="85"/>
      <c r="T29" s="85"/>
      <c r="U29" s="85"/>
    </row>
    <row r="30" spans="1:21">
      <c r="A30" s="85"/>
      <c r="B30" s="91" t="s">
        <v>194</v>
      </c>
      <c r="C30" s="99">
        <v>16.854721069335938</v>
      </c>
      <c r="D30" s="99">
        <v>16.93126106262207</v>
      </c>
      <c r="E30" s="99">
        <v>17.05010986328125</v>
      </c>
      <c r="F30" s="103">
        <f t="shared" si="6"/>
        <v>16.945363998413086</v>
      </c>
      <c r="G30" s="85">
        <f t="shared" si="13"/>
        <v>135</v>
      </c>
      <c r="H30" s="104">
        <f t="shared" si="8"/>
        <v>7.0768155970508309</v>
      </c>
      <c r="I30" s="99">
        <f t="shared" si="9"/>
        <v>9.7779054722851058</v>
      </c>
      <c r="J30" s="99">
        <f t="shared" si="10"/>
        <v>9.8544454655712386</v>
      </c>
      <c r="K30" s="99">
        <f t="shared" si="11"/>
        <v>9.9732942662304183</v>
      </c>
      <c r="L30" s="103">
        <f t="shared" si="12"/>
        <v>9.8685484013622542</v>
      </c>
      <c r="M30" s="98" t="s">
        <v>131</v>
      </c>
      <c r="N30" s="85"/>
      <c r="O30" s="85"/>
      <c r="P30" s="85"/>
      <c r="Q30" s="85"/>
      <c r="R30" s="85"/>
      <c r="S30" s="85"/>
      <c r="T30" s="85"/>
      <c r="U30" s="85"/>
    </row>
    <row r="31" spans="1:21">
      <c r="A31" s="85"/>
      <c r="B31" s="91" t="s">
        <v>195</v>
      </c>
      <c r="C31" s="99">
        <v>18.072385787963867</v>
      </c>
      <c r="D31" s="99">
        <v>18.182058334350586</v>
      </c>
      <c r="E31" s="99">
        <v>18.225353240966797</v>
      </c>
      <c r="F31" s="103">
        <f t="shared" si="6"/>
        <v>18.159932454427082</v>
      </c>
      <c r="G31" s="85">
        <f t="shared" si="13"/>
        <v>135</v>
      </c>
      <c r="H31" s="104">
        <f t="shared" si="8"/>
        <v>7.0768155970508309</v>
      </c>
      <c r="I31" s="99">
        <f t="shared" si="9"/>
        <v>10.995570190913035</v>
      </c>
      <c r="J31" s="99">
        <f t="shared" si="10"/>
        <v>11.105242737299754</v>
      </c>
      <c r="K31" s="99">
        <f t="shared" si="11"/>
        <v>11.148537643915965</v>
      </c>
      <c r="L31" s="103">
        <f t="shared" si="12"/>
        <v>11.083116857376252</v>
      </c>
      <c r="M31" s="85"/>
      <c r="N31" s="85"/>
      <c r="O31" s="85"/>
      <c r="P31" s="85"/>
      <c r="Q31" s="85"/>
      <c r="R31" s="85"/>
      <c r="S31" s="85"/>
      <c r="T31" s="85"/>
      <c r="U31" s="85"/>
    </row>
    <row r="32" spans="1:21">
      <c r="A32" s="85"/>
      <c r="B32" s="91" t="s">
        <v>196</v>
      </c>
      <c r="C32" s="99">
        <v>20.280126571655273</v>
      </c>
      <c r="D32" s="99">
        <v>20.968669891357422</v>
      </c>
      <c r="E32" s="99">
        <v>20.306863784790039</v>
      </c>
      <c r="F32" s="103">
        <f t="shared" si="6"/>
        <v>20.518553415934246</v>
      </c>
      <c r="G32" s="85">
        <f t="shared" si="13"/>
        <v>135</v>
      </c>
      <c r="H32" s="104">
        <f t="shared" si="8"/>
        <v>7.0768155970508309</v>
      </c>
      <c r="I32" s="99">
        <f t="shared" si="9"/>
        <v>13.203310974604442</v>
      </c>
      <c r="J32" s="99">
        <f t="shared" si="10"/>
        <v>13.89185429430659</v>
      </c>
      <c r="K32" s="99">
        <f t="shared" si="11"/>
        <v>13.230048187739207</v>
      </c>
      <c r="L32" s="103">
        <f t="shared" si="12"/>
        <v>13.441737818883412</v>
      </c>
      <c r="M32" s="85"/>
      <c r="N32" s="85"/>
      <c r="O32" s="85"/>
      <c r="P32" s="85"/>
      <c r="Q32" s="85"/>
      <c r="R32" s="85"/>
      <c r="S32" s="85"/>
      <c r="T32" s="85"/>
      <c r="U32" s="85"/>
    </row>
    <row r="33" spans="1:21">
      <c r="A33" s="85"/>
      <c r="B33" s="91" t="s">
        <v>197</v>
      </c>
      <c r="C33" s="99">
        <v>21.049312591552734</v>
      </c>
      <c r="D33" s="99">
        <v>21.128349304199219</v>
      </c>
      <c r="E33" s="99">
        <v>21.15723991394043</v>
      </c>
      <c r="F33" s="103">
        <f t="shared" si="6"/>
        <v>21.111633936564129</v>
      </c>
      <c r="G33" s="85">
        <f t="shared" si="13"/>
        <v>135</v>
      </c>
      <c r="H33" s="104">
        <f t="shared" si="8"/>
        <v>7.0768155970508309</v>
      </c>
      <c r="I33" s="99">
        <f t="shared" si="9"/>
        <v>13.972496994501903</v>
      </c>
      <c r="J33" s="99">
        <f t="shared" si="10"/>
        <v>14.051533707148387</v>
      </c>
      <c r="K33" s="99">
        <f t="shared" si="11"/>
        <v>14.080424316889598</v>
      </c>
      <c r="L33" s="103">
        <f t="shared" si="12"/>
        <v>14.034818339513295</v>
      </c>
      <c r="M33" s="85"/>
      <c r="N33" s="85"/>
      <c r="O33" s="85"/>
      <c r="P33" s="85"/>
      <c r="Q33" s="85"/>
      <c r="R33" s="85"/>
      <c r="S33" s="85"/>
      <c r="T33" s="85"/>
      <c r="U33" s="85"/>
    </row>
    <row r="34" spans="1:21">
      <c r="A34" s="85"/>
      <c r="B34" s="91" t="s">
        <v>198</v>
      </c>
      <c r="C34" s="99">
        <v>21.142179489135742</v>
      </c>
      <c r="D34" s="99">
        <v>21.006193161010742</v>
      </c>
      <c r="E34" s="99">
        <v>21.079441070556641</v>
      </c>
      <c r="F34" s="103">
        <f t="shared" si="6"/>
        <v>21.075937906901043</v>
      </c>
      <c r="G34" s="85">
        <f t="shared" si="13"/>
        <v>135</v>
      </c>
      <c r="H34" s="104">
        <f t="shared" si="8"/>
        <v>7.0768155970508309</v>
      </c>
      <c r="I34" s="99">
        <f t="shared" si="9"/>
        <v>14.06536389208491</v>
      </c>
      <c r="J34" s="99">
        <f t="shared" si="10"/>
        <v>13.92937756395991</v>
      </c>
      <c r="K34" s="99">
        <f t="shared" si="11"/>
        <v>14.002625473505809</v>
      </c>
      <c r="L34" s="103">
        <f t="shared" si="12"/>
        <v>13.999122309850209</v>
      </c>
      <c r="M34" s="85"/>
      <c r="N34" s="85"/>
      <c r="O34" s="85"/>
      <c r="P34" s="85"/>
      <c r="Q34" s="85"/>
      <c r="R34" s="85"/>
      <c r="S34" s="85"/>
      <c r="T34" s="85"/>
      <c r="U34" s="85"/>
    </row>
    <row r="35" spans="1:21">
      <c r="A35" s="85"/>
      <c r="B35" s="91" t="s">
        <v>199</v>
      </c>
      <c r="C35" s="99">
        <v>22.919816970825195</v>
      </c>
      <c r="D35" s="99">
        <v>22.845848083496094</v>
      </c>
      <c r="E35" s="99">
        <v>22.840835571289062</v>
      </c>
      <c r="F35" s="103">
        <f t="shared" si="6"/>
        <v>22.868833541870117</v>
      </c>
      <c r="G35" s="85">
        <f t="shared" si="13"/>
        <v>135</v>
      </c>
      <c r="H35" s="104">
        <f t="shared" si="8"/>
        <v>7.0768155970508309</v>
      </c>
      <c r="I35" s="99">
        <f t="shared" si="9"/>
        <v>15.843001373774364</v>
      </c>
      <c r="J35" s="99">
        <f t="shared" si="10"/>
        <v>15.769032486445262</v>
      </c>
      <c r="K35" s="99">
        <f t="shared" si="11"/>
        <v>15.764019974238231</v>
      </c>
      <c r="L35" s="103">
        <f t="shared" si="12"/>
        <v>15.792017944819285</v>
      </c>
      <c r="M35" s="85"/>
      <c r="N35" s="85"/>
      <c r="O35" s="85"/>
      <c r="P35" s="85"/>
      <c r="Q35" s="85"/>
      <c r="R35" s="85"/>
      <c r="S35" s="85"/>
      <c r="T35" s="85"/>
      <c r="U35" s="85"/>
    </row>
    <row r="36" spans="1:21">
      <c r="A36" s="85"/>
      <c r="B36" s="91" t="s">
        <v>200</v>
      </c>
      <c r="C36" s="99">
        <v>23.948450088500977</v>
      </c>
      <c r="D36" s="99">
        <v>24.184415817260742</v>
      </c>
      <c r="E36" s="99">
        <v>24.005857467651367</v>
      </c>
      <c r="F36" s="103">
        <f t="shared" si="6"/>
        <v>24.046241124471027</v>
      </c>
      <c r="G36" s="85">
        <f t="shared" si="13"/>
        <v>135</v>
      </c>
      <c r="H36" s="104">
        <f t="shared" si="8"/>
        <v>7.0768155970508309</v>
      </c>
      <c r="I36" s="99">
        <f t="shared" si="9"/>
        <v>16.871634491450145</v>
      </c>
      <c r="J36" s="99">
        <f t="shared" si="10"/>
        <v>17.10760022020991</v>
      </c>
      <c r="K36" s="99">
        <f t="shared" si="11"/>
        <v>16.929041870600535</v>
      </c>
      <c r="L36" s="103">
        <f t="shared" si="12"/>
        <v>16.969425527420196</v>
      </c>
      <c r="M36" s="85"/>
      <c r="N36" s="85"/>
      <c r="O36" s="85"/>
      <c r="P36" s="85"/>
      <c r="Q36" s="85"/>
      <c r="R36" s="85"/>
      <c r="S36" s="85"/>
      <c r="T36" s="85"/>
      <c r="U36" s="85"/>
    </row>
    <row r="37" spans="1:21">
      <c r="A37" s="85"/>
      <c r="B37" s="91" t="s">
        <v>201</v>
      </c>
      <c r="C37" s="99">
        <v>24.632528305053711</v>
      </c>
      <c r="D37" s="99">
        <v>24.451812744140625</v>
      </c>
      <c r="E37" s="99">
        <v>24.549453735351562</v>
      </c>
      <c r="F37" s="103">
        <f t="shared" si="6"/>
        <v>24.544598261515301</v>
      </c>
      <c r="G37" s="85">
        <f t="shared" si="13"/>
        <v>135</v>
      </c>
      <c r="H37" s="104">
        <f t="shared" si="8"/>
        <v>7.0768155970508309</v>
      </c>
      <c r="I37" s="99">
        <f t="shared" si="9"/>
        <v>17.555712708002879</v>
      </c>
      <c r="J37" s="99">
        <f t="shared" si="10"/>
        <v>17.374997147089793</v>
      </c>
      <c r="K37" s="99">
        <f t="shared" si="11"/>
        <v>17.472638138300731</v>
      </c>
      <c r="L37" s="103">
        <f t="shared" si="12"/>
        <v>17.467782664464469</v>
      </c>
      <c r="M37" s="85"/>
      <c r="N37" s="85"/>
      <c r="O37" s="85"/>
      <c r="P37" s="85"/>
      <c r="Q37" s="85"/>
      <c r="R37" s="85"/>
      <c r="S37" s="85"/>
      <c r="T37" s="85"/>
      <c r="U37" s="85"/>
    </row>
    <row r="38" spans="1:21">
      <c r="A38" s="85"/>
      <c r="B38" s="91" t="s">
        <v>202</v>
      </c>
      <c r="C38" s="92"/>
      <c r="D38" s="92"/>
      <c r="E38" s="92"/>
      <c r="F38" s="103" t="e">
        <f t="shared" si="6"/>
        <v>#DIV/0!</v>
      </c>
      <c r="G38" s="85">
        <v>0</v>
      </c>
      <c r="H38" s="104">
        <v>0</v>
      </c>
      <c r="I38" s="99">
        <f t="shared" si="9"/>
        <v>0</v>
      </c>
      <c r="J38" s="99">
        <f t="shared" si="10"/>
        <v>0</v>
      </c>
      <c r="K38" s="99">
        <f t="shared" si="11"/>
        <v>0</v>
      </c>
      <c r="L38" s="103">
        <f t="shared" si="12"/>
        <v>0</v>
      </c>
      <c r="M38" s="85"/>
      <c r="N38" s="85"/>
      <c r="O38" s="85"/>
      <c r="P38" s="85"/>
      <c r="Q38" s="85"/>
      <c r="R38" s="85"/>
      <c r="S38" s="85"/>
      <c r="T38" s="85"/>
      <c r="U38" s="85"/>
    </row>
    <row r="39" spans="1:21">
      <c r="A39" s="85"/>
      <c r="B39" s="85"/>
      <c r="C39" s="85"/>
      <c r="D39" s="85"/>
      <c r="E39" s="85"/>
      <c r="F39" s="104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</row>
    <row r="40" spans="1:21">
      <c r="A40" s="85"/>
      <c r="B40" s="91" t="s">
        <v>226</v>
      </c>
      <c r="C40" s="99">
        <v>14.390941619873047</v>
      </c>
      <c r="D40" s="99">
        <v>14.411395072937012</v>
      </c>
      <c r="E40" s="99">
        <v>14.301624298095703</v>
      </c>
      <c r="F40" s="103">
        <f>AVERAGE(C40:E40)</f>
        <v>14.367986996968588</v>
      </c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</row>
    <row r="41" spans="1:2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</row>
    <row r="42" spans="1:21">
      <c r="A42" s="85"/>
      <c r="B42" s="98" t="s">
        <v>215</v>
      </c>
      <c r="C42" s="85" t="s">
        <v>216</v>
      </c>
      <c r="D42" s="85"/>
      <c r="E42" s="85"/>
      <c r="F42" t="s">
        <v>227</v>
      </c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</row>
    <row r="43" spans="1:21">
      <c r="A43" s="85"/>
      <c r="B43" s="85" t="s">
        <v>228</v>
      </c>
      <c r="C43" s="85" t="s">
        <v>216</v>
      </c>
      <c r="D43" s="85"/>
      <c r="E43" s="85"/>
      <c r="F43">
        <v>0.35990572856564834</v>
      </c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</row>
    <row r="44" spans="1:21">
      <c r="A44" s="85"/>
      <c r="B44" s="85"/>
      <c r="C44" s="102" t="s">
        <v>218</v>
      </c>
      <c r="D44" s="105">
        <v>-3.2483</v>
      </c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</row>
    <row r="45" spans="1:21">
      <c r="A45" s="85"/>
      <c r="B45" s="85"/>
      <c r="C45" s="102" t="s">
        <v>219</v>
      </c>
      <c r="D45" s="100">
        <v>36.023000000000003</v>
      </c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</row>
    <row r="46" spans="1:2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</row>
    <row r="47" spans="1:2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</row>
    <row r="48" spans="1:21">
      <c r="A48" s="85"/>
      <c r="B48" s="98" t="s">
        <v>220</v>
      </c>
      <c r="C48" s="85"/>
      <c r="D48" s="85">
        <f>-1+ POWER(10,-(1/D44))</f>
        <v>1.0316707994539165</v>
      </c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</row>
    <row r="49" spans="1:2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</row>
    <row r="50" spans="1:2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</row>
    <row r="51" spans="1:2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</row>
    <row r="52" spans="1:2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</row>
    <row r="53" spans="1:2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</row>
    <row r="54" spans="1:2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</row>
    <row r="55" spans="1:2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S71"/>
  <sheetViews>
    <sheetView workbookViewId="0">
      <selection activeCell="I16" sqref="I16"/>
    </sheetView>
  </sheetViews>
  <sheetFormatPr baseColWidth="10" defaultColWidth="8.83203125" defaultRowHeight="14" x14ac:dyDescent="0"/>
  <cols>
    <col min="1" max="1" width="13.33203125" style="85" bestFit="1" customWidth="1"/>
    <col min="2" max="4" width="8.83203125" style="85"/>
    <col min="5" max="6" width="13.33203125" style="85" bestFit="1" customWidth="1"/>
    <col min="7" max="10" width="13.6640625" style="85" customWidth="1"/>
    <col min="11" max="11" width="16.5" style="85" bestFit="1" customWidth="1"/>
    <col min="12" max="12" width="17" style="85" customWidth="1"/>
    <col min="13" max="13" width="19.1640625" style="85" customWidth="1"/>
    <col min="14" max="14" width="17" style="85" customWidth="1"/>
    <col min="15" max="15" width="18.83203125" style="85" customWidth="1"/>
    <col min="16" max="16" width="18" style="85" customWidth="1"/>
    <col min="17" max="17" width="23.5" style="85" customWidth="1"/>
    <col min="18" max="18" width="18.5" style="85" customWidth="1"/>
    <col min="19" max="19" width="23.5" style="85" customWidth="1"/>
    <col min="20" max="16384" width="8.83203125" style="85"/>
  </cols>
  <sheetData>
    <row r="1" spans="1:19">
      <c r="A1" s="106" t="s">
        <v>229</v>
      </c>
    </row>
    <row r="2" spans="1:19">
      <c r="A2" s="130" t="s">
        <v>4</v>
      </c>
      <c r="B2" s="130" t="s">
        <v>117</v>
      </c>
      <c r="C2" s="130" t="s">
        <v>117</v>
      </c>
      <c r="D2" s="130" t="s">
        <v>5</v>
      </c>
      <c r="E2" s="142" t="s">
        <v>230</v>
      </c>
      <c r="F2" s="142" t="s">
        <v>231</v>
      </c>
      <c r="G2" s="142" t="s">
        <v>232</v>
      </c>
      <c r="H2" s="144" t="s">
        <v>233</v>
      </c>
      <c r="I2" s="144" t="s">
        <v>234</v>
      </c>
      <c r="J2" s="144" t="s">
        <v>235</v>
      </c>
      <c r="K2" s="142" t="s">
        <v>236</v>
      </c>
      <c r="L2" s="142" t="s">
        <v>237</v>
      </c>
      <c r="M2" s="142" t="s">
        <v>238</v>
      </c>
      <c r="N2" s="142" t="s">
        <v>239</v>
      </c>
      <c r="O2" s="142" t="s">
        <v>240</v>
      </c>
      <c r="P2" s="144" t="s">
        <v>241</v>
      </c>
      <c r="Q2" s="144" t="s">
        <v>242</v>
      </c>
      <c r="R2" s="150" t="s">
        <v>243</v>
      </c>
      <c r="S2" s="144" t="s">
        <v>244</v>
      </c>
    </row>
    <row r="3" spans="1:19">
      <c r="A3" s="131"/>
      <c r="B3" s="131"/>
      <c r="C3" s="131"/>
      <c r="D3" s="131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51"/>
      <c r="S3" s="143"/>
    </row>
    <row r="4" spans="1:1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99">
        <v>24.254148483276367</v>
      </c>
      <c r="F4" s="99">
        <v>25.040191650390625</v>
      </c>
      <c r="G4" s="99">
        <v>24.510547637939453</v>
      </c>
      <c r="H4" s="99">
        <f>E4-$H$47+$H$71</f>
        <v>24.359151804808413</v>
      </c>
      <c r="I4" s="99">
        <f>F4-$H$47+$H$71</f>
        <v>25.14519497192267</v>
      </c>
      <c r="J4" s="99">
        <f>G4-$H$47+$H$71</f>
        <v>24.615550959471499</v>
      </c>
      <c r="K4" s="103">
        <f>((H4-'Calibration R. intestinalis '!$D$45)/('Calibration R. intestinalis '!$D$44))+$B$22</f>
        <v>8.320126594201442</v>
      </c>
      <c r="L4" s="103">
        <f>((I4-'Calibration R. intestinalis '!$D$45)/('Calibration R. intestinalis '!$D$44))+$B$22</f>
        <v>8.1075503529935951</v>
      </c>
      <c r="M4" s="103">
        <f>((J4-'Calibration R. intestinalis '!$D$45)/('Calibration R. intestinalis '!$D$44))+$B$22</f>
        <v>8.2507864220233085</v>
      </c>
      <c r="N4" s="107">
        <f>AVERAGE(K4:M4)</f>
        <v>8.2261544564061158</v>
      </c>
      <c r="O4" s="107">
        <f>STDEV(K4:M4)</f>
        <v>0.10840763293762631</v>
      </c>
      <c r="P4" s="100">
        <f>(AVERAGE(POWER(10,K4),POWER(10,L4),POWER(10,M4)))*(Calculation!$I4/Calculation!$K3)</f>
        <v>172071911.20191211</v>
      </c>
      <c r="Q4" s="108">
        <f>(STDEV(POWER(10,K4),POWER(10,L4),POWER(10,M4)))*(Calculation!$I4/Calculation!$K3)</f>
        <v>40900685.376793176</v>
      </c>
      <c r="R4" s="107">
        <f>LOG(P4)</f>
        <v>8.2357099824390207</v>
      </c>
      <c r="S4" s="107">
        <f>O4*(Calculation!$I4/Calculation!$K3)</f>
        <v>0.10861269151190933</v>
      </c>
    </row>
    <row r="5" spans="1:1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111">
        <v>22.631855010986328</v>
      </c>
      <c r="F5" s="99">
        <v>22.044622421264648</v>
      </c>
      <c r="G5" s="99">
        <v>22.950525283813477</v>
      </c>
      <c r="H5" s="99">
        <f>E5-$H$47+$H$71</f>
        <v>22.736858332518374</v>
      </c>
      <c r="I5" s="99">
        <f>F5-$H$47+$H$71</f>
        <v>22.149625742796694</v>
      </c>
      <c r="J5" s="99">
        <f>G5-$H$47+$H$71</f>
        <v>23.055528605345522</v>
      </c>
      <c r="K5" s="103">
        <f>((H5-'Calibration R. intestinalis '!$D$45)/('Calibration R. intestinalis '!$D$44))+$B$22</f>
        <v>8.7588570137298092</v>
      </c>
      <c r="L5" s="103">
        <f>((I5-'Calibration R. intestinalis '!$D$45)/('Calibration R. intestinalis '!$D$44))+$B$22</f>
        <v>8.9176672443384781</v>
      </c>
      <c r="M5" s="103">
        <f>((J5-'Calibration R. intestinalis '!$D$45)/('Calibration R. intestinalis '!$D$44))+$B$22</f>
        <v>8.6726763411963024</v>
      </c>
      <c r="N5" s="107">
        <f t="shared" ref="N5:N20" si="1">AVERAGE(K5:M5)</f>
        <v>8.7830668664215299</v>
      </c>
      <c r="O5" s="107">
        <f t="shared" ref="O5:O20" si="2">STDEV(K5:M5)</f>
        <v>0.12427680145997018</v>
      </c>
      <c r="P5" s="100">
        <f>(AVERAGE(POWER(10,K5),POWER(10,L5),POWER(10,M5)))*(Calculation!$I5/Calculation!$K4)</f>
        <v>627574573.19429421</v>
      </c>
      <c r="Q5" s="108">
        <f>(STDEV(POWER(10,K5),POWER(10,L5),POWER(10,M5)))*(Calculation!$I5/Calculation!$K4)</f>
        <v>184592672.77916652</v>
      </c>
      <c r="R5" s="107">
        <f>LOG(P5)</f>
        <v>8.7976653394000639</v>
      </c>
      <c r="S5" s="107">
        <f>O5*(Calculation!$I5/Calculation!$K4)</f>
        <v>0.12499793545392479</v>
      </c>
    </row>
    <row r="6" spans="1:1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99">
        <v>21.376068115234375</v>
      </c>
      <c r="F6" s="99">
        <v>21.359342575073242</v>
      </c>
      <c r="G6" s="99">
        <v>22.264974594116211</v>
      </c>
      <c r="H6" s="99">
        <f>E6-$H$47+$H$71</f>
        <v>21.48107143676642</v>
      </c>
      <c r="I6" s="99">
        <f>F6-$H$47+$H$71</f>
        <v>21.464345896605288</v>
      </c>
      <c r="J6" s="99">
        <f>G6-$H$47+$H$71</f>
        <v>22.369977915648256</v>
      </c>
      <c r="K6" s="103">
        <f>((H6-'Calibration R. intestinalis '!$D$45)/('Calibration R. intestinalis '!$D$44))+$B$22</f>
        <v>9.0984699882144753</v>
      </c>
      <c r="L6" s="103">
        <f>((I6-'Calibration R. intestinalis '!$D$45)/('Calibration R. intestinalis '!$D$44))+$B$22</f>
        <v>9.1029932162105638</v>
      </c>
      <c r="M6" s="103">
        <f>((J6-'Calibration R. intestinalis '!$D$45)/('Calibration R. intestinalis '!$D$44))+$B$22</f>
        <v>8.85807555954751</v>
      </c>
      <c r="N6" s="107">
        <f t="shared" si="1"/>
        <v>9.0198462546575158</v>
      </c>
      <c r="O6" s="107">
        <f t="shared" si="2"/>
        <v>0.14011578513913814</v>
      </c>
      <c r="P6" s="100">
        <f>(AVERAGE(POWER(10,K6),POWER(10,L6),POWER(10,M6)))*(Calculation!$I6/Calculation!$K5)</f>
        <v>1094653353.9101758</v>
      </c>
      <c r="Q6" s="108">
        <f>(STDEV(POWER(10,K6),POWER(10,L6),POWER(10,M6)))*(Calculation!$I6/Calculation!$K5)</f>
        <v>315643437.61150539</v>
      </c>
      <c r="R6" s="107">
        <f t="shared" ref="R6:R20" si="3">LOG(P6)</f>
        <v>9.0392766120360477</v>
      </c>
      <c r="S6" s="107">
        <f>O6*(Calculation!$I6/Calculation!$K5)</f>
        <v>0.14186960699856233</v>
      </c>
    </row>
    <row r="7" spans="1:1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99">
        <v>22.00041389465332</v>
      </c>
      <c r="F7" s="99">
        <v>20.232295989990234</v>
      </c>
      <c r="G7" s="99">
        <v>20.719514846801758</v>
      </c>
      <c r="H7" s="99">
        <f>E7-$H$47+$H$71</f>
        <v>22.105417216185366</v>
      </c>
      <c r="I7" s="99">
        <f>F7-$H$47+$H$71</f>
        <v>20.33729931152228</v>
      </c>
      <c r="J7" s="99">
        <f>G7-$H$47+$H$71</f>
        <v>20.824518168333803</v>
      </c>
      <c r="K7" s="103">
        <f>((H7-'Calibration R. intestinalis '!$D$45)/('Calibration R. intestinalis '!$D$44))+$B$22</f>
        <v>8.9296229266846208</v>
      </c>
      <c r="L7" s="103">
        <f>((I7-'Calibration R. intestinalis '!$D$45)/('Calibration R. intestinalis '!$D$44))+$B$22</f>
        <v>9.4077898695580515</v>
      </c>
      <c r="M7" s="103">
        <f>((J7-'Calibration R. intestinalis '!$D$45)/('Calibration R. intestinalis '!$D$44))+$B$22</f>
        <v>9.2760271909168619</v>
      </c>
      <c r="N7" s="107">
        <f t="shared" si="1"/>
        <v>9.2044799957198453</v>
      </c>
      <c r="O7" s="107">
        <f t="shared" si="2"/>
        <v>0.24698209888502193</v>
      </c>
      <c r="P7" s="100">
        <f>(AVERAGE(POWER(10,K7),POWER(10,L7),POWER(10,M7)))*(Calculation!$I7/Calculation!$K6)</f>
        <v>1802112873.935189</v>
      </c>
      <c r="Q7" s="108">
        <f>(STDEV(POWER(10,K7),POWER(10,L7),POWER(10,M7)))*(Calculation!$I7/Calculation!$K6)</f>
        <v>878020070.3015362</v>
      </c>
      <c r="R7" s="107">
        <f t="shared" si="3"/>
        <v>9.255781989191318</v>
      </c>
      <c r="S7" s="107">
        <f>O7*(Calculation!$I7/Calculation!$K6)</f>
        <v>0.25213460656216558</v>
      </c>
    </row>
    <row r="8" spans="1:19">
      <c r="A8" s="40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99">
        <v>19.734956741333008</v>
      </c>
      <c r="F8" s="99">
        <v>19.616888046264648</v>
      </c>
      <c r="G8" s="99">
        <v>19.77082633972168</v>
      </c>
      <c r="H8" s="99">
        <f>E8-$H$47+$H$71</f>
        <v>19.839960062865053</v>
      </c>
      <c r="I8" s="99">
        <f>F8-$H$47+$H$71</f>
        <v>19.721891367796694</v>
      </c>
      <c r="J8" s="99">
        <f>G8-$H$47+$H$71</f>
        <v>19.875829661253725</v>
      </c>
      <c r="K8" s="103">
        <f>((H8-'Calibration R. intestinalis '!$D$45)/('Calibration R. intestinalis '!$D$44))+$B$22</f>
        <v>9.5422894905811813</v>
      </c>
      <c r="L8" s="103">
        <f>((I8-'Calibration R. intestinalis '!$D$45)/('Calibration R. intestinalis '!$D$44))+$B$22</f>
        <v>9.5742197972767915</v>
      </c>
      <c r="M8" s="103">
        <f>((J8-'Calibration R. intestinalis '!$D$45)/('Calibration R. intestinalis '!$D$44))+$B$22</f>
        <v>9.5325889744796388</v>
      </c>
      <c r="N8" s="107">
        <f t="shared" si="1"/>
        <v>9.5496994207792039</v>
      </c>
      <c r="O8" s="107">
        <f t="shared" si="2"/>
        <v>2.1782140639676751E-2</v>
      </c>
      <c r="P8" s="100">
        <f>(AVERAGE(POWER(10,K8),POWER(10,L8),POWER(10,M8)))*(Calculation!$I8/Calculation!$K7)</f>
        <v>3653364806.6437593</v>
      </c>
      <c r="Q8" s="108">
        <f>(STDEV(POWER(10,K8),POWER(10,L8),POWER(10,M8)))*(Calculation!$I8/Calculation!$K7)</f>
        <v>185237203.12728819</v>
      </c>
      <c r="R8" s="107">
        <f t="shared" si="3"/>
        <v>9.5626930408409603</v>
      </c>
      <c r="S8" s="107">
        <f>O8*(Calculation!$I8/Calculation!$K7)</f>
        <v>2.24247363646667E-2</v>
      </c>
    </row>
    <row r="9" spans="1:19">
      <c r="A9" s="40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99">
        <v>19.807050704956055</v>
      </c>
      <c r="F9" s="99">
        <v>20.316825866699219</v>
      </c>
      <c r="G9" s="99">
        <v>20.366952896118164</v>
      </c>
      <c r="H9" s="99">
        <f>E9-$H$57+$H$71</f>
        <v>19.575272842609522</v>
      </c>
      <c r="I9" s="99">
        <f>F9-$H$57+$H$71</f>
        <v>20.085048004352686</v>
      </c>
      <c r="J9" s="99">
        <f>G9-$H$57+$H$71</f>
        <v>20.135175033771631</v>
      </c>
      <c r="K9" s="103">
        <f>((H9-'Calibration R. intestinalis '!$D$45)/('Calibration R. intestinalis '!$D$44))+$B$22</f>
        <v>9.6138710737965667</v>
      </c>
      <c r="L9" s="103">
        <f>((I9-'Calibration R. intestinalis '!$D$45)/('Calibration R. intestinalis '!$D$44))+$B$22</f>
        <v>9.4760083045770074</v>
      </c>
      <c r="M9" s="103">
        <f>((J9-'Calibration R. intestinalis '!$D$45)/('Calibration R. intestinalis '!$D$44))+$B$22</f>
        <v>9.4624520319159089</v>
      </c>
      <c r="N9" s="107">
        <f t="shared" si="1"/>
        <v>9.5174438034298277</v>
      </c>
      <c r="O9" s="107">
        <f t="shared" si="2"/>
        <v>8.3783094863466662E-2</v>
      </c>
      <c r="P9" s="100">
        <f>(AVERAGE(POWER(10,K9),POWER(10,L9),POWER(10,M9)))*(Calculation!$I9/Calculation!$K8)</f>
        <v>3457668890.6659722</v>
      </c>
      <c r="Q9" s="108">
        <f>(STDEV(POWER(10,K9),POWER(10,L9),POWER(10,M9)))*(Calculation!$I9/Calculation!$K8)</f>
        <v>698487588.37482524</v>
      </c>
      <c r="R9" s="107">
        <f t="shared" si="3"/>
        <v>9.5387834025175415</v>
      </c>
      <c r="S9" s="107">
        <f>O9*(Calculation!$I9/Calculation!$K8)</f>
        <v>8.6882547067409971E-2</v>
      </c>
    </row>
    <row r="10" spans="1:19">
      <c r="A10" s="40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99">
        <v>19.238361358642578</v>
      </c>
      <c r="F10" s="99">
        <v>19.730764389038086</v>
      </c>
      <c r="G10" s="99">
        <v>19.531440734863281</v>
      </c>
      <c r="H10" s="99">
        <f>E10-$H$47+$H$71</f>
        <v>19.343364680174624</v>
      </c>
      <c r="I10" s="99">
        <f>F10-$H$47+$H$71</f>
        <v>19.835767710570131</v>
      </c>
      <c r="J10" s="99">
        <f>G10-$H$47+$H$71</f>
        <v>19.636444056395327</v>
      </c>
      <c r="K10" s="103">
        <f>((H10-'Calibration R. intestinalis '!$D$45)/('Calibration R. intestinalis '!$D$44))+$B$22</f>
        <v>9.6765879416968552</v>
      </c>
      <c r="L10" s="103">
        <f>((I10-'Calibration R. intestinalis '!$D$45)/('Calibration R. intestinalis '!$D$44))+$B$22</f>
        <v>9.5434232635467868</v>
      </c>
      <c r="M10" s="103">
        <f>((J10-'Calibration R. intestinalis '!$D$45)/('Calibration R. intestinalis '!$D$44))+$B$22</f>
        <v>9.5973280298000816</v>
      </c>
      <c r="N10" s="107">
        <f t="shared" si="1"/>
        <v>9.6057797450145745</v>
      </c>
      <c r="O10" s="107">
        <f t="shared" si="2"/>
        <v>6.6983441940922941E-2</v>
      </c>
      <c r="P10" s="100">
        <f>(AVERAGE(POWER(10,K10),POWER(10,L10),POWER(10,M10)))*(Calculation!$I10/Calculation!$K9)</f>
        <v>4248850612.5323377</v>
      </c>
      <c r="Q10" s="108">
        <f>(STDEV(POWER(10,K10),POWER(10,L10),POWER(10,M10)))*(Calculation!$I10/Calculation!$K9)</f>
        <v>662625170.90699804</v>
      </c>
      <c r="R10" s="107">
        <f t="shared" si="3"/>
        <v>9.628271461780642</v>
      </c>
      <c r="S10" s="107">
        <f>O10*(Calculation!$I10/Calculation!$K9)</f>
        <v>6.99825025767946E-2</v>
      </c>
    </row>
    <row r="11" spans="1:19">
      <c r="A11" s="40">
        <v>7</v>
      </c>
      <c r="B11" s="32">
        <v>80</v>
      </c>
      <c r="C11" s="32">
        <f t="shared" si="4"/>
        <v>600</v>
      </c>
      <c r="D11" s="13">
        <f t="shared" si="0"/>
        <v>10</v>
      </c>
      <c r="E11" s="99">
        <v>18.805469512939453</v>
      </c>
      <c r="F11" s="99">
        <v>19.171649932861328</v>
      </c>
      <c r="G11" s="99">
        <v>19.245824813842773</v>
      </c>
      <c r="H11" s="99">
        <f>E11-$H$47+$H$71</f>
        <v>18.910472834471499</v>
      </c>
      <c r="I11" s="99">
        <f>F11-$H$47+$H$71</f>
        <v>19.276653254393374</v>
      </c>
      <c r="J11" s="99">
        <f>G11-$H$47+$H$71</f>
        <v>19.350828135374819</v>
      </c>
      <c r="K11" s="103">
        <f>((H11-'Calibration R. intestinalis '!$D$45)/('Calibration R. intestinalis '!$D$44))+$B$22</f>
        <v>9.7936585114302375</v>
      </c>
      <c r="L11" s="103">
        <f>((I11-'Calibration R. intestinalis '!$D$45)/('Calibration R. intestinalis '!$D$44))+$B$22</f>
        <v>9.6946292716536533</v>
      </c>
      <c r="M11" s="103">
        <f>((J11-'Calibration R. intestinalis '!$D$45)/('Calibration R. intestinalis '!$D$44))+$B$22</f>
        <v>9.6745695369587228</v>
      </c>
      <c r="N11" s="107">
        <f t="shared" si="1"/>
        <v>9.7209524400142033</v>
      </c>
      <c r="O11" s="107">
        <f t="shared" si="2"/>
        <v>6.375913938074064E-2</v>
      </c>
      <c r="P11" s="100">
        <f>(AVERAGE(POWER(10,K11),POWER(10,L11),POWER(10,M11)))*(Calculation!$I11/Calculation!$K10)</f>
        <v>5557036151.4978056</v>
      </c>
      <c r="Q11" s="108">
        <f>(STDEV(POWER(10,K11),POWER(10,L11),POWER(10,M11)))*(Calculation!$I11/Calculation!$K10)</f>
        <v>843548028.0733223</v>
      </c>
      <c r="R11" s="107">
        <f t="shared" si="3"/>
        <v>9.744843222112884</v>
      </c>
      <c r="S11" s="107">
        <f>O11*(Calculation!$I11/Calculation!$K10)</f>
        <v>6.6871431902726708E-2</v>
      </c>
    </row>
    <row r="12" spans="1:19">
      <c r="A12" s="40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99">
        <v>19.140636444091797</v>
      </c>
      <c r="F12" s="99">
        <v>19.041255950927734</v>
      </c>
      <c r="G12" s="99">
        <v>19.261520385742188</v>
      </c>
      <c r="H12" s="99">
        <f>E12-$H$47+$H$71</f>
        <v>19.245639765623842</v>
      </c>
      <c r="I12" s="99">
        <f>F12-$H$47+$H$71</f>
        <v>19.14625927245978</v>
      </c>
      <c r="J12" s="99">
        <f>G12-$H$47+$H$71</f>
        <v>19.366523707274233</v>
      </c>
      <c r="K12" s="103">
        <f>((H12-'Calibration R. intestinalis '!$D$45)/('Calibration R. intestinalis '!$D$44))+$B$22</f>
        <v>9.7030165093337057</v>
      </c>
      <c r="L12" s="103">
        <f>((I12-'Calibration R. intestinalis '!$D$45)/('Calibration R. intestinalis '!$D$44))+$B$22</f>
        <v>9.7298928089697121</v>
      </c>
      <c r="M12" s="103">
        <f>((J12-'Calibration R. intestinalis '!$D$45)/('Calibration R. intestinalis '!$D$44))+$B$22</f>
        <v>9.6703248519114187</v>
      </c>
      <c r="N12" s="107">
        <f t="shared" si="1"/>
        <v>9.7010780567382771</v>
      </c>
      <c r="O12" s="107">
        <f t="shared" si="2"/>
        <v>2.9831251664541508E-2</v>
      </c>
      <c r="P12" s="100">
        <f>(AVERAGE(POWER(10,K12),POWER(10,L12),POWER(10,M12)))*(Calculation!$I12/Calculation!$K11)</f>
        <v>5290511974.671422</v>
      </c>
      <c r="Q12" s="108">
        <f>(STDEV(POWER(10,K12),POWER(10,L12),POWER(10,M12)))*(Calculation!$I12/Calculation!$K11)</f>
        <v>361975015.45872277</v>
      </c>
      <c r="R12" s="107">
        <f t="shared" si="3"/>
        <v>9.7234977017168074</v>
      </c>
      <c r="S12" s="107">
        <f>O12*(Calculation!$I12/Calculation!$K11)</f>
        <v>3.1362442577605384E-2</v>
      </c>
    </row>
    <row r="13" spans="1:19">
      <c r="A13" s="40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99">
        <v>19.669418334960938</v>
      </c>
      <c r="F13" s="99">
        <v>19.468706130981445</v>
      </c>
      <c r="G13" s="99">
        <v>19.833925247192383</v>
      </c>
      <c r="H13" s="99">
        <f>E13-$H$47+$H$71</f>
        <v>19.774421656492983</v>
      </c>
      <c r="I13" s="99">
        <f>F13-$H$47+$H$71</f>
        <v>19.573709452513491</v>
      </c>
      <c r="J13" s="99">
        <f>G13-$H$47+$H$71</f>
        <v>19.938928568724428</v>
      </c>
      <c r="K13" s="103">
        <f>((H13-'Calibration R. intestinalis '!$D$45)/('Calibration R. intestinalis '!$D$44))+$B$22</f>
        <v>9.5600135910685307</v>
      </c>
      <c r="L13" s="103">
        <f>((I13-'Calibration R. intestinalis '!$D$45)/('Calibration R. intestinalis '!$D$44))+$B$22</f>
        <v>9.6142938744824065</v>
      </c>
      <c r="M13" s="103">
        <f>((J13-'Calibration R. intestinalis '!$D$45)/('Calibration R. intestinalis '!$D$44))+$B$22</f>
        <v>9.5155246081246876</v>
      </c>
      <c r="N13" s="107">
        <f t="shared" si="1"/>
        <v>9.5632773578918755</v>
      </c>
      <c r="O13" s="107">
        <f t="shared" si="2"/>
        <v>4.9465453850322409E-2</v>
      </c>
      <c r="P13" s="100">
        <f>(AVERAGE(POWER(10,K13),POWER(10,L13),POWER(10,M13)))*(Calculation!$I13/Calculation!$K12)</f>
        <v>3869191007.4414339</v>
      </c>
      <c r="Q13" s="108">
        <f>(STDEV(POWER(10,K13),POWER(10,L13),POWER(10,M13)))*(Calculation!$I13/Calculation!$K12)</f>
        <v>442433222.22136831</v>
      </c>
      <c r="R13" s="107">
        <f t="shared" si="3"/>
        <v>9.587620169739397</v>
      </c>
      <c r="S13" s="107">
        <f>O13*(Calculation!$I13/Calculation!$K12)</f>
        <v>5.2090895190066447E-2</v>
      </c>
    </row>
    <row r="14" spans="1:19">
      <c r="A14" s="40">
        <v>10</v>
      </c>
      <c r="B14" s="32">
        <v>80</v>
      </c>
      <c r="C14" s="32">
        <f t="shared" si="4"/>
        <v>840</v>
      </c>
      <c r="D14" s="13">
        <f t="shared" si="0"/>
        <v>14</v>
      </c>
      <c r="E14" s="99">
        <v>20.042888641357422</v>
      </c>
      <c r="F14" s="99">
        <v>20.310234069824219</v>
      </c>
      <c r="G14" s="99">
        <v>20.249862670898438</v>
      </c>
      <c r="H14" s="99">
        <f>E14-$H$47+$H$71</f>
        <v>20.147891962889467</v>
      </c>
      <c r="I14" s="99">
        <f>F14-$H$47+$H$71</f>
        <v>20.415237391356264</v>
      </c>
      <c r="J14" s="99">
        <f>G14-$H$47+$H$71</f>
        <v>20.354865992430483</v>
      </c>
      <c r="K14" s="103">
        <f>((H14-'Calibration R. intestinalis '!$D$45)/('Calibration R. intestinalis '!$D$44))+$B$22</f>
        <v>9.4590128861988862</v>
      </c>
      <c r="L14" s="103">
        <f>((I14-'Calibration R. intestinalis '!$D$45)/('Calibration R. intestinalis '!$D$44))+$B$22</f>
        <v>9.3867124214595083</v>
      </c>
      <c r="M14" s="103">
        <f>((J14-'Calibration R. intestinalis '!$D$45)/('Calibration R. intestinalis '!$D$44))+$B$22</f>
        <v>9.4030391648204574</v>
      </c>
      <c r="N14" s="107">
        <f t="shared" si="1"/>
        <v>9.4162548241596173</v>
      </c>
      <c r="O14" s="107">
        <f t="shared" si="2"/>
        <v>3.7918722805614778E-2</v>
      </c>
      <c r="P14" s="100">
        <f>(AVERAGE(POWER(10,K14),POWER(10,L14),POWER(10,M14)))*(Calculation!$I14/Calculation!$K13)</f>
        <v>2755557007.1071057</v>
      </c>
      <c r="Q14" s="108">
        <f>(STDEV(POWER(10,K14),POWER(10,L14),POWER(10,M14)))*(Calculation!$I14/Calculation!$K13)</f>
        <v>245121433.63993871</v>
      </c>
      <c r="R14" s="107">
        <f t="shared" si="3"/>
        <v>9.4402094001613257</v>
      </c>
      <c r="S14" s="107">
        <f>O14*(Calculation!$I14/Calculation!$K13)</f>
        <v>3.9965999542505702E-2</v>
      </c>
    </row>
    <row r="15" spans="1:19">
      <c r="A15" s="40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99">
        <v>20.330654144287109</v>
      </c>
      <c r="F15" s="99">
        <v>20.53648567199707</v>
      </c>
      <c r="G15" s="99">
        <v>20.549478530883789</v>
      </c>
      <c r="H15" s="99">
        <f>E15-$H$47+$H$71</f>
        <v>20.435657465819155</v>
      </c>
      <c r="I15" s="99">
        <f>F15-$H$47+$H$71</f>
        <v>20.641488993529116</v>
      </c>
      <c r="J15" s="99">
        <f>G15-$H$47+$H$71</f>
        <v>20.654481852415834</v>
      </c>
      <c r="K15" s="103">
        <f>((H15-'Calibration R. intestinalis '!$D$45)/('Calibration R. intestinalis '!$D$44))+$B$22</f>
        <v>9.3811900495897262</v>
      </c>
      <c r="L15" s="103">
        <f>((I15-'Calibration R. intestinalis '!$D$45)/('Calibration R. intestinalis '!$D$44))+$B$22</f>
        <v>9.3255253045563382</v>
      </c>
      <c r="M15" s="103">
        <f>((J15-'Calibration R. intestinalis '!$D$45)/('Calibration R. intestinalis '!$D$44))+$B$22</f>
        <v>9.3220115368394545</v>
      </c>
      <c r="N15" s="107">
        <f t="shared" si="1"/>
        <v>9.3429089636618396</v>
      </c>
      <c r="O15" s="107">
        <f t="shared" si="2"/>
        <v>3.3198912568873869E-2</v>
      </c>
      <c r="P15" s="100">
        <f>(AVERAGE(POWER(10,K15),POWER(10,L15),POWER(10,M15)))*(Calculation!$I15/Calculation!$K14)</f>
        <v>2325968054.7517843</v>
      </c>
      <c r="Q15" s="108">
        <f>(STDEV(POWER(10,K15),POWER(10,L15),POWER(10,M15)))*(Calculation!$I15/Calculation!$K14)</f>
        <v>181497595.08419737</v>
      </c>
      <c r="R15" s="107">
        <f t="shared" si="3"/>
        <v>9.3666037457577378</v>
      </c>
      <c r="S15" s="107">
        <f>O15*(Calculation!$I15/Calculation!$K14)</f>
        <v>3.4991361163220165E-2</v>
      </c>
    </row>
    <row r="16" spans="1:19">
      <c r="A16" s="40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99">
        <v>20.865472793579102</v>
      </c>
      <c r="F16" s="99">
        <v>21.016426086425781</v>
      </c>
      <c r="G16" s="99">
        <v>21.604307174682617</v>
      </c>
      <c r="H16" s="99">
        <f>E16-$H$47+$H$71</f>
        <v>20.970476115111147</v>
      </c>
      <c r="I16" s="99">
        <f>F16-$H$47+$H$71</f>
        <v>21.121429407957827</v>
      </c>
      <c r="J16" s="99">
        <f>G16-$H$47+$H$71</f>
        <v>21.709310496214663</v>
      </c>
      <c r="K16" s="103">
        <f>((H16-'Calibration R. intestinalis '!$D$45)/('Calibration R. intestinalis '!$D$44))+$B$22</f>
        <v>9.236554560152511</v>
      </c>
      <c r="L16" s="103">
        <f>((I16-'Calibration R. intestinalis '!$D$45)/('Calibration R. intestinalis '!$D$44))+$B$22</f>
        <v>9.1957309960865565</v>
      </c>
      <c r="M16" s="103">
        <f>((J16-'Calibration R. intestinalis '!$D$45)/('Calibration R. intestinalis '!$D$44))+$B$22</f>
        <v>9.036745386584208</v>
      </c>
      <c r="N16" s="107">
        <f t="shared" si="1"/>
        <v>9.1563436476077573</v>
      </c>
      <c r="O16" s="107">
        <f t="shared" si="2"/>
        <v>0.10556727180170358</v>
      </c>
      <c r="P16" s="100">
        <f>(AVERAGE(POWER(10,K16),POWER(10,L16),POWER(10,M16)))*(Calculation!$I16/Calculation!$K15)</f>
        <v>1542349645.3740222</v>
      </c>
      <c r="Q16" s="108">
        <f>(STDEV(POWER(10,K16),POWER(10,L16),POWER(10,M16)))*(Calculation!$I16/Calculation!$K15)</f>
        <v>350121593.25172073</v>
      </c>
      <c r="R16" s="107">
        <f t="shared" si="3"/>
        <v>9.1881828379454369</v>
      </c>
      <c r="S16" s="107">
        <f>O16*(Calculation!$I16/Calculation!$K15)</f>
        <v>0.111477109716988</v>
      </c>
    </row>
    <row r="17" spans="1:19">
      <c r="A17" s="40">
        <v>13</v>
      </c>
      <c r="B17" s="32">
        <v>80</v>
      </c>
      <c r="C17" s="32">
        <f t="shared" si="4"/>
        <v>1080</v>
      </c>
      <c r="D17" s="13">
        <f t="shared" si="0"/>
        <v>18</v>
      </c>
      <c r="E17" s="99">
        <v>20.98130989074707</v>
      </c>
      <c r="F17" s="99">
        <v>21.019992828369141</v>
      </c>
      <c r="G17" s="99">
        <v>21.112422943115234</v>
      </c>
      <c r="H17" s="99">
        <f>E17-$H$47+$H$71</f>
        <v>21.086313212279116</v>
      </c>
      <c r="I17" s="99">
        <f>F17-$H$47+$H$71</f>
        <v>21.124996149901186</v>
      </c>
      <c r="J17" s="99">
        <f>G17-$H$47+$H$71</f>
        <v>21.21742626464728</v>
      </c>
      <c r="K17" s="103">
        <f>((H17-'Calibration R. intestinalis '!$D$45)/('Calibration R. intestinalis '!$D$44))+$B$22</f>
        <v>9.2052277631792663</v>
      </c>
      <c r="L17" s="103">
        <f>((I17-'Calibration R. intestinalis '!$D$45)/('Calibration R. intestinalis '!$D$44))+$B$22</f>
        <v>9.1947664121713224</v>
      </c>
      <c r="M17" s="103">
        <f>((J17-'Calibration R. intestinalis '!$D$45)/('Calibration R. intestinalis '!$D$44))+$B$22</f>
        <v>9.1697697616193334</v>
      </c>
      <c r="N17" s="107">
        <f t="shared" si="1"/>
        <v>9.1899213123233068</v>
      </c>
      <c r="O17" s="107">
        <f t="shared" si="2"/>
        <v>1.8218773643112654E-2</v>
      </c>
      <c r="P17" s="100">
        <f>(AVERAGE(POWER(10,K17),POWER(10,L17),POWER(10,M17)))*(Calculation!$I17/Calculation!$K16)</f>
        <v>1637800124.081702</v>
      </c>
      <c r="Q17" s="108">
        <f>(STDEV(POWER(10,K17),POWER(10,L17),POWER(10,M17)))*(Calculation!$I17/Calculation!$K16)</f>
        <v>68155176.630979076</v>
      </c>
      <c r="R17" s="107">
        <f t="shared" si="3"/>
        <v>9.2142608996802142</v>
      </c>
      <c r="S17" s="107">
        <f>O17*(Calculation!$I17/Calculation!$K16)</f>
        <v>1.925774021795101E-2</v>
      </c>
    </row>
    <row r="18" spans="1:19">
      <c r="A18" s="40">
        <v>14</v>
      </c>
      <c r="B18" s="32">
        <v>360</v>
      </c>
      <c r="C18" s="32">
        <f t="shared" si="4"/>
        <v>1440</v>
      </c>
      <c r="D18" s="13">
        <f t="shared" si="0"/>
        <v>24</v>
      </c>
      <c r="E18" s="99">
        <v>22.262683868408203</v>
      </c>
      <c r="F18" s="99">
        <v>21.991304397583008</v>
      </c>
      <c r="G18" s="99">
        <v>22.138629913330078</v>
      </c>
      <c r="H18" s="99">
        <f>E18-$H$47+$H$71</f>
        <v>22.367687189940249</v>
      </c>
      <c r="I18" s="99">
        <f>F18-$H$47+$H$71</f>
        <v>22.096307719115053</v>
      </c>
      <c r="J18" s="99">
        <f>G18-$H$47+$H$71</f>
        <v>22.243633234862124</v>
      </c>
      <c r="K18" s="103">
        <f>((H18-'Calibration R. intestinalis '!$D$45)/('Calibration R. intestinalis '!$D$44))+$B$22</f>
        <v>8.8586950596984178</v>
      </c>
      <c r="L18" s="103">
        <f>((I18-'Calibration R. intestinalis '!$D$45)/('Calibration R. intestinalis '!$D$44))+$B$22</f>
        <v>8.9320864843205321</v>
      </c>
      <c r="M18" s="103">
        <f>((J18-'Calibration R. intestinalis '!$D$45)/('Calibration R. intestinalis '!$D$44))+$B$22</f>
        <v>8.8922440104186293</v>
      </c>
      <c r="N18" s="107">
        <f t="shared" si="1"/>
        <v>8.8943418514791919</v>
      </c>
      <c r="O18" s="107">
        <f t="shared" si="2"/>
        <v>3.6740658742766351E-2</v>
      </c>
      <c r="P18" s="100">
        <f>(AVERAGE(POWER(10,K18),POWER(10,L18),POWER(10,M18)))*(Calculation!$I18/Calculation!$K17)</f>
        <v>830741633.02001822</v>
      </c>
      <c r="Q18" s="108">
        <f>(STDEV(POWER(10,K18),POWER(10,L18),POWER(10,M18)))*(Calculation!$I18/Calculation!$K17)</f>
        <v>70469188.680899233</v>
      </c>
      <c r="R18" s="107">
        <f t="shared" si="3"/>
        <v>8.9194659758893167</v>
      </c>
      <c r="S18" s="107">
        <f>O18*(Calculation!$I18/Calculation!$K17)</f>
        <v>3.883587750551263E-2</v>
      </c>
    </row>
    <row r="19" spans="1:1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99">
        <v>22.283199310302734</v>
      </c>
      <c r="F19" s="99">
        <v>22.547142028808594</v>
      </c>
      <c r="G19" s="99">
        <v>22.481071472167969</v>
      </c>
      <c r="H19" s="99">
        <f>E19-$H$47+$H$71</f>
        <v>22.38820263183478</v>
      </c>
      <c r="I19" s="99">
        <f>F19-$H$47+$H$71</f>
        <v>22.652145350340639</v>
      </c>
      <c r="J19" s="99">
        <f>G19-$H$47+$H$71</f>
        <v>22.586074793700014</v>
      </c>
      <c r="K19" s="103">
        <f>((H19-'Calibration R. intestinalis '!$D$45)/('Calibration R. intestinalis '!$D$44))+$B$22</f>
        <v>8.8531468968148594</v>
      </c>
      <c r="L19" s="103">
        <f>((I19-'Calibration R. intestinalis '!$D$45)/('Calibration R. intestinalis '!$D$44))+$B$22</f>
        <v>8.7817666554470204</v>
      </c>
      <c r="M19" s="103">
        <f>((J19-'Calibration R. intestinalis '!$D$45)/('Calibration R. intestinalis '!$D$44))+$B$22</f>
        <v>8.7996346697912404</v>
      </c>
      <c r="N19" s="107">
        <f t="shared" si="1"/>
        <v>8.811516074017705</v>
      </c>
      <c r="O19" s="107">
        <f t="shared" si="2"/>
        <v>3.7143781972589426E-2</v>
      </c>
      <c r="P19" s="100">
        <f>(AVERAGE(POWER(10,K19),POWER(10,L19),POWER(10,M19)))*(Calculation!$I19/Calculation!$K18)</f>
        <v>686552132.86301982</v>
      </c>
      <c r="Q19" s="108">
        <f>(STDEV(POWER(10,K19),POWER(10,L19),POWER(10,M19)))*(Calculation!$I19/Calculation!$K18)</f>
        <v>59733070.646805689</v>
      </c>
      <c r="R19" s="107">
        <f>LOG(P19)</f>
        <v>8.8366735206770688</v>
      </c>
      <c r="S19" s="107">
        <f>O19*(Calculation!$I19/Calculation!$K18)</f>
        <v>3.9261989744888794E-2</v>
      </c>
    </row>
    <row r="20" spans="1:1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99">
        <v>24.002035140991211</v>
      </c>
      <c r="F20" s="99">
        <v>23.743614196777344</v>
      </c>
      <c r="G20" s="99">
        <v>24.115444183349609</v>
      </c>
      <c r="H20" s="99">
        <f>E20-$H$47+$H$71</f>
        <v>24.107038462523256</v>
      </c>
      <c r="I20" s="99">
        <f>F20-$H$47+$H$71</f>
        <v>23.848617518309389</v>
      </c>
      <c r="J20" s="99">
        <f>G20-$H$47+$H$71</f>
        <v>24.220447504881655</v>
      </c>
      <c r="K20" s="103">
        <f>((H20-'Calibration R. intestinalis '!$D$45)/('Calibration R. intestinalis '!$D$44))+$B$22</f>
        <v>8.3883077182204691</v>
      </c>
      <c r="L20" s="103">
        <f>((I20-'Calibration R. intestinalis '!$D$45)/('Calibration R. intestinalis '!$D$44))+$B$22</f>
        <v>8.4581946598906619</v>
      </c>
      <c r="M20" s="103">
        <f>((J20-'Calibration R. intestinalis '!$D$45)/('Calibration R. intestinalis '!$D$44))+$B$22</f>
        <v>8.3576375604579685</v>
      </c>
      <c r="N20" s="107">
        <f t="shared" si="1"/>
        <v>8.4013799795230337</v>
      </c>
      <c r="O20" s="107">
        <f t="shared" si="2"/>
        <v>5.1537322138922134E-2</v>
      </c>
      <c r="P20" s="100">
        <f>(AVERAGE(POWER(10,K20),POWER(10,L20),POWER(10,M20)))*(Calculation!$I20/Calculation!$K19)</f>
        <v>267942895.26167086</v>
      </c>
      <c r="Q20" s="108">
        <f>(STDEV(POWER(10,K20),POWER(10,L20),POWER(10,M20)))*(Calculation!$I20/Calculation!$K19)</f>
        <v>32401065.039417922</v>
      </c>
      <c r="R20" s="107">
        <f t="shared" si="3"/>
        <v>8.4280422458373305</v>
      </c>
      <c r="S20" s="107">
        <f>O20*(Calculation!$I20/Calculation!$K19)</f>
        <v>5.4540519253765081E-2</v>
      </c>
    </row>
    <row r="22" spans="1:19">
      <c r="A22" s="102" t="s">
        <v>245</v>
      </c>
      <c r="B22" s="112">
        <f>LOG(B23)</f>
        <v>3.6532125137753435</v>
      </c>
    </row>
    <row r="23" spans="1:19">
      <c r="A23" s="85" t="s">
        <v>246</v>
      </c>
      <c r="B23" s="85">
        <f>20*1800/4/2</f>
        <v>4500</v>
      </c>
    </row>
    <row r="24" spans="1:19">
      <c r="E24" s="148" t="s">
        <v>229</v>
      </c>
      <c r="F24" s="149"/>
      <c r="G24" s="149"/>
      <c r="H24" s="149"/>
    </row>
    <row r="25" spans="1:19">
      <c r="A25" s="98" t="s">
        <v>247</v>
      </c>
      <c r="B25" s="98" t="s">
        <v>248</v>
      </c>
      <c r="E25" s="99">
        <v>15.713388442993164</v>
      </c>
      <c r="F25" s="99">
        <v>15.726656913757324</v>
      </c>
      <c r="G25" s="99">
        <v>15.612536430358887</v>
      </c>
      <c r="H25" s="113">
        <f>AVERAGE(E25:G25)</f>
        <v>15.684193929036459</v>
      </c>
    </row>
    <row r="26" spans="1:19">
      <c r="A26" s="98" t="s">
        <v>247</v>
      </c>
      <c r="B26" s="98" t="s">
        <v>249</v>
      </c>
      <c r="E26" s="114">
        <v>15.18875789642334</v>
      </c>
      <c r="F26" s="113">
        <v>15.280285835266113</v>
      </c>
      <c r="G26" s="113">
        <v>15.261421203613281</v>
      </c>
      <c r="H26" s="113">
        <f t="shared" ref="H26:H66" si="5">AVERAGE(E26:G26)</f>
        <v>15.243488311767578</v>
      </c>
    </row>
    <row r="27" spans="1:19">
      <c r="A27" s="98" t="s">
        <v>247</v>
      </c>
      <c r="B27" s="98" t="s">
        <v>250</v>
      </c>
      <c r="E27" s="114">
        <v>15.903929710388184</v>
      </c>
      <c r="F27" s="113">
        <v>15.71695613861084</v>
      </c>
      <c r="G27" s="113">
        <v>15.745060920715332</v>
      </c>
      <c r="H27" s="113">
        <f t="shared" si="5"/>
        <v>15.788648923238119</v>
      </c>
    </row>
    <row r="28" spans="1:19">
      <c r="A28" s="98" t="s">
        <v>247</v>
      </c>
      <c r="B28" s="98" t="s">
        <v>251</v>
      </c>
      <c r="E28" s="114">
        <v>15.95374870300293</v>
      </c>
      <c r="F28" s="113">
        <v>15.781205177307129</v>
      </c>
      <c r="G28" s="113">
        <v>15.694306373596191</v>
      </c>
      <c r="H28" s="113">
        <f t="shared" si="5"/>
        <v>15.80975341796875</v>
      </c>
    </row>
    <row r="29" spans="1:19">
      <c r="A29" s="98" t="s">
        <v>252</v>
      </c>
      <c r="B29" s="98" t="s">
        <v>253</v>
      </c>
      <c r="E29" s="114">
        <v>15.793012619018555</v>
      </c>
      <c r="F29" s="113">
        <v>15.662893295288086</v>
      </c>
      <c r="G29" s="113">
        <v>15.729142189025879</v>
      </c>
      <c r="H29" s="113">
        <f t="shared" si="5"/>
        <v>15.728349367777506</v>
      </c>
    </row>
    <row r="30" spans="1:19">
      <c r="A30" s="98" t="s">
        <v>252</v>
      </c>
      <c r="B30" s="98" t="s">
        <v>254</v>
      </c>
      <c r="E30" s="114">
        <v>15.790358543395996</v>
      </c>
      <c r="F30" s="113">
        <v>15.747311592102051</v>
      </c>
      <c r="G30" s="113">
        <v>15.724276542663574</v>
      </c>
      <c r="H30" s="113">
        <f t="shared" si="5"/>
        <v>15.753982226053873</v>
      </c>
    </row>
    <row r="31" spans="1:19">
      <c r="A31" s="98" t="s">
        <v>252</v>
      </c>
      <c r="B31" s="98" t="s">
        <v>254</v>
      </c>
      <c r="E31" s="114">
        <v>15.449001312255859</v>
      </c>
      <c r="F31" s="113">
        <v>15.556774139404297</v>
      </c>
      <c r="G31" s="113">
        <v>15.49962043762207</v>
      </c>
      <c r="H31" s="113">
        <f t="shared" si="5"/>
        <v>15.501798629760742</v>
      </c>
    </row>
    <row r="32" spans="1:19">
      <c r="A32" s="98" t="s">
        <v>252</v>
      </c>
      <c r="B32" s="98" t="s">
        <v>255</v>
      </c>
      <c r="E32" s="114">
        <v>15.347023010253906</v>
      </c>
      <c r="F32" s="113">
        <v>15.780600547790527</v>
      </c>
      <c r="G32" s="113">
        <v>15.718053817749023</v>
      </c>
      <c r="H32" s="113">
        <f t="shared" si="5"/>
        <v>15.615225791931152</v>
      </c>
    </row>
    <row r="33" spans="1:8">
      <c r="A33" s="98" t="s">
        <v>256</v>
      </c>
      <c r="B33" s="98" t="s">
        <v>255</v>
      </c>
      <c r="E33" s="114">
        <v>15.825298309326172</v>
      </c>
      <c r="F33" s="113">
        <v>15.804603576660156</v>
      </c>
      <c r="G33" s="113">
        <v>15.760408401489258</v>
      </c>
      <c r="H33" s="113">
        <f t="shared" si="5"/>
        <v>15.796770095825195</v>
      </c>
    </row>
    <row r="34" spans="1:8">
      <c r="A34" s="98" t="s">
        <v>256</v>
      </c>
      <c r="B34" s="98" t="s">
        <v>273</v>
      </c>
      <c r="E34" s="114">
        <v>15.800871849060059</v>
      </c>
      <c r="F34" s="113">
        <v>15.699575424194336</v>
      </c>
      <c r="G34" s="113">
        <v>15.968178749084473</v>
      </c>
      <c r="H34" s="113">
        <f>AVERAGE(E34:G34)</f>
        <v>15.822875340779623</v>
      </c>
    </row>
    <row r="35" spans="1:8">
      <c r="A35" s="98" t="s">
        <v>256</v>
      </c>
      <c r="B35" s="98" t="s">
        <v>273</v>
      </c>
      <c r="E35" s="114">
        <v>15.717584609985352</v>
      </c>
      <c r="F35" s="113">
        <v>15.693602561950684</v>
      </c>
      <c r="G35" s="113">
        <v>15.63984489440918</v>
      </c>
      <c r="H35" s="113">
        <f t="shared" si="5"/>
        <v>15.683677355448404</v>
      </c>
    </row>
    <row r="36" spans="1:8">
      <c r="A36" s="98" t="s">
        <v>256</v>
      </c>
      <c r="B36" s="98" t="s">
        <v>273</v>
      </c>
      <c r="E36" s="114">
        <v>15.61665153503418</v>
      </c>
      <c r="F36" s="113">
        <v>15.740999221801758</v>
      </c>
      <c r="G36" s="113">
        <v>15.586724281311035</v>
      </c>
      <c r="H36" s="113">
        <f t="shared" si="5"/>
        <v>15.648125012715658</v>
      </c>
    </row>
    <row r="37" spans="1:8">
      <c r="A37" s="98" t="s">
        <v>275</v>
      </c>
      <c r="B37" s="98" t="s">
        <v>276</v>
      </c>
      <c r="E37" s="114">
        <v>15.755837440490723</v>
      </c>
      <c r="F37" s="113">
        <v>15.457893371582031</v>
      </c>
      <c r="G37" s="113">
        <v>15.691001892089844</v>
      </c>
      <c r="H37" s="113">
        <f t="shared" si="5"/>
        <v>15.634910901387533</v>
      </c>
    </row>
    <row r="38" spans="1:8">
      <c r="A38" s="98" t="s">
        <v>275</v>
      </c>
      <c r="B38" s="98" t="s">
        <v>276</v>
      </c>
      <c r="E38" s="114">
        <v>15.560844421386719</v>
      </c>
      <c r="F38" s="113">
        <v>15.738679885864258</v>
      </c>
      <c r="G38" s="113">
        <v>15.730792999267578</v>
      </c>
      <c r="H38" s="113">
        <f t="shared" si="5"/>
        <v>15.676772435506185</v>
      </c>
    </row>
    <row r="39" spans="1:8">
      <c r="A39" s="98" t="s">
        <v>275</v>
      </c>
      <c r="B39" s="98" t="s">
        <v>287</v>
      </c>
      <c r="E39" s="114">
        <v>15.789995193481445</v>
      </c>
      <c r="F39" s="113">
        <v>15.670146942138672</v>
      </c>
      <c r="G39" s="113">
        <v>15.804409980773926</v>
      </c>
      <c r="H39" s="113">
        <f t="shared" si="5"/>
        <v>15.754850705464682</v>
      </c>
    </row>
    <row r="40" spans="1:8">
      <c r="A40" s="98" t="s">
        <v>275</v>
      </c>
      <c r="B40" s="98" t="s">
        <v>288</v>
      </c>
      <c r="E40" s="114">
        <v>15.759750366210938</v>
      </c>
      <c r="F40" s="113">
        <v>15.668698310852051</v>
      </c>
      <c r="G40" s="113">
        <v>15.640106201171875</v>
      </c>
      <c r="H40" s="113">
        <f t="shared" si="5"/>
        <v>15.689518292744955</v>
      </c>
    </row>
    <row r="41" spans="1:8">
      <c r="A41" s="98" t="s">
        <v>289</v>
      </c>
      <c r="B41" s="98" t="s">
        <v>290</v>
      </c>
      <c r="E41" s="114">
        <v>15.258575439453125</v>
      </c>
      <c r="F41" s="113">
        <v>15.478802680969238</v>
      </c>
      <c r="G41" s="113">
        <v>15.974754333496094</v>
      </c>
      <c r="H41" s="113">
        <f t="shared" si="5"/>
        <v>15.570710817972818</v>
      </c>
    </row>
    <row r="42" spans="1:8">
      <c r="A42" s="98" t="s">
        <v>289</v>
      </c>
      <c r="B42" s="98" t="s">
        <v>291</v>
      </c>
      <c r="E42" s="114">
        <v>15.35291576385498</v>
      </c>
      <c r="F42" s="113">
        <v>15.170954704284668</v>
      </c>
      <c r="G42" s="113">
        <v>15.236812591552734</v>
      </c>
      <c r="H42" s="113">
        <f t="shared" si="5"/>
        <v>15.253561019897461</v>
      </c>
    </row>
    <row r="43" spans="1:8">
      <c r="A43" s="98" t="s">
        <v>289</v>
      </c>
      <c r="B43" s="98" t="s">
        <v>292</v>
      </c>
      <c r="E43" s="114">
        <v>15.810567855834961</v>
      </c>
      <c r="F43" s="113">
        <v>15.790656089782715</v>
      </c>
      <c r="G43" s="113">
        <v>15.956247329711914</v>
      </c>
      <c r="H43" s="113">
        <f t="shared" si="5"/>
        <v>15.852490425109863</v>
      </c>
    </row>
    <row r="44" spans="1:8">
      <c r="A44" s="98" t="s">
        <v>289</v>
      </c>
      <c r="B44" s="98" t="s">
        <v>293</v>
      </c>
      <c r="E44" s="114">
        <v>15.760116577148438</v>
      </c>
      <c r="F44" s="113">
        <v>15.89314079284668</v>
      </c>
      <c r="G44" s="113">
        <v>15.903885841369629</v>
      </c>
      <c r="H44" s="113">
        <f t="shared" si="5"/>
        <v>15.852381070454916</v>
      </c>
    </row>
    <row r="45" spans="1:8">
      <c r="A45" s="98" t="s">
        <v>294</v>
      </c>
      <c r="B45" s="98" t="s">
        <v>295</v>
      </c>
      <c r="E45" s="114">
        <v>15.956473350524902</v>
      </c>
      <c r="F45" s="113">
        <v>15.595272064208984</v>
      </c>
      <c r="G45" s="113">
        <v>15.919502258300781</v>
      </c>
      <c r="H45" s="113">
        <f t="shared" si="5"/>
        <v>15.823749224344889</v>
      </c>
    </row>
    <row r="46" spans="1:8">
      <c r="A46" s="98" t="s">
        <v>294</v>
      </c>
      <c r="B46" s="98" t="s">
        <v>296</v>
      </c>
      <c r="E46" s="114">
        <v>15.711461067199707</v>
      </c>
      <c r="F46" s="113">
        <v>15.73438835144043</v>
      </c>
      <c r="G46" s="113">
        <v>15.689187049865723</v>
      </c>
      <c r="H46" s="113">
        <f t="shared" si="5"/>
        <v>15.711678822835287</v>
      </c>
    </row>
    <row r="47" spans="1:8">
      <c r="A47" s="98" t="s">
        <v>294</v>
      </c>
      <c r="B47" s="98" t="s">
        <v>297</v>
      </c>
      <c r="E47" s="114">
        <v>15.574808120727539</v>
      </c>
      <c r="F47" s="113">
        <v>15.501856803894043</v>
      </c>
      <c r="G47" s="113">
        <v>15.596255302429199</v>
      </c>
      <c r="H47" s="113">
        <f t="shared" si="5"/>
        <v>15.557640075683594</v>
      </c>
    </row>
    <row r="48" spans="1:8">
      <c r="A48" s="98" t="s">
        <v>294</v>
      </c>
      <c r="B48" s="98" t="s">
        <v>299</v>
      </c>
      <c r="E48" s="114">
        <v>15.60640811920166</v>
      </c>
      <c r="F48" s="113">
        <v>15.595258712768555</v>
      </c>
      <c r="G48" s="113">
        <v>15.58064079284668</v>
      </c>
      <c r="H48" s="113">
        <f t="shared" si="5"/>
        <v>15.594102541605631</v>
      </c>
    </row>
    <row r="49" spans="1:8">
      <c r="A49" s="98" t="s">
        <v>300</v>
      </c>
      <c r="B49" s="98" t="s">
        <v>301</v>
      </c>
      <c r="E49" s="114">
        <v>15.40764331817627</v>
      </c>
      <c r="F49" s="113">
        <v>15.702505111694336</v>
      </c>
      <c r="G49" s="113">
        <v>15.805522918701172</v>
      </c>
      <c r="H49" s="113">
        <f t="shared" si="5"/>
        <v>15.638557116190592</v>
      </c>
    </row>
    <row r="50" spans="1:8">
      <c r="A50" s="61" t="s">
        <v>300</v>
      </c>
      <c r="B50" s="61" t="s">
        <v>302</v>
      </c>
      <c r="C50" s="61"/>
      <c r="D50" s="61"/>
      <c r="E50" s="114">
        <v>15.5</v>
      </c>
      <c r="F50" s="113">
        <v>15.5</v>
      </c>
      <c r="G50" s="113">
        <v>15.4</v>
      </c>
      <c r="H50" s="113">
        <f t="shared" si="5"/>
        <v>15.466666666666667</v>
      </c>
    </row>
    <row r="51" spans="1:8">
      <c r="A51" s="61" t="s">
        <v>300</v>
      </c>
      <c r="B51" s="61" t="s">
        <v>302</v>
      </c>
      <c r="C51" s="61"/>
      <c r="D51" s="61"/>
      <c r="E51" s="122">
        <v>15.8</v>
      </c>
      <c r="F51" s="123">
        <v>15.4</v>
      </c>
      <c r="G51" s="123">
        <v>15.4</v>
      </c>
      <c r="H51" s="113">
        <f t="shared" si="5"/>
        <v>15.533333333333333</v>
      </c>
    </row>
    <row r="52" spans="1:8">
      <c r="A52" s="61" t="s">
        <v>300</v>
      </c>
      <c r="B52" s="61" t="s">
        <v>303</v>
      </c>
      <c r="C52" s="61"/>
      <c r="D52" s="61"/>
      <c r="E52" s="122">
        <v>15.6</v>
      </c>
      <c r="F52" s="123">
        <v>15.5</v>
      </c>
      <c r="G52" s="123">
        <v>15.6</v>
      </c>
      <c r="H52" s="113">
        <f t="shared" si="5"/>
        <v>15.566666666666668</v>
      </c>
    </row>
    <row r="53" spans="1:8">
      <c r="A53" s="61" t="s">
        <v>304</v>
      </c>
      <c r="B53" s="61" t="s">
        <v>305</v>
      </c>
      <c r="C53" s="61"/>
      <c r="D53" s="61"/>
      <c r="E53" s="122">
        <v>15.6</v>
      </c>
      <c r="F53" s="123">
        <v>15.6</v>
      </c>
      <c r="G53" s="123">
        <v>15.8</v>
      </c>
      <c r="H53" s="113">
        <f t="shared" si="5"/>
        <v>15.666666666666666</v>
      </c>
    </row>
    <row r="54" spans="1:8">
      <c r="A54" s="61" t="s">
        <v>304</v>
      </c>
      <c r="B54" s="61" t="s">
        <v>305</v>
      </c>
      <c r="C54" s="61"/>
      <c r="D54" s="61"/>
      <c r="E54" s="122">
        <v>15.577789306640625</v>
      </c>
      <c r="F54" s="123">
        <v>15.603015899658203</v>
      </c>
      <c r="G54" s="123">
        <v>15.626909255981445</v>
      </c>
      <c r="H54" s="113">
        <f t="shared" si="5"/>
        <v>15.602571487426758</v>
      </c>
    </row>
    <row r="55" spans="1:8">
      <c r="A55" s="98" t="s">
        <v>304</v>
      </c>
      <c r="B55" s="98" t="s">
        <v>306</v>
      </c>
      <c r="E55" s="122">
        <v>15.925136566162109</v>
      </c>
      <c r="F55" s="123"/>
      <c r="G55" s="123">
        <v>15.940312385559082</v>
      </c>
      <c r="H55" s="113">
        <f t="shared" si="5"/>
        <v>15.932724475860596</v>
      </c>
    </row>
    <row r="56" spans="1:8">
      <c r="A56" s="98" t="s">
        <v>304</v>
      </c>
      <c r="B56" s="98" t="s">
        <v>306</v>
      </c>
      <c r="E56" s="114">
        <v>15.2</v>
      </c>
      <c r="F56" s="113">
        <v>15.3</v>
      </c>
      <c r="G56" s="113">
        <v>15.4</v>
      </c>
      <c r="H56" s="113">
        <f t="shared" si="5"/>
        <v>15.299999999999999</v>
      </c>
    </row>
    <row r="57" spans="1:8">
      <c r="A57" s="98" t="s">
        <v>307</v>
      </c>
      <c r="B57" s="98" t="s">
        <v>308</v>
      </c>
      <c r="E57" s="114">
        <v>15.989936828613281</v>
      </c>
      <c r="F57" s="113">
        <v>15.856328964233398</v>
      </c>
      <c r="G57" s="113">
        <v>15.836997985839844</v>
      </c>
      <c r="H57" s="113">
        <f t="shared" si="5"/>
        <v>15.894421259562174</v>
      </c>
    </row>
    <row r="58" spans="1:8">
      <c r="A58" s="98" t="s">
        <v>307</v>
      </c>
      <c r="B58" s="98" t="s">
        <v>316</v>
      </c>
      <c r="E58" s="114">
        <v>15.699069023132324</v>
      </c>
      <c r="F58" s="113">
        <v>15.817172050476074</v>
      </c>
      <c r="G58" s="113">
        <v>16.075807571411133</v>
      </c>
      <c r="H58" s="113">
        <f t="shared" si="5"/>
        <v>15.86401621500651</v>
      </c>
    </row>
    <row r="59" spans="1:8">
      <c r="A59" s="98" t="s">
        <v>307</v>
      </c>
      <c r="B59" s="98" t="s">
        <v>317</v>
      </c>
      <c r="E59" s="114">
        <v>14.193151473999023</v>
      </c>
      <c r="F59" s="113">
        <v>14.592436790466309</v>
      </c>
      <c r="G59" s="113">
        <v>14.826726913452148</v>
      </c>
      <c r="H59" s="113">
        <f t="shared" si="5"/>
        <v>14.53743839263916</v>
      </c>
    </row>
    <row r="60" spans="1:8">
      <c r="A60" s="98" t="s">
        <v>318</v>
      </c>
      <c r="B60" s="98" t="s">
        <v>317</v>
      </c>
      <c r="E60" s="114">
        <v>15.753643035888672</v>
      </c>
      <c r="F60" s="113">
        <v>15.53950309753418</v>
      </c>
      <c r="G60" s="113">
        <v>16.160148620605469</v>
      </c>
      <c r="H60" s="113">
        <f t="shared" si="5"/>
        <v>15.81776491800944</v>
      </c>
    </row>
    <row r="61" spans="1:8">
      <c r="A61" s="98" t="s">
        <v>318</v>
      </c>
      <c r="B61" s="98" t="s">
        <v>319</v>
      </c>
      <c r="E61" s="114">
        <v>16.152790069580078</v>
      </c>
      <c r="F61" s="113">
        <v>15.918967247009277</v>
      </c>
      <c r="G61" s="113">
        <v>16.004350662231445</v>
      </c>
      <c r="H61" s="113">
        <f t="shared" si="5"/>
        <v>16.025369326273601</v>
      </c>
    </row>
    <row r="62" spans="1:8">
      <c r="A62" s="98" t="s">
        <v>318</v>
      </c>
      <c r="B62" s="98" t="s">
        <v>320</v>
      </c>
      <c r="E62" s="114">
        <v>15.725796699523926</v>
      </c>
      <c r="F62" s="113">
        <v>15.72511100769043</v>
      </c>
      <c r="G62" s="113">
        <v>15.700724601745605</v>
      </c>
      <c r="H62" s="113">
        <f t="shared" si="5"/>
        <v>15.71721076965332</v>
      </c>
    </row>
    <row r="63" spans="1:8">
      <c r="A63" s="98" t="s">
        <v>318</v>
      </c>
      <c r="B63" s="98" t="s">
        <v>321</v>
      </c>
      <c r="E63" s="114">
        <v>15.868610382080078</v>
      </c>
      <c r="F63" s="113">
        <v>15.950244903564453</v>
      </c>
      <c r="G63" s="113">
        <v>15.73750114440918</v>
      </c>
      <c r="H63" s="113">
        <f t="shared" si="5"/>
        <v>15.852118810017904</v>
      </c>
    </row>
    <row r="64" spans="1:8">
      <c r="A64" s="98" t="s">
        <v>318</v>
      </c>
      <c r="B64" s="98" t="s">
        <v>321</v>
      </c>
      <c r="E64" s="114">
        <v>15.411773681640625</v>
      </c>
      <c r="F64" s="113">
        <v>15.347482681274414</v>
      </c>
      <c r="G64" s="113">
        <v>15.357060432434082</v>
      </c>
      <c r="H64" s="113">
        <f t="shared" si="5"/>
        <v>15.372105598449707</v>
      </c>
    </row>
    <row r="65" spans="1:8">
      <c r="A65" s="98" t="s">
        <v>247</v>
      </c>
      <c r="B65" s="98" t="s">
        <v>322</v>
      </c>
      <c r="E65" s="114">
        <v>15.701089859008789</v>
      </c>
      <c r="F65" s="113">
        <v>15.69521427154541</v>
      </c>
      <c r="G65" s="113">
        <v>15.858868598937988</v>
      </c>
      <c r="H65" s="113">
        <f t="shared" si="5"/>
        <v>15.751724243164062</v>
      </c>
    </row>
    <row r="66" spans="1:8">
      <c r="A66" s="98" t="s">
        <v>247</v>
      </c>
      <c r="B66" s="98" t="s">
        <v>323</v>
      </c>
      <c r="E66" s="114">
        <v>15.664003372192383</v>
      </c>
      <c r="F66" s="113">
        <v>15.706714630126953</v>
      </c>
      <c r="G66" s="113">
        <v>15.883712768554688</v>
      </c>
      <c r="H66" s="113">
        <f t="shared" si="5"/>
        <v>15.751476923624674</v>
      </c>
    </row>
    <row r="67" spans="1:8">
      <c r="A67" s="98" t="s">
        <v>247</v>
      </c>
      <c r="B67" s="98" t="s">
        <v>323</v>
      </c>
      <c r="E67" s="114">
        <v>15.815454483032227</v>
      </c>
      <c r="F67" s="113">
        <v>15.873584747314453</v>
      </c>
      <c r="G67" s="113">
        <v>15.955685615539551</v>
      </c>
      <c r="H67" s="113">
        <f>AVERAGE(E67:G67)</f>
        <v>15.881574948628744</v>
      </c>
    </row>
    <row r="68" spans="1:8">
      <c r="A68" s="98" t="s">
        <v>247</v>
      </c>
      <c r="B68" s="98" t="s">
        <v>324</v>
      </c>
      <c r="E68" s="114">
        <v>15.894612312316895</v>
      </c>
      <c r="F68" s="113">
        <v>15.946266174316406</v>
      </c>
      <c r="G68" s="113">
        <v>15.963062286376953</v>
      </c>
      <c r="H68" s="113">
        <f>AVERAGE(E68:G68)</f>
        <v>15.934646924336752</v>
      </c>
    </row>
    <row r="69" spans="1:8">
      <c r="A69" s="98"/>
      <c r="B69" s="98"/>
      <c r="E69"/>
    </row>
    <row r="70" spans="1:8">
      <c r="A70" s="98"/>
      <c r="B70" s="98"/>
      <c r="E70"/>
    </row>
    <row r="71" spans="1:8">
      <c r="F71" s="98" t="s">
        <v>257</v>
      </c>
      <c r="H71" s="104">
        <f>AVERAGE(H25:H68)</f>
        <v>15.662643397215641</v>
      </c>
    </row>
  </sheetData>
  <mergeCells count="20">
    <mergeCell ref="E24:H24"/>
    <mergeCell ref="S2:S3"/>
    <mergeCell ref="M2:M3"/>
    <mergeCell ref="N2:N3"/>
    <mergeCell ref="O2:O3"/>
    <mergeCell ref="P2:P3"/>
    <mergeCell ref="Q2:Q3"/>
    <mergeCell ref="R2:R3"/>
    <mergeCell ref="L2:L3"/>
    <mergeCell ref="F2:F3"/>
    <mergeCell ref="G2:G3"/>
    <mergeCell ref="H2:H3"/>
    <mergeCell ref="I2:I3"/>
    <mergeCell ref="J2:J3"/>
    <mergeCell ref="K2:K3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B60" workbookViewId="0">
      <selection activeCell="I9" sqref="I9"/>
    </sheetView>
  </sheetViews>
  <sheetFormatPr baseColWidth="10" defaultRowHeight="14" x14ac:dyDescent="0"/>
  <cols>
    <col min="16" max="16" width="15.1640625" customWidth="1"/>
  </cols>
  <sheetData>
    <row r="1" spans="1:19">
      <c r="A1" s="106" t="s">
        <v>258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</row>
    <row r="2" spans="1:19">
      <c r="A2" s="130" t="s">
        <v>4</v>
      </c>
      <c r="B2" s="130" t="s">
        <v>117</v>
      </c>
      <c r="C2" s="130" t="s">
        <v>117</v>
      </c>
      <c r="D2" s="130" t="s">
        <v>5</v>
      </c>
      <c r="E2" s="142" t="s">
        <v>230</v>
      </c>
      <c r="F2" s="142" t="s">
        <v>231</v>
      </c>
      <c r="G2" s="142" t="s">
        <v>232</v>
      </c>
      <c r="H2" s="144" t="s">
        <v>233</v>
      </c>
      <c r="I2" s="144" t="s">
        <v>234</v>
      </c>
      <c r="J2" s="144" t="s">
        <v>235</v>
      </c>
      <c r="K2" s="142" t="s">
        <v>236</v>
      </c>
      <c r="L2" s="142" t="s">
        <v>237</v>
      </c>
      <c r="M2" s="142" t="s">
        <v>238</v>
      </c>
      <c r="N2" s="142" t="s">
        <v>239</v>
      </c>
      <c r="O2" s="142" t="s">
        <v>240</v>
      </c>
      <c r="P2" s="144" t="s">
        <v>241</v>
      </c>
      <c r="Q2" s="144" t="s">
        <v>259</v>
      </c>
      <c r="R2" s="144" t="s">
        <v>243</v>
      </c>
      <c r="S2" s="144" t="s">
        <v>244</v>
      </c>
    </row>
    <row r="3" spans="1:19">
      <c r="A3" s="131"/>
      <c r="B3" s="131"/>
      <c r="C3" s="131"/>
      <c r="D3" s="131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99">
        <v>25.503330230712891</v>
      </c>
      <c r="F4" s="99">
        <v>25.923418045043945</v>
      </c>
      <c r="G4" s="103">
        <v>25.906055450439453</v>
      </c>
      <c r="H4" s="113">
        <f>E4-$H$53+$H$75</f>
        <v>25.291435449019723</v>
      </c>
      <c r="I4" s="113">
        <f>F4-$H$53+$H$75</f>
        <v>25.711523263350777</v>
      </c>
      <c r="J4" s="113">
        <f>G4-$H$53+$H$75</f>
        <v>25.694160668746285</v>
      </c>
      <c r="K4" s="103">
        <f>((H4-'Calibration F. prausnitzii'!$D$45)/'Calibration F. prausnitzii'!$D$44)+$B$24</f>
        <v>6.9569604899414248</v>
      </c>
      <c r="L4" s="103">
        <f>((I4-'Calibration F. prausnitzii'!$D$45)/'Calibration F. prausnitzii'!$D$44)+$B$24</f>
        <v>6.8276350537652544</v>
      </c>
      <c r="M4" s="103">
        <f>((J4-'Calibration F. prausnitzii'!$D$45)/'Calibration F. prausnitzii'!$D$44)+$B$24</f>
        <v>6.8329801864822111</v>
      </c>
      <c r="N4" s="107">
        <f>AVERAGE(K4:M4)</f>
        <v>6.8725252433962964</v>
      </c>
      <c r="O4" s="107">
        <f>STDEV(K4:M4)</f>
        <v>7.317189183896293E-2</v>
      </c>
      <c r="P4" s="108">
        <f>(AVERAGE(POWER(10,K4),POWER(10,L4),POWER(10,M4)))*(Calculation!$I4/Calculation!$K3)</f>
        <v>7543575.0669776695</v>
      </c>
      <c r="Q4" s="108">
        <f>STDEV(POWER(10,K4),POWER(10,L4),POWER(10,M4))*(Calculation!$I4/Calculation!$K3)</f>
        <v>1325725.3528908468</v>
      </c>
      <c r="R4" s="107">
        <f>LOG(P4)</f>
        <v>6.8775772164121376</v>
      </c>
      <c r="S4" s="107">
        <f>O4*(Calculation!$I4/Calculation!$K3)</f>
        <v>7.3310300209402324E-2</v>
      </c>
    </row>
    <row r="5" spans="1:1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99">
        <v>24.653142929077148</v>
      </c>
      <c r="F5" s="99">
        <v>24.680980682373047</v>
      </c>
      <c r="G5" s="103">
        <v>25.042449951171875</v>
      </c>
      <c r="H5" s="113">
        <f>E5-$H$53+$H$75</f>
        <v>24.44124814738398</v>
      </c>
      <c r="I5" s="113">
        <f>F5-$H$53+$H$75</f>
        <v>24.469085900679879</v>
      </c>
      <c r="J5" s="113">
        <f>G5-$H$53+$H$75</f>
        <v>24.830555169478707</v>
      </c>
      <c r="K5" s="103">
        <f>((H5-'Calibration F. prausnitzii'!$D$45)/'Calibration F. prausnitzii'!$D$44)+$B$24</f>
        <v>7.218693489244365</v>
      </c>
      <c r="L5" s="103">
        <f>((I5-'Calibration F. prausnitzii'!$D$45)/'Calibration F. prausnitzii'!$D$44)+$B$24</f>
        <v>7.2101235439511662</v>
      </c>
      <c r="M5" s="103">
        <f>((J5-'Calibration F. prausnitzii'!$D$45)/'Calibration F. prausnitzii'!$D$44)+$B$24</f>
        <v>7.0988440227250393</v>
      </c>
      <c r="N5" s="107">
        <f t="shared" ref="N5:N20" si="1">AVERAGE(K5:M5)</f>
        <v>7.1758870186401902</v>
      </c>
      <c r="O5" s="107">
        <f t="shared" ref="O5:O20" si="2">STDEV(K5:M5)</f>
        <v>6.6858644955372581E-2</v>
      </c>
      <c r="P5" s="108">
        <f>(AVERAGE(POWER(10,K5),POWER(10,L5),POWER(10,M5)))*(Calculation!$I5/Calculation!$K4)</f>
        <v>15195841.51159</v>
      </c>
      <c r="Q5" s="108">
        <f>STDEV(POWER(10,K5),POWER(10,L5),POWER(10,M5))*(Calculation!$I5/Calculation!$K4)</f>
        <v>2229193.6246620086</v>
      </c>
      <c r="R5" s="107">
        <f t="shared" ref="R5:R20" si="3">LOG(P5)</f>
        <v>7.1817247553353774</v>
      </c>
      <c r="S5" s="107">
        <f>O5*(Calculation!$I5/Calculation!$K4)</f>
        <v>6.7246601847573348E-2</v>
      </c>
    </row>
    <row r="6" spans="1:1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99">
        <v>24.092962265014648</v>
      </c>
      <c r="F6" s="99">
        <v>24.663835525512695</v>
      </c>
      <c r="G6" s="103">
        <v>24.691581726074219</v>
      </c>
      <c r="H6" s="113">
        <f>E6-$H$53+$H$75</f>
        <v>23.88106748332148</v>
      </c>
      <c r="I6" s="113">
        <f>F6-$H$53+$H$75</f>
        <v>24.451940743819527</v>
      </c>
      <c r="J6" s="113">
        <f>G6-$H$53+$H$75</f>
        <v>24.479686944381051</v>
      </c>
      <c r="K6" s="103">
        <f>((H6-'Calibration F. prausnitzii'!$D$45)/'Calibration F. prausnitzii'!$D$44)+$B$24</f>
        <v>7.3911469769340794</v>
      </c>
      <c r="L6" s="103">
        <f>((I6-'Calibration F. prausnitzii'!$D$45)/'Calibration F. prausnitzii'!$D$44)+$B$24</f>
        <v>7.2154017377326367</v>
      </c>
      <c r="M6" s="103">
        <f>((J6-'Calibration F. prausnitzii'!$D$45)/'Calibration F. prausnitzii'!$D$44)+$B$24</f>
        <v>7.2068599772543793</v>
      </c>
      <c r="N6" s="107">
        <f t="shared" si="1"/>
        <v>7.2711362306403649</v>
      </c>
      <c r="O6" s="107">
        <f t="shared" si="2"/>
        <v>0.10402006939767762</v>
      </c>
      <c r="P6" s="108">
        <f>(AVERAGE(POWER(10,K6),POWER(10,L6),POWER(10,M6)))*(Calculation!$I6/Calculation!$K5)</f>
        <v>19283165.547150649</v>
      </c>
      <c r="Q6" s="108">
        <f>STDEV(POWER(10,K6),POWER(10,L6),POWER(10,M6))*(Calculation!$I6/Calculation!$K5)</f>
        <v>4884387.7147014355</v>
      </c>
      <c r="R6" s="107">
        <f t="shared" si="3"/>
        <v>7.2851783297126023</v>
      </c>
      <c r="S6" s="107">
        <f>O6*(Calculation!$I6/Calculation!$K5)</f>
        <v>0.10532208309547268</v>
      </c>
    </row>
    <row r="7" spans="1:1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99">
        <v>26.371311187744141</v>
      </c>
      <c r="F7" s="99">
        <v>24.902950286865234</v>
      </c>
      <c r="G7" s="103">
        <v>24.786935806274414</v>
      </c>
      <c r="H7" s="113">
        <f>E7-$H$53+$H$75</f>
        <v>26.159416406050973</v>
      </c>
      <c r="I7" s="113">
        <f>F7-$H$53+$H$75</f>
        <v>24.691055505172066</v>
      </c>
      <c r="J7" s="113">
        <f>G7-$H$53+$H$75</f>
        <v>24.575041024581246</v>
      </c>
      <c r="K7" s="103">
        <f>((H7-'Calibration F. prausnitzii'!$D$45)/'Calibration F. prausnitzii'!$D$44)+$B$24</f>
        <v>6.6897496544178434</v>
      </c>
      <c r="L7" s="103">
        <f>((I7-'Calibration F. prausnitzii'!$D$45)/'Calibration F. prausnitzii'!$D$44)+$B$24</f>
        <v>7.1417894601251071</v>
      </c>
      <c r="M7" s="103">
        <f>((J7-'Calibration F. prausnitzii'!$D$45)/'Calibration F. prausnitzii'!$D$44)+$B$24</f>
        <v>7.1775049053089948</v>
      </c>
      <c r="N7" s="107">
        <f t="shared" si="1"/>
        <v>7.0030146732839818</v>
      </c>
      <c r="O7" s="107">
        <f t="shared" si="2"/>
        <v>0.27188256157773771</v>
      </c>
      <c r="P7" s="108">
        <f>(AVERAGE(POWER(10,K7),POWER(10,L7),POWER(10,M7)))*(Calculation!$I7/Calculation!$K6)</f>
        <v>11503312.439599976</v>
      </c>
      <c r="Q7" s="108">
        <f>STDEV(POWER(10,K7),POWER(10,L7),POWER(10,M7))*(Calculation!$I7/Calculation!$K6)</f>
        <v>5667099.0165579934</v>
      </c>
      <c r="R7" s="107">
        <f t="shared" si="3"/>
        <v>7.0608229157533939</v>
      </c>
      <c r="S7" s="107">
        <f>O7*(Calculation!$I7/Calculation!$K6)</f>
        <v>0.27755453939368024</v>
      </c>
    </row>
    <row r="8" spans="1:19">
      <c r="A8" s="40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99">
        <v>24.035472869873047</v>
      </c>
      <c r="F8" s="99">
        <v>22.729461669921875</v>
      </c>
      <c r="G8" s="103">
        <v>23.859382629394531</v>
      </c>
      <c r="H8" s="113">
        <f>E8-$H$53+$H$75</f>
        <v>23.823578088179879</v>
      </c>
      <c r="I8" s="113">
        <f>F8-$H$53+$H$75</f>
        <v>22.517566888228707</v>
      </c>
      <c r="J8" s="113">
        <f>G8-$H$53+$H$75</f>
        <v>23.647487847701363</v>
      </c>
      <c r="K8" s="103">
        <f>((H8-'Calibration F. prausnitzii'!$D$45)/'Calibration F. prausnitzii'!$D$44)+$B$24</f>
        <v>7.4088452791665098</v>
      </c>
      <c r="L8" s="103">
        <f>((I8-'Calibration F. prausnitzii'!$D$45)/'Calibration F. prausnitzii'!$D$44)+$B$24</f>
        <v>7.8109051874111834</v>
      </c>
      <c r="M8" s="103">
        <f>((J8-'Calibration F. prausnitzii'!$D$45)/'Calibration F. prausnitzii'!$D$44)+$B$24</f>
        <v>7.4630552476049283</v>
      </c>
      <c r="N8" s="107">
        <f t="shared" si="1"/>
        <v>7.5609352380608739</v>
      </c>
      <c r="O8" s="107">
        <f t="shared" si="2"/>
        <v>0.21817060263282687</v>
      </c>
      <c r="P8" s="108">
        <f>(AVERAGE(POWER(10,K8),POWER(10,L8),POWER(10,M8)))*(Calculation!$I8/Calculation!$K7)</f>
        <v>40967196.220949642</v>
      </c>
      <c r="Q8" s="108">
        <f>STDEV(POWER(10,K8),POWER(10,L8),POWER(10,M8))*(Calculation!$I8/Calculation!$K7)</f>
        <v>22275522.288545169</v>
      </c>
      <c r="R8" s="107">
        <f t="shared" si="3"/>
        <v>7.6124362420239899</v>
      </c>
      <c r="S8" s="107">
        <f>O8*(Calculation!$I8/Calculation!$K7)</f>
        <v>0.22460686153361487</v>
      </c>
    </row>
    <row r="9" spans="1:19">
      <c r="A9" s="40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99">
        <v>24.218833923339844</v>
      </c>
      <c r="F9" s="99">
        <v>23.60493278503418</v>
      </c>
      <c r="G9" s="103">
        <v>23.531604766845703</v>
      </c>
      <c r="H9" s="113">
        <f>E9-$H$63+$H$75</f>
        <v>23.806939141646676</v>
      </c>
      <c r="I9" s="113">
        <f>F9-$H$63+$H$75</f>
        <v>23.193038003341012</v>
      </c>
      <c r="J9" s="113">
        <f>G9-$H$63+$H$75</f>
        <v>23.119709985152536</v>
      </c>
      <c r="K9" s="103">
        <f>((H9-'Calibration F. prausnitzii'!$D$45)/'Calibration F. prausnitzii'!$D$44)+$B$24</f>
        <v>7.4139676344086984</v>
      </c>
      <c r="L9" s="103">
        <f>((I9-'Calibration F. prausnitzii'!$D$45)/'Calibration F. prausnitzii'!$D$44)+$B$24</f>
        <v>7.6029591494490774</v>
      </c>
      <c r="M9" s="103">
        <f>((J9-'Calibration F. prausnitzii'!$D$45)/'Calibration F. prausnitzii'!$D$44)+$B$24</f>
        <v>7.6255334246664148</v>
      </c>
      <c r="N9" s="107">
        <f t="shared" si="1"/>
        <v>7.5474867361747302</v>
      </c>
      <c r="O9" s="107">
        <f t="shared" si="2"/>
        <v>0.11618051634290057</v>
      </c>
      <c r="P9" s="108">
        <f>(AVERAGE(POWER(10,K9),POWER(10,L9),POWER(10,M9)))*(Calculation!$I9/Calculation!$K8)</f>
        <v>37416200.342840493</v>
      </c>
      <c r="Q9" s="108">
        <f>STDEV(POWER(10,K9),POWER(10,L9),POWER(10,M9))*(Calculation!$I9/Calculation!$K8)</f>
        <v>9175003.7875344697</v>
      </c>
      <c r="R9" s="107">
        <f t="shared" si="3"/>
        <v>7.573059682310892</v>
      </c>
      <c r="S9" s="107">
        <f>O9*(Calculation!$I9/Calculation!$K8)</f>
        <v>0.12047847117520998</v>
      </c>
    </row>
    <row r="10" spans="1:19">
      <c r="A10" s="40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99">
        <v>22.87898063659668</v>
      </c>
      <c r="F10" s="99">
        <v>23.575153350830078</v>
      </c>
      <c r="G10" s="103">
        <v>23.831964492797852</v>
      </c>
      <c r="H10" s="113">
        <f>E10-$H$53+$H$75</f>
        <v>22.667085854903512</v>
      </c>
      <c r="I10" s="113">
        <f>F10-$H$53+$H$75</f>
        <v>23.36325856913691</v>
      </c>
      <c r="J10" s="113">
        <f>G10-$H$53+$H$75</f>
        <v>23.620069711104684</v>
      </c>
      <c r="K10" s="103">
        <f>((H10-'Calibration F. prausnitzii'!$D$45)/'Calibration F. prausnitzii'!$D$44)+$B$24</f>
        <v>7.7648752743259362</v>
      </c>
      <c r="L10" s="103">
        <f>((I10-'Calibration F. prausnitzii'!$D$45)/'Calibration F. prausnitzii'!$D$44)+$B$24</f>
        <v>7.5505561799586065</v>
      </c>
      <c r="M10" s="103">
        <f>((J10-'Calibration F. prausnitzii'!$D$45)/'Calibration F. prausnitzii'!$D$44)+$B$24</f>
        <v>7.4714960124963117</v>
      </c>
      <c r="N10" s="107">
        <f t="shared" si="1"/>
        <v>7.5956424889269512</v>
      </c>
      <c r="O10" s="107">
        <f t="shared" si="2"/>
        <v>0.15179732955561384</v>
      </c>
      <c r="P10" s="108">
        <f>(AVERAGE(POWER(10,K10),POWER(10,L10),POWER(10,M10)))*(Calculation!$I10/Calculation!$K9)</f>
        <v>42952136.801070437</v>
      </c>
      <c r="Q10" s="108">
        <f>STDEV(POWER(10,K10),POWER(10,L10),POWER(10,M10))*(Calculation!$I10/Calculation!$K9)</f>
        <v>15761561.128224298</v>
      </c>
      <c r="R10" s="107">
        <f t="shared" si="3"/>
        <v>7.632984774170291</v>
      </c>
      <c r="S10" s="107">
        <f>O10*(Calculation!$I10/Calculation!$K9)</f>
        <v>0.15859377629691737</v>
      </c>
    </row>
    <row r="11" spans="1:19">
      <c r="A11" s="40">
        <v>7</v>
      </c>
      <c r="B11" s="32">
        <v>80</v>
      </c>
      <c r="C11" s="32">
        <f t="shared" si="4"/>
        <v>600</v>
      </c>
      <c r="D11" s="13">
        <f t="shared" si="0"/>
        <v>10</v>
      </c>
      <c r="E11" s="99">
        <v>22.347457885742188</v>
      </c>
      <c r="F11" s="99">
        <v>23.718488693237305</v>
      </c>
      <c r="G11" s="103">
        <v>23.042110443115234</v>
      </c>
      <c r="H11" s="113">
        <f>E11-$H$53+$H$75</f>
        <v>22.13556310404902</v>
      </c>
      <c r="I11" s="113">
        <f>F11-$H$53+$H$75</f>
        <v>23.506593911544137</v>
      </c>
      <c r="J11" s="113">
        <f>G11-$H$53+$H$75</f>
        <v>22.830215661422066</v>
      </c>
      <c r="K11" s="103">
        <f>((H11-'Calibration F. prausnitzii'!$D$45)/'Calibration F. prausnitzii'!$D$44)+$B$24</f>
        <v>7.928506327755267</v>
      </c>
      <c r="L11" s="103">
        <f>((I11-'Calibration F. prausnitzii'!$D$45)/'Calibration F. prausnitzii'!$D$44)+$B$24</f>
        <v>7.5064299162492123</v>
      </c>
      <c r="M11" s="103">
        <f>((J11-'Calibration F. prausnitzii'!$D$45)/'Calibration F. prausnitzii'!$D$44)+$B$24</f>
        <v>7.7146552187526964</v>
      </c>
      <c r="N11" s="107">
        <f t="shared" si="1"/>
        <v>7.7165304875857252</v>
      </c>
      <c r="O11" s="107">
        <f t="shared" si="2"/>
        <v>0.21104445446956002</v>
      </c>
      <c r="P11" s="108">
        <f>(AVERAGE(POWER(10,K11),POWER(10,L11),POWER(10,M11)))*(Calculation!$I11/Calculation!$K10)</f>
        <v>58997444.44597017</v>
      </c>
      <c r="Q11" s="108">
        <f>STDEV(POWER(10,K11),POWER(10,L11),POWER(10,M11))*(Calculation!$I11/Calculation!$K10)</f>
        <v>27939447.71651081</v>
      </c>
      <c r="R11" s="107">
        <f t="shared" si="3"/>
        <v>7.7708331999972184</v>
      </c>
      <c r="S11" s="107">
        <f>O11*(Calculation!$I11/Calculation!$K10)</f>
        <v>0.2213462258521682</v>
      </c>
    </row>
    <row r="12" spans="1:19">
      <c r="A12" s="40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99">
        <v>22.789676666259766</v>
      </c>
      <c r="F12" s="99">
        <v>22.999355316162109</v>
      </c>
      <c r="G12" s="103">
        <v>22.39427375793457</v>
      </c>
      <c r="H12" s="113">
        <f>E12-$H$53+$H$75</f>
        <v>22.577781884566598</v>
      </c>
      <c r="I12" s="113">
        <f>F12-$H$53+$H$75</f>
        <v>22.787460534468941</v>
      </c>
      <c r="J12" s="113">
        <f>G12-$H$53+$H$75</f>
        <v>22.182378976241402</v>
      </c>
      <c r="K12" s="103">
        <f>((H12-'Calibration F. prausnitzii'!$D$45)/'Calibration F. prausnitzii'!$D$44)+$B$24</f>
        <v>7.7923677997505933</v>
      </c>
      <c r="L12" s="103">
        <f>((I12-'Calibration F. prausnitzii'!$D$45)/'Calibration F. prausnitzii'!$D$44)+$B$24</f>
        <v>7.727817527330453</v>
      </c>
      <c r="M12" s="103">
        <f>((J12-'Calibration F. prausnitzii'!$D$45)/'Calibration F. prausnitzii'!$D$44)+$B$24</f>
        <v>7.9140939051981185</v>
      </c>
      <c r="N12" s="107">
        <f t="shared" si="1"/>
        <v>7.8114264107597222</v>
      </c>
      <c r="O12" s="107">
        <f t="shared" si="2"/>
        <v>9.45893505003194E-2</v>
      </c>
      <c r="P12" s="108">
        <f>(AVERAGE(POWER(10,K12),POWER(10,L12),POWER(10,M12)))*(Calculation!$I12/Calculation!$K11)</f>
        <v>69206659.32041423</v>
      </c>
      <c r="Q12" s="108">
        <f>STDEV(POWER(10,K12),POWER(10,L12),POWER(10,M12))*(Calculation!$I12/Calculation!$K11)</f>
        <v>15443055.824887644</v>
      </c>
      <c r="R12" s="107">
        <f t="shared" si="3"/>
        <v>7.8401478858868172</v>
      </c>
      <c r="S12" s="107">
        <f>O12*(Calculation!$I12/Calculation!$K11)</f>
        <v>9.9444472088491262E-2</v>
      </c>
    </row>
    <row r="13" spans="1:19">
      <c r="A13" s="40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99">
        <v>22.92839241027832</v>
      </c>
      <c r="F13" s="99">
        <v>22.971593856811523</v>
      </c>
      <c r="G13" s="103">
        <v>22.934051513671875</v>
      </c>
      <c r="H13" s="113">
        <f>E13-$H$53+$H$75</f>
        <v>22.716497628585152</v>
      </c>
      <c r="I13" s="113">
        <f>F13-$H$53+$H$75</f>
        <v>22.759699075118355</v>
      </c>
      <c r="J13" s="113">
        <f>G13-$H$53+$H$75</f>
        <v>22.722156731978707</v>
      </c>
      <c r="K13" s="103">
        <f>((H13-'Calibration F. prausnitzii'!$D$45)/'Calibration F. prausnitzii'!$D$44)+$B$24</f>
        <v>7.7496636948284632</v>
      </c>
      <c r="L13" s="103">
        <f>((I13-'Calibration F. prausnitzii'!$D$45)/'Calibration F. prausnitzii'!$D$44)+$B$24</f>
        <v>7.7363639852778672</v>
      </c>
      <c r="M13" s="103">
        <f>((J13-'Calibration F. prausnitzii'!$D$45)/'Calibration F. prausnitzii'!$D$44)+$B$24</f>
        <v>7.7479215209548826</v>
      </c>
      <c r="N13" s="107">
        <f t="shared" si="1"/>
        <v>7.7446497336870719</v>
      </c>
      <c r="O13" s="107">
        <f t="shared" si="2"/>
        <v>7.228347838677548E-3</v>
      </c>
      <c r="P13" s="108">
        <f>(AVERAGE(POWER(10,K13),POWER(10,L13),POWER(10,M13)))*(Calculation!$I13/Calculation!$K12)</f>
        <v>58499147.61223229</v>
      </c>
      <c r="Q13" s="108">
        <f>STDEV(POWER(10,K13),POWER(10,L13),POWER(10,M13))*(Calculation!$I13/Calculation!$K12)</f>
        <v>969235.89187078376</v>
      </c>
      <c r="R13" s="107">
        <f t="shared" si="3"/>
        <v>7.7671495380479767</v>
      </c>
      <c r="S13" s="107">
        <f>O13*(Calculation!$I13/Calculation!$K12)</f>
        <v>7.6120015152644008E-3</v>
      </c>
    </row>
    <row r="14" spans="1:19">
      <c r="A14" s="40">
        <v>10</v>
      </c>
      <c r="B14" s="32">
        <v>80</v>
      </c>
      <c r="C14" s="32">
        <f t="shared" si="4"/>
        <v>840</v>
      </c>
      <c r="D14" s="13">
        <f t="shared" si="0"/>
        <v>14</v>
      </c>
      <c r="E14" s="99">
        <v>22.836771011352539</v>
      </c>
      <c r="F14" s="99">
        <v>23.096691131591797</v>
      </c>
      <c r="G14" s="103">
        <v>22.967702865600586</v>
      </c>
      <c r="H14" s="113">
        <f>E14-$H$53+$H$75</f>
        <v>22.624876229659371</v>
      </c>
      <c r="I14" s="113">
        <f>F14-$H$53+$H$75</f>
        <v>22.884796349898629</v>
      </c>
      <c r="J14" s="113">
        <f>G14-$H$53+$H$75</f>
        <v>22.755808083907418</v>
      </c>
      <c r="K14" s="103">
        <f>((H14-'Calibration F. prausnitzii'!$D$45)/'Calibration F. prausnitzii'!$D$44)+$B$24</f>
        <v>7.7778696483813317</v>
      </c>
      <c r="L14" s="103">
        <f>((I14-'Calibration F. prausnitzii'!$D$45)/'Calibration F. prausnitzii'!$D$44)+$B$24</f>
        <v>7.6978523715783087</v>
      </c>
      <c r="M14" s="103">
        <f>((J14-'Calibration F. prausnitzii'!$D$45)/'Calibration F. prausnitzii'!$D$44)+$B$24</f>
        <v>7.7375618399128872</v>
      </c>
      <c r="N14" s="107">
        <f t="shared" si="1"/>
        <v>7.737761286624175</v>
      </c>
      <c r="O14" s="107">
        <f t="shared" si="2"/>
        <v>4.0009011247291296E-2</v>
      </c>
      <c r="P14" s="108">
        <f>(AVERAGE(POWER(10,K14),POWER(10,L14),POWER(10,M14)))*(Calculation!$I14/Calculation!$K13)</f>
        <v>57786484.868091658</v>
      </c>
      <c r="Q14" s="108">
        <f>STDEV(POWER(10,K14),POWER(10,L14),POWER(10,M14))*(Calculation!$I14/Calculation!$K13)</f>
        <v>5319717.7559604216</v>
      </c>
      <c r="R14" s="107">
        <f t="shared" si="3"/>
        <v>7.7618262772865707</v>
      </c>
      <c r="S14" s="107">
        <f>O14*(Calculation!$I14/Calculation!$K13)</f>
        <v>4.2169145131876092E-2</v>
      </c>
    </row>
    <row r="15" spans="1:19">
      <c r="A15" s="40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99">
        <v>22.974151611328125</v>
      </c>
      <c r="F15" s="99">
        <v>22.990518569946289</v>
      </c>
      <c r="G15" s="103">
        <v>23.196571350097656</v>
      </c>
      <c r="H15" s="113">
        <f>E15-$H$53+$H$75</f>
        <v>22.762256829634957</v>
      </c>
      <c r="I15" s="113">
        <f>F15-$H$53+$H$75</f>
        <v>22.778623788253121</v>
      </c>
      <c r="J15" s="113">
        <f>G15-$H$53+$H$75</f>
        <v>22.984676568404488</v>
      </c>
      <c r="K15" s="103">
        <f>((H15-'Calibration F. prausnitzii'!$D$45)/'Calibration F. prausnitzii'!$D$44)+$B$24</f>
        <v>7.7355765720104355</v>
      </c>
      <c r="L15" s="103">
        <f>((I15-'Calibration F. prausnitzii'!$D$45)/'Calibration F. prausnitzii'!$D$44)+$B$24</f>
        <v>7.730537949155968</v>
      </c>
      <c r="M15" s="103">
        <f>((J15-'Calibration F. prausnitzii'!$D$45)/'Calibration F. prausnitzii'!$D$44)+$B$24</f>
        <v>7.6671039128442455</v>
      </c>
      <c r="N15" s="107">
        <f t="shared" si="1"/>
        <v>7.7110728113368836</v>
      </c>
      <c r="O15" s="107">
        <f t="shared" si="2"/>
        <v>3.8161432835511884E-2</v>
      </c>
      <c r="P15" s="108">
        <f>(AVERAGE(POWER(10,K15),POWER(10,L15),POWER(10,M15)))*(Calculation!$I15/Calculation!$K14)</f>
        <v>54326074.20473133</v>
      </c>
      <c r="Q15" s="108">
        <f>STDEV(POWER(10,K15),POWER(10,L15),POWER(10,M15))*(Calculation!$I15/Calculation!$K14)</f>
        <v>4649217.0768272234</v>
      </c>
      <c r="R15" s="107">
        <f t="shared" si="3"/>
        <v>7.7350083225042949</v>
      </c>
      <c r="S15" s="107">
        <f>O15*(Calculation!$I15/Calculation!$K14)</f>
        <v>4.0221813774265452E-2</v>
      </c>
    </row>
    <row r="16" spans="1:19">
      <c r="A16" s="40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99">
        <v>23.024648666381836</v>
      </c>
      <c r="F16" s="99">
        <v>23.180812835693359</v>
      </c>
      <c r="G16" s="103">
        <v>23.427022933959961</v>
      </c>
      <c r="H16" s="113">
        <f>E16-$H$53+$H$75</f>
        <v>22.812753884688668</v>
      </c>
      <c r="I16" s="113">
        <f>F16-$H$53+$H$75</f>
        <v>22.968918054000191</v>
      </c>
      <c r="J16" s="113">
        <f>G16-$H$53+$H$75</f>
        <v>23.215128152266793</v>
      </c>
      <c r="K16" s="103">
        <f>((H16-'Calibration F. prausnitzii'!$D$45)/'Calibration F. prausnitzii'!$D$44)+$B$24</f>
        <v>7.7200308850191739</v>
      </c>
      <c r="L16" s="103">
        <f>((I16-'Calibration F. prausnitzii'!$D$45)/'Calibration F. prausnitzii'!$D$44)+$B$24</f>
        <v>7.6719552241160791</v>
      </c>
      <c r="M16" s="103">
        <f>((J16-'Calibration F. prausnitzii'!$D$45)/'Calibration F. prausnitzii'!$D$44)+$B$24</f>
        <v>7.5961586233505702</v>
      </c>
      <c r="N16" s="107">
        <f t="shared" si="1"/>
        <v>7.6627149108286075</v>
      </c>
      <c r="O16" s="107">
        <f t="shared" si="2"/>
        <v>6.2450955516803096E-2</v>
      </c>
      <c r="P16" s="108">
        <f>(AVERAGE(POWER(10,K16),POWER(10,L16),POWER(10,M16)))*(Calculation!$I16/Calculation!$K15)</f>
        <v>48902226.774965137</v>
      </c>
      <c r="Q16" s="108">
        <f>STDEV(POWER(10,K16),POWER(10,L16),POWER(10,M16))*(Calculation!$I16/Calculation!$K15)</f>
        <v>6904368.4637680957</v>
      </c>
      <c r="R16" s="107">
        <f t="shared" si="3"/>
        <v>7.6893286352802956</v>
      </c>
      <c r="S16" s="107">
        <f>O16*(Calculation!$I16/Calculation!$K15)</f>
        <v>6.5947067696837544E-2</v>
      </c>
    </row>
    <row r="17" spans="1:19">
      <c r="A17" s="40">
        <v>13</v>
      </c>
      <c r="B17" s="32">
        <v>80</v>
      </c>
      <c r="C17" s="32">
        <f t="shared" si="4"/>
        <v>1080</v>
      </c>
      <c r="D17" s="13">
        <f t="shared" si="0"/>
        <v>18</v>
      </c>
      <c r="E17" s="99">
        <v>23.115501403808594</v>
      </c>
      <c r="F17" s="99">
        <v>23.045766830444336</v>
      </c>
      <c r="G17" s="103">
        <v>23.077798843383789</v>
      </c>
      <c r="H17" s="113">
        <f>E17-$H$53+$H$75</f>
        <v>22.903606622115426</v>
      </c>
      <c r="I17" s="113">
        <f>F17-$H$53+$H$75</f>
        <v>22.833872048751168</v>
      </c>
      <c r="J17" s="113">
        <f>G17-$H$53+$H$75</f>
        <v>22.865904061690621</v>
      </c>
      <c r="K17" s="103">
        <f>((H17-'Calibration F. prausnitzii'!$D$45)/'Calibration F. prausnitzii'!$D$44)+$B$24</f>
        <v>7.692061566475088</v>
      </c>
      <c r="L17" s="103">
        <f>((I17-'Calibration F. prausnitzii'!$D$45)/'Calibration F. prausnitzii'!$D$44)+$B$24</f>
        <v>7.7135295877059651</v>
      </c>
      <c r="M17" s="103">
        <f>((J17-'Calibration F. prausnitzii'!$D$45)/'Calibration F. prausnitzii'!$D$44)+$B$24</f>
        <v>7.7036684255782504</v>
      </c>
      <c r="N17" s="107">
        <f t="shared" si="1"/>
        <v>7.7030865265864348</v>
      </c>
      <c r="O17" s="107">
        <f t="shared" si="2"/>
        <v>1.0745833551654089E-2</v>
      </c>
      <c r="P17" s="108">
        <f>(AVERAGE(POWER(10,K17),POWER(10,L17),POWER(10,M17)))*(Calculation!$I17/Calculation!$K16)</f>
        <v>53365585.110580213</v>
      </c>
      <c r="Q17" s="108">
        <f>STDEV(POWER(10,K17),POWER(10,L17),POWER(10,M17))*(Calculation!$I17/Calculation!$K16)</f>
        <v>1319010.7881382718</v>
      </c>
      <c r="R17" s="107">
        <f t="shared" si="3"/>
        <v>7.7272612754769634</v>
      </c>
      <c r="S17" s="107">
        <f>O17*(Calculation!$I17/Calculation!$K16)</f>
        <v>1.1358638897263382E-2</v>
      </c>
    </row>
    <row r="18" spans="1:19">
      <c r="A18" s="40">
        <v>14</v>
      </c>
      <c r="B18" s="32">
        <v>360</v>
      </c>
      <c r="C18" s="32">
        <f t="shared" si="4"/>
        <v>1440</v>
      </c>
      <c r="D18" s="13">
        <f t="shared" si="0"/>
        <v>24</v>
      </c>
      <c r="E18" s="99">
        <v>23.979423522949219</v>
      </c>
      <c r="F18" s="99">
        <v>23.670042037963867</v>
      </c>
      <c r="G18" s="103">
        <v>23.880353927612305</v>
      </c>
      <c r="H18" s="113">
        <f>E18-$H$53+$H$75</f>
        <v>23.767528741256051</v>
      </c>
      <c r="I18" s="113">
        <f>F18-$H$53+$H$75</f>
        <v>23.458147256270699</v>
      </c>
      <c r="J18" s="113">
        <f>G18-$H$53+$H$75</f>
        <v>23.668459145919137</v>
      </c>
      <c r="K18" s="103">
        <f>((H18-'Calibration F. prausnitzii'!$D$45)/'Calibration F. prausnitzii'!$D$44)+$B$24</f>
        <v>7.4261002577472528</v>
      </c>
      <c r="L18" s="103">
        <f>((I18-'Calibration F. prausnitzii'!$D$45)/'Calibration F. prausnitzii'!$D$44)+$B$24</f>
        <v>7.5213443808225078</v>
      </c>
      <c r="M18" s="103">
        <f>((J18-'Calibration F. prausnitzii'!$D$45)/'Calibration F. prausnitzii'!$D$44)+$B$24</f>
        <v>7.4565991634323536</v>
      </c>
      <c r="N18" s="107">
        <f t="shared" si="1"/>
        <v>7.4680146006673711</v>
      </c>
      <c r="O18" s="107">
        <f t="shared" si="2"/>
        <v>4.8637381719656252E-2</v>
      </c>
      <c r="P18" s="108">
        <f>(AVERAGE(POWER(10,K18),POWER(10,L18),POWER(10,M18)))*(Calculation!$I18/Calculation!$K17)</f>
        <v>31184373.848844357</v>
      </c>
      <c r="Q18" s="108">
        <f>STDEV(POWER(10,K18),POWER(10,L18),POWER(10,M18))*(Calculation!$I18/Calculation!$K17)</f>
        <v>3551016.4054812356</v>
      </c>
      <c r="R18" s="107">
        <f t="shared" si="3"/>
        <v>7.4939370282742184</v>
      </c>
      <c r="S18" s="107">
        <f>O18*(Calculation!$I18/Calculation!$K17)</f>
        <v>5.1411037887972515E-2</v>
      </c>
    </row>
    <row r="19" spans="1:1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99">
        <v>23.469966888427734</v>
      </c>
      <c r="F19" s="99">
        <v>23.587091445922852</v>
      </c>
      <c r="G19" s="103">
        <v>23.458908081054688</v>
      </c>
      <c r="H19" s="113">
        <f>E19-$H$53+$H$75</f>
        <v>23.258072106734566</v>
      </c>
      <c r="I19" s="113">
        <f>F19-$H$53+$H$75</f>
        <v>23.375196664229684</v>
      </c>
      <c r="J19" s="113">
        <f>G19-$H$53+$H$75</f>
        <v>23.24701329936152</v>
      </c>
      <c r="K19" s="103">
        <f>((H19-'Calibration F. prausnitzii'!$D$45)/'Calibration F. prausnitzii'!$D$44)+$B$24</f>
        <v>7.5829381835919971</v>
      </c>
      <c r="L19" s="103">
        <f>((I19-'Calibration F. prausnitzii'!$D$45)/'Calibration F. prausnitzii'!$D$44)+$B$24</f>
        <v>7.5468809975269426</v>
      </c>
      <c r="M19" s="103">
        <f>((J19-'Calibration F. prausnitzii'!$D$45)/'Calibration F. prausnitzii'!$D$44)+$B$24</f>
        <v>7.5863426743634923</v>
      </c>
      <c r="N19" s="107">
        <f t="shared" si="1"/>
        <v>7.5720539518274776</v>
      </c>
      <c r="O19" s="107">
        <f t="shared" si="2"/>
        <v>2.1866775265591994E-2</v>
      </c>
      <c r="P19" s="108">
        <f>(AVERAGE(POWER(10,K19),POWER(10,L19),POWER(10,M19)))*(Calculation!$I19/Calculation!$K18)</f>
        <v>39491497.208702549</v>
      </c>
      <c r="Q19" s="108">
        <f>STDEV(POWER(10,K19),POWER(10,L19),POWER(10,M19))*(Calculation!$I19/Calculation!$K18)</f>
        <v>1959487.5499654526</v>
      </c>
      <c r="R19" s="107">
        <f t="shared" si="3"/>
        <v>7.5965035990987069</v>
      </c>
      <c r="S19" s="107">
        <f>O19*(Calculation!$I19/Calculation!$K18)</f>
        <v>2.3113777344079357E-2</v>
      </c>
    </row>
    <row r="20" spans="1:1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99">
        <v>25.634632110595703</v>
      </c>
      <c r="F20" s="99">
        <v>25.904088973999023</v>
      </c>
      <c r="G20" s="103">
        <v>26.369604110717773</v>
      </c>
      <c r="H20" s="113">
        <f>E20-$H$53+$H$75</f>
        <v>25.422737328902535</v>
      </c>
      <c r="I20" s="113">
        <f>F20-$H$53+$H$75</f>
        <v>25.692194192305855</v>
      </c>
      <c r="J20" s="113">
        <f>G20-$H$53+$H$75</f>
        <v>26.157709329024605</v>
      </c>
      <c r="K20" s="103">
        <f>((H20-'Calibration F. prausnitzii'!$D$45)/'Calibration F. prausnitzii'!$D$44)+$B$24</f>
        <v>6.9165387678459247</v>
      </c>
      <c r="L20" s="103">
        <f>((I20-'Calibration F. prausnitzii'!$D$45)/'Calibration F. prausnitzii'!$D$44)+$B$24</f>
        <v>6.8335855728198123</v>
      </c>
      <c r="M20" s="103">
        <f>((J20-'Calibration F. prausnitzii'!$D$45)/'Calibration F. prausnitzii'!$D$44)+$B$24</f>
        <v>6.690275183779776</v>
      </c>
      <c r="N20" s="107">
        <f t="shared" si="1"/>
        <v>6.8134665081485046</v>
      </c>
      <c r="O20" s="107">
        <f t="shared" si="2"/>
        <v>0.11446564961179831</v>
      </c>
      <c r="P20" s="108">
        <f>(AVERAGE(POWER(10,K20),POWER(10,L20),POWER(10,M20)))*(Calculation!$I20/Calculation!$K19)</f>
        <v>7044348.0687151626</v>
      </c>
      <c r="Q20" s="108">
        <f>STDEV(POWER(10,K20),POWER(10,L20),POWER(10,M20))*(Calculation!$I20/Calculation!$K19)</f>
        <v>1779071.7164858978</v>
      </c>
      <c r="R20" s="107">
        <f t="shared" si="3"/>
        <v>6.8478408067767358</v>
      </c>
      <c r="S20" s="107">
        <f>O20*(Calculation!$I20/Calculation!$K19)</f>
        <v>0.12113582366034786</v>
      </c>
    </row>
    <row r="21" spans="1:19">
      <c r="A21" s="10"/>
      <c r="B21" s="10"/>
      <c r="C21" s="10"/>
      <c r="D21" s="116"/>
      <c r="E21" s="117"/>
      <c r="F21" s="117"/>
      <c r="G21" s="118"/>
      <c r="H21" s="115"/>
      <c r="I21" s="115"/>
      <c r="J21" s="115"/>
      <c r="K21" s="118"/>
      <c r="L21" s="118"/>
      <c r="M21" s="118"/>
      <c r="N21" s="119"/>
      <c r="O21" s="119"/>
      <c r="P21" s="120"/>
      <c r="Q21" s="120"/>
      <c r="R21" s="119"/>
      <c r="S21" s="119"/>
    </row>
    <row r="22" spans="1:19"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</row>
    <row r="23" spans="1:19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</row>
    <row r="24" spans="1:19">
      <c r="A24" s="102" t="s">
        <v>245</v>
      </c>
      <c r="B24" s="112">
        <f>LOG(B25)</f>
        <v>3.6532125137753435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</row>
    <row r="25" spans="1:19">
      <c r="A25" s="85" t="s">
        <v>246</v>
      </c>
      <c r="B25" s="85">
        <f>20*1800/4/2</f>
        <v>4500</v>
      </c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</row>
    <row r="26" spans="1:19">
      <c r="A26" s="85"/>
      <c r="B26" s="85"/>
      <c r="C26" s="85"/>
      <c r="D26" s="85"/>
      <c r="E26" s="148" t="s">
        <v>258</v>
      </c>
      <c r="F26" s="149"/>
      <c r="G26" s="149"/>
      <c r="H26" s="149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</row>
    <row r="27" spans="1:19">
      <c r="A27" s="61" t="s">
        <v>260</v>
      </c>
      <c r="B27" s="61"/>
      <c r="C27" s="61"/>
      <c r="D27" s="61"/>
      <c r="E27" s="114">
        <v>14.4</v>
      </c>
      <c r="F27" s="113">
        <v>14.4</v>
      </c>
      <c r="G27" s="113">
        <v>14.3</v>
      </c>
      <c r="H27" s="113">
        <v>14.4</v>
      </c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</row>
    <row r="28" spans="1:19">
      <c r="A28" s="61" t="s">
        <v>261</v>
      </c>
      <c r="B28" s="61"/>
      <c r="C28" s="61"/>
      <c r="D28" s="61"/>
      <c r="E28" s="122">
        <v>14</v>
      </c>
      <c r="F28" s="123">
        <v>13.8</v>
      </c>
      <c r="G28" s="123">
        <v>14.1</v>
      </c>
      <c r="H28" s="123">
        <v>14</v>
      </c>
    </row>
    <row r="29" spans="1:19">
      <c r="A29" s="61" t="s">
        <v>262</v>
      </c>
      <c r="B29" s="61"/>
      <c r="C29" s="61"/>
      <c r="D29" s="61"/>
      <c r="E29" s="122">
        <v>14.1</v>
      </c>
      <c r="F29" s="123">
        <v>14.1</v>
      </c>
      <c r="G29" s="123">
        <v>14.1</v>
      </c>
      <c r="H29" s="123">
        <v>14.1</v>
      </c>
    </row>
    <row r="30" spans="1:19">
      <c r="A30" s="61" t="s">
        <v>263</v>
      </c>
      <c r="B30" s="61"/>
      <c r="C30" s="61"/>
      <c r="D30" s="61"/>
      <c r="E30" s="122">
        <v>13.8</v>
      </c>
      <c r="F30" s="123">
        <v>14</v>
      </c>
      <c r="G30" s="123">
        <v>14</v>
      </c>
      <c r="H30" s="123">
        <v>13.9</v>
      </c>
    </row>
    <row r="31" spans="1:19">
      <c r="A31" s="61" t="s">
        <v>264</v>
      </c>
      <c r="B31" s="61"/>
      <c r="C31" s="61"/>
      <c r="D31" s="61"/>
      <c r="E31" s="122">
        <v>11.6</v>
      </c>
      <c r="F31" s="123">
        <v>11.5</v>
      </c>
      <c r="G31" s="123">
        <v>11.5</v>
      </c>
      <c r="H31" s="123">
        <v>11.5</v>
      </c>
    </row>
    <row r="32" spans="1:19">
      <c r="A32" s="61" t="s">
        <v>265</v>
      </c>
      <c r="B32" s="61"/>
      <c r="C32" s="61"/>
      <c r="D32" s="61"/>
      <c r="E32" s="122">
        <v>14.5</v>
      </c>
      <c r="F32" s="123">
        <v>14.8</v>
      </c>
      <c r="G32" s="123">
        <v>14.7</v>
      </c>
      <c r="H32" s="123">
        <v>14.7</v>
      </c>
    </row>
    <row r="33" spans="1:8">
      <c r="A33" s="61" t="s">
        <v>266</v>
      </c>
      <c r="B33" s="61"/>
      <c r="C33" s="61"/>
      <c r="D33" s="61"/>
      <c r="E33" s="122">
        <v>14.3</v>
      </c>
      <c r="F33" s="123">
        <v>14.8</v>
      </c>
      <c r="G33" s="123">
        <v>14.7</v>
      </c>
      <c r="H33" s="123">
        <v>14.6</v>
      </c>
    </row>
    <row r="34" spans="1:8">
      <c r="A34" s="61" t="s">
        <v>267</v>
      </c>
      <c r="B34" s="61"/>
      <c r="C34" s="61"/>
      <c r="D34" s="61"/>
      <c r="E34" s="122">
        <v>13.1</v>
      </c>
      <c r="F34" s="123">
        <v>13.3</v>
      </c>
      <c r="G34" s="123">
        <v>14.5</v>
      </c>
      <c r="H34" s="123">
        <v>13.6</v>
      </c>
    </row>
    <row r="35" spans="1:8">
      <c r="A35" s="61" t="s">
        <v>268</v>
      </c>
      <c r="B35" s="61"/>
      <c r="C35" s="61"/>
      <c r="D35" s="61"/>
      <c r="E35" s="122">
        <v>14.8</v>
      </c>
      <c r="F35" s="123">
        <v>15</v>
      </c>
      <c r="G35" s="123">
        <v>15</v>
      </c>
      <c r="H35" s="123">
        <v>14.9</v>
      </c>
    </row>
    <row r="36" spans="1:8">
      <c r="A36" s="61" t="s">
        <v>268</v>
      </c>
      <c r="B36" s="61"/>
      <c r="C36" s="61"/>
      <c r="D36" s="61"/>
      <c r="E36" s="122">
        <v>13.9</v>
      </c>
      <c r="F36" s="123">
        <v>14.3</v>
      </c>
      <c r="G36" s="123">
        <v>14</v>
      </c>
      <c r="H36" s="123">
        <v>14</v>
      </c>
    </row>
    <row r="37" spans="1:8">
      <c r="A37" s="61" t="s">
        <v>269</v>
      </c>
      <c r="B37" s="61"/>
      <c r="C37" s="61"/>
      <c r="D37" s="61"/>
      <c r="E37" s="122">
        <v>14</v>
      </c>
      <c r="F37" s="123">
        <v>14.3</v>
      </c>
      <c r="G37" s="123">
        <v>14.5</v>
      </c>
      <c r="H37" s="123">
        <v>14.3</v>
      </c>
    </row>
    <row r="38" spans="1:8">
      <c r="A38" s="61" t="s">
        <v>269</v>
      </c>
      <c r="B38" s="61"/>
      <c r="C38" s="61"/>
      <c r="D38" s="61"/>
      <c r="E38" s="122">
        <v>14.8</v>
      </c>
      <c r="F38" s="123">
        <v>14.8</v>
      </c>
      <c r="G38" s="123">
        <v>14.8</v>
      </c>
      <c r="H38" s="123">
        <v>14.8</v>
      </c>
    </row>
    <row r="39" spans="1:8">
      <c r="A39" s="61" t="s">
        <v>270</v>
      </c>
      <c r="B39" s="61"/>
      <c r="C39" s="61"/>
      <c r="D39" s="61"/>
      <c r="E39" s="122">
        <v>15.4</v>
      </c>
      <c r="F39" s="123">
        <v>15.4</v>
      </c>
      <c r="G39" s="123">
        <v>15.4</v>
      </c>
      <c r="H39" s="123">
        <v>15.4</v>
      </c>
    </row>
    <row r="40" spans="1:8">
      <c r="A40" s="61" t="s">
        <v>270</v>
      </c>
      <c r="B40" s="61"/>
      <c r="C40" s="61"/>
      <c r="D40" s="61"/>
      <c r="E40" s="122">
        <v>15.1</v>
      </c>
      <c r="F40" s="123">
        <v>15.3</v>
      </c>
      <c r="G40" s="123">
        <v>15.2</v>
      </c>
      <c r="H40" s="123">
        <v>15.2</v>
      </c>
    </row>
    <row r="41" spans="1:8">
      <c r="A41" s="61" t="s">
        <v>272</v>
      </c>
      <c r="B41" s="61"/>
      <c r="C41" s="61"/>
      <c r="D41" s="61"/>
      <c r="E41" s="122">
        <v>14.9</v>
      </c>
      <c r="F41" s="123">
        <v>14.9</v>
      </c>
      <c r="G41" s="123">
        <v>14.9</v>
      </c>
      <c r="H41" s="123">
        <v>14.9</v>
      </c>
    </row>
    <row r="42" spans="1:8">
      <c r="A42" s="61" t="s">
        <v>272</v>
      </c>
      <c r="B42" s="61"/>
      <c r="C42" s="61"/>
      <c r="D42" s="61"/>
      <c r="E42" s="122">
        <v>14.1</v>
      </c>
      <c r="F42" s="123">
        <v>14.3</v>
      </c>
      <c r="G42" s="123">
        <v>14.4</v>
      </c>
      <c r="H42" s="123">
        <v>14.3</v>
      </c>
    </row>
    <row r="43" spans="1:8">
      <c r="A43" s="61" t="s">
        <v>274</v>
      </c>
      <c r="B43" s="61"/>
      <c r="C43" s="61"/>
      <c r="D43" s="61"/>
      <c r="E43" s="122">
        <v>15</v>
      </c>
      <c r="F43" s="123">
        <v>14.8</v>
      </c>
      <c r="G43" s="123">
        <v>15.3</v>
      </c>
      <c r="H43" s="123">
        <v>15</v>
      </c>
    </row>
    <row r="44" spans="1:8">
      <c r="A44" s="61" t="s">
        <v>277</v>
      </c>
      <c r="B44" s="61"/>
      <c r="C44" s="61"/>
      <c r="D44" s="61"/>
      <c r="E44" s="122">
        <v>14.9</v>
      </c>
      <c r="F44" s="123">
        <v>15.1</v>
      </c>
      <c r="G44" s="123">
        <v>15</v>
      </c>
      <c r="H44" s="123">
        <v>15</v>
      </c>
    </row>
    <row r="45" spans="1:8">
      <c r="A45" s="61" t="s">
        <v>278</v>
      </c>
      <c r="B45" s="61"/>
      <c r="C45" s="61"/>
      <c r="D45" s="61"/>
      <c r="E45" s="122">
        <v>15.1</v>
      </c>
      <c r="F45" s="123">
        <v>15.1</v>
      </c>
      <c r="G45" s="123">
        <v>15.1</v>
      </c>
      <c r="H45" s="123">
        <v>15.1</v>
      </c>
    </row>
    <row r="46" spans="1:8">
      <c r="A46" s="61" t="s">
        <v>279</v>
      </c>
      <c r="B46" s="61"/>
      <c r="C46" s="61"/>
      <c r="D46" s="61"/>
      <c r="E46" s="122">
        <v>14.4</v>
      </c>
      <c r="F46" s="123">
        <v>14.4</v>
      </c>
      <c r="G46" s="123">
        <v>15.3</v>
      </c>
      <c r="H46" s="123">
        <v>14.7</v>
      </c>
    </row>
    <row r="47" spans="1:8">
      <c r="A47" s="61" t="s">
        <v>280</v>
      </c>
      <c r="B47" s="61"/>
      <c r="C47" s="61"/>
      <c r="D47" s="61"/>
      <c r="E47" s="122">
        <v>14.6</v>
      </c>
      <c r="F47" s="123">
        <v>14.8</v>
      </c>
      <c r="G47" s="123">
        <v>15</v>
      </c>
      <c r="H47" s="123">
        <v>14.8</v>
      </c>
    </row>
    <row r="48" spans="1:8">
      <c r="A48" s="61" t="s">
        <v>281</v>
      </c>
      <c r="B48" s="61"/>
      <c r="C48" s="61"/>
      <c r="D48" s="61"/>
      <c r="E48" s="122">
        <v>15</v>
      </c>
      <c r="F48" s="123">
        <v>15</v>
      </c>
      <c r="G48" s="123">
        <v>14.9</v>
      </c>
      <c r="H48" s="123">
        <v>15</v>
      </c>
    </row>
    <row r="49" spans="1:8">
      <c r="A49" s="61" t="s">
        <v>282</v>
      </c>
      <c r="B49" s="61"/>
      <c r="C49" s="61"/>
      <c r="D49" s="61"/>
      <c r="E49" s="122">
        <v>15.2</v>
      </c>
      <c r="F49" s="123">
        <v>15.3</v>
      </c>
      <c r="G49" s="123">
        <v>15.3</v>
      </c>
      <c r="H49" s="123">
        <v>15.2</v>
      </c>
    </row>
    <row r="50" spans="1:8">
      <c r="A50" s="61" t="s">
        <v>283</v>
      </c>
      <c r="B50" s="61"/>
      <c r="C50" s="61"/>
      <c r="D50" s="61"/>
      <c r="E50" s="122">
        <v>15.5</v>
      </c>
      <c r="F50" s="123">
        <v>15.5</v>
      </c>
      <c r="G50" s="123">
        <v>15.3</v>
      </c>
      <c r="H50" s="123">
        <v>15.4</v>
      </c>
    </row>
    <row r="51" spans="1:8">
      <c r="A51" s="61" t="s">
        <v>284</v>
      </c>
      <c r="B51" s="61"/>
      <c r="C51" s="61"/>
      <c r="D51" s="61"/>
      <c r="E51" s="122">
        <v>15.2</v>
      </c>
      <c r="F51" s="123">
        <v>15.3</v>
      </c>
      <c r="G51" s="123">
        <v>15.1</v>
      </c>
      <c r="H51" s="123">
        <v>15.2</v>
      </c>
    </row>
    <row r="52" spans="1:8">
      <c r="A52" s="61" t="s">
        <v>285</v>
      </c>
      <c r="B52" s="61"/>
      <c r="C52" s="61"/>
      <c r="D52" s="61"/>
      <c r="E52" s="122">
        <v>15.1</v>
      </c>
      <c r="F52" s="123">
        <v>15.1</v>
      </c>
      <c r="G52" s="123">
        <v>15.2</v>
      </c>
      <c r="H52" s="123">
        <v>15.1</v>
      </c>
    </row>
    <row r="53" spans="1:8">
      <c r="A53" s="61" t="s">
        <v>286</v>
      </c>
      <c r="B53" s="61"/>
      <c r="C53" s="61"/>
      <c r="D53" s="61"/>
      <c r="E53" s="122">
        <v>15</v>
      </c>
      <c r="F53" s="123">
        <v>15</v>
      </c>
      <c r="G53" s="123">
        <v>14.9</v>
      </c>
      <c r="H53" s="123">
        <v>15</v>
      </c>
    </row>
    <row r="54" spans="1:8">
      <c r="A54" s="61" t="s">
        <v>309</v>
      </c>
      <c r="B54" s="61"/>
      <c r="C54" s="61"/>
      <c r="D54" s="61"/>
      <c r="E54" s="122">
        <v>15.3</v>
      </c>
      <c r="F54" s="123">
        <v>15.4</v>
      </c>
      <c r="G54" s="123">
        <v>15.4</v>
      </c>
      <c r="H54" s="123">
        <v>15.4</v>
      </c>
    </row>
    <row r="55" spans="1:8">
      <c r="A55" s="61" t="s">
        <v>309</v>
      </c>
      <c r="B55" s="61"/>
      <c r="C55" s="61"/>
      <c r="D55" s="61"/>
      <c r="E55" s="122">
        <v>15.1</v>
      </c>
      <c r="F55" s="123">
        <v>15</v>
      </c>
      <c r="G55" s="123">
        <v>15.2</v>
      </c>
      <c r="H55" s="123">
        <v>15.1</v>
      </c>
    </row>
    <row r="56" spans="1:8">
      <c r="A56" s="61" t="s">
        <v>310</v>
      </c>
      <c r="B56" s="61"/>
      <c r="C56" s="61"/>
      <c r="D56" s="61"/>
      <c r="E56" s="122">
        <v>15.1</v>
      </c>
      <c r="F56" s="123">
        <v>15.1</v>
      </c>
      <c r="G56" s="123">
        <v>15.1</v>
      </c>
      <c r="H56" s="123">
        <v>15.1</v>
      </c>
    </row>
    <row r="57" spans="1:8">
      <c r="A57" s="61" t="s">
        <v>311</v>
      </c>
      <c r="B57" s="61"/>
      <c r="C57" s="61"/>
      <c r="D57" s="61"/>
      <c r="E57" s="122">
        <v>15.3</v>
      </c>
      <c r="F57" s="123">
        <v>15.3</v>
      </c>
      <c r="G57" s="123">
        <v>15.2</v>
      </c>
      <c r="H57" s="123">
        <v>15.2</v>
      </c>
    </row>
    <row r="58" spans="1:8">
      <c r="A58" s="61" t="s">
        <v>312</v>
      </c>
      <c r="B58" s="61"/>
      <c r="C58" s="61"/>
      <c r="D58" s="61"/>
      <c r="E58" s="122">
        <v>15</v>
      </c>
      <c r="F58" s="123">
        <v>15</v>
      </c>
      <c r="G58" s="123">
        <v>15</v>
      </c>
      <c r="H58" s="123">
        <v>15</v>
      </c>
    </row>
    <row r="59" spans="1:8">
      <c r="A59" s="61" t="s">
        <v>313</v>
      </c>
      <c r="B59" s="61"/>
      <c r="C59" s="61"/>
      <c r="D59" s="61"/>
      <c r="E59" s="122">
        <v>15.2</v>
      </c>
      <c r="F59" s="123">
        <v>15.2</v>
      </c>
      <c r="G59" s="123">
        <v>15.1</v>
      </c>
      <c r="H59" s="123">
        <v>15.2</v>
      </c>
    </row>
    <row r="60" spans="1:8">
      <c r="A60" s="61" t="s">
        <v>313</v>
      </c>
      <c r="B60" s="61"/>
      <c r="C60" s="61"/>
      <c r="D60" s="61"/>
      <c r="E60" s="122">
        <v>15.1</v>
      </c>
      <c r="F60" s="123">
        <v>15.1</v>
      </c>
      <c r="G60" s="123">
        <v>14.9</v>
      </c>
      <c r="H60" s="123">
        <v>15</v>
      </c>
    </row>
    <row r="61" spans="1:8">
      <c r="A61" s="61" t="s">
        <v>314</v>
      </c>
      <c r="B61" s="61"/>
      <c r="C61" s="61"/>
      <c r="D61" s="61"/>
      <c r="E61" s="122">
        <v>15.4</v>
      </c>
      <c r="F61" s="123">
        <v>14.7</v>
      </c>
      <c r="G61" s="123">
        <v>14.2</v>
      </c>
      <c r="H61" s="123">
        <v>14.8</v>
      </c>
    </row>
    <row r="62" spans="1:8">
      <c r="A62" s="61" t="s">
        <v>314</v>
      </c>
      <c r="B62" s="61"/>
      <c r="C62" s="61"/>
      <c r="D62" s="61"/>
      <c r="E62" s="122">
        <v>14.4</v>
      </c>
      <c r="F62" s="123">
        <v>14.4</v>
      </c>
      <c r="G62" s="123">
        <v>14.5</v>
      </c>
      <c r="H62" s="123">
        <v>14.4</v>
      </c>
    </row>
    <row r="63" spans="1:8">
      <c r="A63" s="61" t="s">
        <v>315</v>
      </c>
      <c r="B63" s="61"/>
      <c r="C63" s="61"/>
      <c r="D63" s="61"/>
      <c r="E63" s="122">
        <v>15.1</v>
      </c>
      <c r="F63" s="123">
        <v>15.2</v>
      </c>
      <c r="G63" s="123">
        <v>15.4</v>
      </c>
      <c r="H63" s="123">
        <v>15.2</v>
      </c>
    </row>
    <row r="64" spans="1:8">
      <c r="A64" s="98" t="s">
        <v>325</v>
      </c>
      <c r="B64" s="85"/>
      <c r="C64" s="85"/>
      <c r="D64" s="85"/>
      <c r="E64" s="122">
        <v>14.613919258117676</v>
      </c>
      <c r="F64" s="123">
        <v>14.544337272644043</v>
      </c>
      <c r="G64" s="123">
        <v>14.610519409179688</v>
      </c>
      <c r="H64" s="113">
        <f t="shared" ref="H64:H72" si="5">AVERAGE(E64:G64)</f>
        <v>14.589591979980469</v>
      </c>
    </row>
    <row r="65" spans="1:8">
      <c r="A65" s="98" t="s">
        <v>326</v>
      </c>
      <c r="B65" s="85"/>
      <c r="C65" s="85"/>
      <c r="D65" s="85"/>
      <c r="E65" s="122">
        <v>14.970376014709473</v>
      </c>
      <c r="F65" s="123">
        <v>14.902167320251465</v>
      </c>
      <c r="G65" s="123">
        <v>14.964475631713867</v>
      </c>
      <c r="H65" s="113">
        <f t="shared" si="5"/>
        <v>14.945672988891602</v>
      </c>
    </row>
    <row r="66" spans="1:8">
      <c r="A66" s="98" t="s">
        <v>327</v>
      </c>
      <c r="B66" s="85"/>
      <c r="C66" s="85"/>
      <c r="D66" s="85"/>
      <c r="E66" s="122">
        <v>15.184457778930664</v>
      </c>
      <c r="F66" s="123">
        <v>15.273150444030762</v>
      </c>
      <c r="G66" s="123">
        <v>15.250771522521973</v>
      </c>
      <c r="H66" s="113">
        <f t="shared" si="5"/>
        <v>15.236126581827799</v>
      </c>
    </row>
    <row r="67" spans="1:8">
      <c r="A67" s="98" t="s">
        <v>328</v>
      </c>
      <c r="B67" s="85"/>
      <c r="C67" s="85"/>
      <c r="D67" s="85"/>
      <c r="E67" s="122">
        <v>15.047176361083984</v>
      </c>
      <c r="F67" s="123">
        <v>15.114773750305176</v>
      </c>
      <c r="G67" s="123">
        <v>15.180623054504395</v>
      </c>
      <c r="H67" s="113">
        <f t="shared" si="5"/>
        <v>15.114191055297852</v>
      </c>
    </row>
    <row r="68" spans="1:8">
      <c r="A68" s="98" t="s">
        <v>329</v>
      </c>
      <c r="B68" s="85"/>
      <c r="E68" s="122">
        <v>14.840383529663086</v>
      </c>
      <c r="F68" s="123">
        <v>14.916571617126465</v>
      </c>
      <c r="G68" s="123">
        <v>14.954231262207031</v>
      </c>
      <c r="H68" s="113">
        <f t="shared" si="5"/>
        <v>14.903728802998861</v>
      </c>
    </row>
    <row r="69" spans="1:8">
      <c r="A69" s="98" t="s">
        <v>330</v>
      </c>
      <c r="E69" s="122">
        <v>15.199845314025879</v>
      </c>
      <c r="F69" s="123">
        <v>15.533450126647949</v>
      </c>
      <c r="G69" s="123">
        <v>15.423110961914062</v>
      </c>
      <c r="H69" s="113">
        <f t="shared" si="5"/>
        <v>15.385468800862631</v>
      </c>
    </row>
    <row r="70" spans="1:8">
      <c r="A70" s="98" t="s">
        <v>331</v>
      </c>
      <c r="B70" s="85"/>
      <c r="E70" s="122">
        <v>15.120054244995117</v>
      </c>
      <c r="F70" s="123">
        <v>15.144433975219727</v>
      </c>
      <c r="G70" s="123">
        <v>15.071084976196289</v>
      </c>
      <c r="H70" s="113">
        <f t="shared" si="5"/>
        <v>15.111857732137045</v>
      </c>
    </row>
    <row r="71" spans="1:8">
      <c r="A71" s="98" t="s">
        <v>331</v>
      </c>
      <c r="E71" s="122">
        <v>15.292695999145508</v>
      </c>
      <c r="F71" s="123">
        <v>15.627285957336426</v>
      </c>
      <c r="G71" s="123">
        <v>15.304715156555176</v>
      </c>
      <c r="H71" s="113">
        <f t="shared" si="5"/>
        <v>15.408232371012369</v>
      </c>
    </row>
    <row r="72" spans="1:8">
      <c r="A72" s="98" t="s">
        <v>332</v>
      </c>
      <c r="E72" s="122">
        <v>15.044212341308594</v>
      </c>
      <c r="F72" s="123">
        <v>15.046442985534668</v>
      </c>
      <c r="G72" s="123">
        <v>15.083253860473633</v>
      </c>
      <c r="H72" s="113">
        <f t="shared" si="5"/>
        <v>15.057969729105631</v>
      </c>
    </row>
    <row r="73" spans="1:8">
      <c r="A73" s="61"/>
      <c r="B73" s="61"/>
      <c r="C73" s="61"/>
      <c r="D73" s="61"/>
      <c r="E73" s="124"/>
      <c r="F73" s="124"/>
      <c r="G73" s="124"/>
      <c r="H73" s="124"/>
    </row>
    <row r="74" spans="1:8">
      <c r="A74" s="61"/>
      <c r="B74" s="61"/>
      <c r="C74" s="61"/>
      <c r="D74" s="61"/>
      <c r="E74" s="61"/>
      <c r="F74" s="61"/>
      <c r="G74" s="61"/>
      <c r="H74" s="61"/>
    </row>
    <row r="75" spans="1:8">
      <c r="A75" s="61"/>
      <c r="B75" s="61"/>
      <c r="C75" s="61"/>
      <c r="D75" s="61"/>
      <c r="E75" s="61"/>
      <c r="F75" s="61"/>
      <c r="G75" s="61" t="s">
        <v>271</v>
      </c>
      <c r="H75" s="125">
        <f>AVERAGE(H27:H72)</f>
        <v>14.788105218306832</v>
      </c>
    </row>
  </sheetData>
  <mergeCells count="20">
    <mergeCell ref="E26:H26"/>
    <mergeCell ref="S2:S3"/>
    <mergeCell ref="M2:M3"/>
    <mergeCell ref="N2:N3"/>
    <mergeCell ref="O2:O3"/>
    <mergeCell ref="P2:P3"/>
    <mergeCell ref="Q2:Q3"/>
    <mergeCell ref="R2:R3"/>
    <mergeCell ref="L2:L3"/>
    <mergeCell ref="F2:F3"/>
    <mergeCell ref="G2:G3"/>
    <mergeCell ref="H2:H3"/>
    <mergeCell ref="I2:I3"/>
    <mergeCell ref="J2:J3"/>
    <mergeCell ref="K2:K3"/>
    <mergeCell ref="A2:A3"/>
    <mergeCell ref="B2:B3"/>
    <mergeCell ref="C2:C3"/>
    <mergeCell ref="D2:D3"/>
    <mergeCell ref="E2:E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workbookViewId="0">
      <selection activeCell="Q5" sqref="Q5:Q21"/>
    </sheetView>
  </sheetViews>
  <sheetFormatPr baseColWidth="10" defaultRowHeight="14" x14ac:dyDescent="0"/>
  <sheetData>
    <row r="1" spans="1:26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6">
      <c r="A2" s="121" t="s">
        <v>229</v>
      </c>
      <c r="B2" s="61"/>
      <c r="C2" s="61"/>
      <c r="D2" s="61"/>
      <c r="E2" s="61"/>
      <c r="F2" s="61"/>
      <c r="G2" s="61"/>
      <c r="H2" s="121" t="s">
        <v>258</v>
      </c>
      <c r="I2" s="61"/>
      <c r="J2" s="61"/>
      <c r="K2" s="61"/>
      <c r="L2" s="61"/>
      <c r="M2" s="61"/>
      <c r="N2" s="61"/>
      <c r="O2" s="121" t="s">
        <v>298</v>
      </c>
      <c r="P2" s="61"/>
      <c r="Q2" s="61"/>
      <c r="R2" s="61"/>
      <c r="S2" s="61"/>
      <c r="T2" s="61"/>
      <c r="U2" s="61"/>
      <c r="V2" s="61"/>
    </row>
    <row r="3" spans="1:26">
      <c r="A3" s="150" t="s">
        <v>4</v>
      </c>
      <c r="B3" s="150" t="s">
        <v>117</v>
      </c>
      <c r="C3" s="150" t="s">
        <v>117</v>
      </c>
      <c r="D3" s="150" t="s">
        <v>5</v>
      </c>
      <c r="E3" s="150" t="s">
        <v>243</v>
      </c>
      <c r="F3" s="150" t="s">
        <v>244</v>
      </c>
      <c r="G3" s="61"/>
      <c r="H3" s="150" t="s">
        <v>4</v>
      </c>
      <c r="I3" s="150" t="s">
        <v>117</v>
      </c>
      <c r="J3" s="150" t="s">
        <v>117</v>
      </c>
      <c r="K3" s="150" t="s">
        <v>5</v>
      </c>
      <c r="L3" s="150" t="s">
        <v>243</v>
      </c>
      <c r="M3" s="150" t="s">
        <v>244</v>
      </c>
      <c r="N3" s="61"/>
      <c r="O3" s="150" t="s">
        <v>243</v>
      </c>
      <c r="P3" s="150" t="s">
        <v>243</v>
      </c>
      <c r="Q3" s="150" t="s">
        <v>244</v>
      </c>
      <c r="R3" s="61"/>
      <c r="S3" s="61"/>
      <c r="T3" s="61"/>
      <c r="U3" s="61"/>
      <c r="V3" s="61"/>
    </row>
    <row r="4" spans="1:26">
      <c r="A4" s="151"/>
      <c r="B4" s="151"/>
      <c r="C4" s="151"/>
      <c r="D4" s="151"/>
      <c r="E4" s="151"/>
      <c r="F4" s="151"/>
      <c r="G4" s="61"/>
      <c r="H4" s="151"/>
      <c r="I4" s="151"/>
      <c r="J4" s="151"/>
      <c r="K4" s="151"/>
      <c r="L4" s="151"/>
      <c r="M4" s="151"/>
      <c r="N4" s="61"/>
      <c r="O4" s="151"/>
      <c r="P4" s="151"/>
      <c r="Q4" s="151"/>
      <c r="R4" s="61"/>
      <c r="S4" s="61"/>
      <c r="T4" s="61"/>
      <c r="U4" s="61"/>
      <c r="V4" s="61"/>
    </row>
    <row r="5" spans="1:26">
      <c r="A5" s="40">
        <v>0</v>
      </c>
      <c r="B5" s="32">
        <v>10</v>
      </c>
      <c r="C5" s="32">
        <f>B5</f>
        <v>10</v>
      </c>
      <c r="D5" s="13">
        <f t="shared" ref="D5:D21" si="0">C5/60</f>
        <v>0.16666666666666666</v>
      </c>
      <c r="E5" s="109">
        <f>'Determination cell counts RI'!R4</f>
        <v>8.2357099824390207</v>
      </c>
      <c r="F5" s="109">
        <f>'Determination cell counts RI'!S4</f>
        <v>0.10861269151190933</v>
      </c>
      <c r="G5" s="61"/>
      <c r="H5" s="40">
        <v>0</v>
      </c>
      <c r="I5" s="32">
        <v>10</v>
      </c>
      <c r="J5" s="32">
        <f>I5</f>
        <v>10</v>
      </c>
      <c r="K5" s="13">
        <f t="shared" ref="K5:K21" si="1">J5/60</f>
        <v>0.16666666666666666</v>
      </c>
      <c r="L5" s="109">
        <f>'Determination cell count F. p'!R4</f>
        <v>6.8775772164121376</v>
      </c>
      <c r="M5" s="109">
        <f>'Determination cell count F. p'!S4</f>
        <v>7.3310300209402324E-2</v>
      </c>
      <c r="N5" s="61"/>
      <c r="O5" s="62">
        <f>POWER(10,E5)+POWER(10,L5)</f>
        <v>179615486.26889038</v>
      </c>
      <c r="P5" s="110">
        <f>LOG(O5)</f>
        <v>8.2543437783846194</v>
      </c>
      <c r="Q5" s="110">
        <f>F5+M5</f>
        <v>0.18192299172131166</v>
      </c>
      <c r="R5" s="61"/>
      <c r="S5" s="61"/>
      <c r="T5" s="61"/>
      <c r="U5" s="61"/>
      <c r="V5" s="61"/>
      <c r="W5" s="61"/>
      <c r="X5" s="61"/>
      <c r="Y5" s="61"/>
      <c r="Z5" s="61"/>
    </row>
    <row r="6" spans="1:26">
      <c r="A6" s="40">
        <v>1</v>
      </c>
      <c r="B6" s="32">
        <v>110</v>
      </c>
      <c r="C6" s="32">
        <f>C5+B6</f>
        <v>120</v>
      </c>
      <c r="D6" s="13">
        <f t="shared" si="0"/>
        <v>2</v>
      </c>
      <c r="E6" s="109">
        <f>'Determination cell counts RI'!R5</f>
        <v>8.7976653394000639</v>
      </c>
      <c r="F6" s="109">
        <f>'Determination cell counts RI'!S5</f>
        <v>0.12499793545392479</v>
      </c>
      <c r="G6" s="61"/>
      <c r="H6" s="40">
        <v>1</v>
      </c>
      <c r="I6" s="32">
        <v>110</v>
      </c>
      <c r="J6" s="32">
        <f>J5+I6</f>
        <v>120</v>
      </c>
      <c r="K6" s="13">
        <f t="shared" si="1"/>
        <v>2</v>
      </c>
      <c r="L6" s="109">
        <f>'Determination cell count F. p'!R5</f>
        <v>7.1817247553353774</v>
      </c>
      <c r="M6" s="109">
        <f>'Determination cell count F. p'!S5</f>
        <v>6.7246601847573348E-2</v>
      </c>
      <c r="N6" s="61"/>
      <c r="O6" s="62">
        <f t="shared" ref="O6:O20" si="2">POWER(10,E6)+POWER(10,L6)</f>
        <v>642770414.70588672</v>
      </c>
      <c r="P6" s="110">
        <f t="shared" ref="P6:P21" si="3">LOG(O6)</f>
        <v>8.8080558789412233</v>
      </c>
      <c r="Q6" s="110">
        <f t="shared" ref="Q6:Q21" si="4">F6+M6</f>
        <v>0.19224453730149815</v>
      </c>
      <c r="R6" s="61"/>
      <c r="S6" s="61"/>
      <c r="T6" s="61"/>
      <c r="U6" s="61"/>
      <c r="V6" s="61"/>
      <c r="W6" s="61"/>
      <c r="X6" s="61"/>
      <c r="Y6" s="61"/>
      <c r="Z6" s="61"/>
    </row>
    <row r="7" spans="1:26">
      <c r="A7" s="40">
        <v>2</v>
      </c>
      <c r="B7" s="32">
        <v>80</v>
      </c>
      <c r="C7" s="32">
        <f>C6+B7</f>
        <v>200</v>
      </c>
      <c r="D7" s="13">
        <f t="shared" si="0"/>
        <v>3.3333333333333335</v>
      </c>
      <c r="E7" s="109">
        <f>'Determination cell counts RI'!R6</f>
        <v>9.0392766120360477</v>
      </c>
      <c r="F7" s="109">
        <f>'Determination cell counts RI'!S6</f>
        <v>0.14186960699856233</v>
      </c>
      <c r="G7" s="61"/>
      <c r="H7" s="40">
        <v>2</v>
      </c>
      <c r="I7" s="32">
        <v>80</v>
      </c>
      <c r="J7" s="32">
        <f>J6+I7</f>
        <v>200</v>
      </c>
      <c r="K7" s="13">
        <f t="shared" si="1"/>
        <v>3.3333333333333335</v>
      </c>
      <c r="L7" s="109">
        <f>'Determination cell count F. p'!R6</f>
        <v>7.2851783297126023</v>
      </c>
      <c r="M7" s="109">
        <f>'Determination cell count F. p'!S6</f>
        <v>0.10532208309547268</v>
      </c>
      <c r="N7" s="61"/>
      <c r="O7" s="62">
        <f t="shared" si="2"/>
        <v>1113936519.457329</v>
      </c>
      <c r="P7" s="110">
        <f t="shared" si="3"/>
        <v>9.0468604421528553</v>
      </c>
      <c r="Q7" s="110">
        <f t="shared" si="4"/>
        <v>0.24719169009403502</v>
      </c>
      <c r="R7" s="61"/>
      <c r="S7" s="61"/>
      <c r="T7" s="61"/>
      <c r="U7" s="61"/>
      <c r="V7" s="61"/>
      <c r="W7" s="61"/>
      <c r="X7" s="61"/>
      <c r="Y7" s="61"/>
      <c r="Z7" s="61"/>
    </row>
    <row r="8" spans="1:26">
      <c r="A8" s="40">
        <v>3</v>
      </c>
      <c r="B8" s="32">
        <v>80</v>
      </c>
      <c r="C8" s="32">
        <f>C7+B8</f>
        <v>280</v>
      </c>
      <c r="D8" s="13">
        <f t="shared" si="0"/>
        <v>4.666666666666667</v>
      </c>
      <c r="E8" s="109">
        <f>'Determination cell counts RI'!R7</f>
        <v>9.255781989191318</v>
      </c>
      <c r="F8" s="109">
        <f>'Determination cell counts RI'!S7</f>
        <v>0.25213460656216558</v>
      </c>
      <c r="G8" s="61"/>
      <c r="H8" s="40">
        <v>3</v>
      </c>
      <c r="I8" s="32">
        <v>80</v>
      </c>
      <c r="J8" s="32">
        <f>J7+I8</f>
        <v>280</v>
      </c>
      <c r="K8" s="13">
        <f t="shared" si="1"/>
        <v>4.666666666666667</v>
      </c>
      <c r="L8" s="109">
        <f>'Determination cell count F. p'!R7</f>
        <v>7.0608229157533939</v>
      </c>
      <c r="M8" s="109">
        <f>'Determination cell count F. p'!S7</f>
        <v>0.27755453939368024</v>
      </c>
      <c r="N8" s="61"/>
      <c r="O8" s="62">
        <f t="shared" si="2"/>
        <v>1813616186.3747931</v>
      </c>
      <c r="P8" s="110">
        <f t="shared" si="3"/>
        <v>9.2585453831781681</v>
      </c>
      <c r="Q8" s="110">
        <f t="shared" si="4"/>
        <v>0.52968914595584582</v>
      </c>
      <c r="R8" s="61"/>
      <c r="S8" s="61"/>
      <c r="T8" s="61"/>
      <c r="U8" s="61"/>
      <c r="V8" s="61"/>
      <c r="W8" s="61"/>
      <c r="X8" s="61"/>
      <c r="Y8" s="61"/>
      <c r="Z8" s="61"/>
    </row>
    <row r="9" spans="1:26">
      <c r="A9" s="40">
        <v>4</v>
      </c>
      <c r="B9" s="32">
        <v>80</v>
      </c>
      <c r="C9" s="32">
        <f t="shared" ref="C9:C19" si="5">C8+B9</f>
        <v>360</v>
      </c>
      <c r="D9" s="13">
        <f t="shared" si="0"/>
        <v>6</v>
      </c>
      <c r="E9" s="109">
        <f>'Determination cell counts RI'!R8</f>
        <v>9.5626930408409603</v>
      </c>
      <c r="F9" s="109">
        <f>'Determination cell counts RI'!S8</f>
        <v>2.24247363646667E-2</v>
      </c>
      <c r="G9" s="61"/>
      <c r="H9" s="40">
        <v>4</v>
      </c>
      <c r="I9" s="32">
        <v>80</v>
      </c>
      <c r="J9" s="32">
        <f t="shared" ref="J9:J19" si="6">J8+I9</f>
        <v>360</v>
      </c>
      <c r="K9" s="13">
        <f t="shared" si="1"/>
        <v>6</v>
      </c>
      <c r="L9" s="109">
        <f>'Determination cell count F. p'!R8</f>
        <v>7.6124362420239899</v>
      </c>
      <c r="M9" s="109">
        <f>'Determination cell count F. p'!S8</f>
        <v>0.22460686153361487</v>
      </c>
      <c r="N9" s="61"/>
      <c r="O9" s="62">
        <f t="shared" si="2"/>
        <v>3694332002.864718</v>
      </c>
      <c r="P9" s="110">
        <f t="shared" si="3"/>
        <v>9.5675359221093714</v>
      </c>
      <c r="Q9" s="110">
        <f t="shared" si="4"/>
        <v>0.24703159789828155</v>
      </c>
      <c r="R9" s="61"/>
      <c r="S9" s="61"/>
      <c r="T9" s="61"/>
      <c r="U9" s="61"/>
      <c r="V9" s="61"/>
      <c r="W9" s="61"/>
      <c r="X9" s="61"/>
      <c r="Y9" s="61"/>
      <c r="Z9" s="61"/>
    </row>
    <row r="10" spans="1:26">
      <c r="A10" s="40">
        <v>5</v>
      </c>
      <c r="B10" s="32">
        <v>80</v>
      </c>
      <c r="C10" s="32">
        <f t="shared" si="5"/>
        <v>440</v>
      </c>
      <c r="D10" s="13">
        <f t="shared" si="0"/>
        <v>7.333333333333333</v>
      </c>
      <c r="E10" s="109">
        <f>'Determination cell counts RI'!R9</f>
        <v>9.5387834025175415</v>
      </c>
      <c r="F10" s="109">
        <f>'Determination cell counts RI'!S9</f>
        <v>8.6882547067409971E-2</v>
      </c>
      <c r="G10" s="61"/>
      <c r="H10" s="40">
        <v>5</v>
      </c>
      <c r="I10" s="32">
        <v>80</v>
      </c>
      <c r="J10" s="32">
        <f t="shared" si="6"/>
        <v>440</v>
      </c>
      <c r="K10" s="13">
        <f t="shared" si="1"/>
        <v>7.333333333333333</v>
      </c>
      <c r="L10" s="109">
        <f>'Determination cell count F. p'!R9</f>
        <v>7.573059682310892</v>
      </c>
      <c r="M10" s="109">
        <f>'Determination cell count F. p'!S9</f>
        <v>0.12047847117520998</v>
      </c>
      <c r="N10" s="61"/>
      <c r="O10" s="62">
        <f t="shared" si="2"/>
        <v>3495085091.0088201</v>
      </c>
      <c r="P10" s="110">
        <f t="shared" si="3"/>
        <v>9.5434577535025138</v>
      </c>
      <c r="Q10" s="110">
        <f t="shared" si="4"/>
        <v>0.20736101824261993</v>
      </c>
      <c r="R10" s="61"/>
      <c r="S10" s="61"/>
      <c r="T10" s="61"/>
      <c r="U10" s="61"/>
      <c r="V10" s="61"/>
      <c r="W10" s="61"/>
      <c r="X10" s="61"/>
      <c r="Y10" s="61"/>
      <c r="Z10" s="61"/>
    </row>
    <row r="11" spans="1:26">
      <c r="A11" s="40">
        <v>6</v>
      </c>
      <c r="B11" s="32">
        <v>80</v>
      </c>
      <c r="C11" s="32">
        <f t="shared" si="5"/>
        <v>520</v>
      </c>
      <c r="D11" s="13">
        <f t="shared" si="0"/>
        <v>8.6666666666666661</v>
      </c>
      <c r="E11" s="109">
        <f>'Determination cell counts RI'!R10</f>
        <v>9.628271461780642</v>
      </c>
      <c r="F11" s="109">
        <f>'Determination cell counts RI'!S10</f>
        <v>6.99825025767946E-2</v>
      </c>
      <c r="G11" s="61"/>
      <c r="H11" s="40">
        <v>6</v>
      </c>
      <c r="I11" s="32">
        <v>80</v>
      </c>
      <c r="J11" s="32">
        <f t="shared" si="6"/>
        <v>520</v>
      </c>
      <c r="K11" s="13">
        <f t="shared" si="1"/>
        <v>8.6666666666666661</v>
      </c>
      <c r="L11" s="109">
        <f>'Determination cell count F. p'!R10</f>
        <v>7.632984774170291</v>
      </c>
      <c r="M11" s="109">
        <f>'Determination cell count F. p'!S10</f>
        <v>0.15859377629691737</v>
      </c>
      <c r="N11" s="61"/>
      <c r="O11" s="62">
        <f t="shared" si="2"/>
        <v>4291802749.3334169</v>
      </c>
      <c r="P11" s="110">
        <f t="shared" si="3"/>
        <v>9.6326397536376707</v>
      </c>
      <c r="Q11" s="110">
        <f t="shared" si="4"/>
        <v>0.22857627887371196</v>
      </c>
      <c r="R11" s="61"/>
      <c r="S11" s="61"/>
      <c r="T11" s="61"/>
      <c r="U11" s="61"/>
      <c r="V11" s="61"/>
      <c r="W11" s="61"/>
      <c r="X11" s="61"/>
      <c r="Y11" s="61"/>
      <c r="Z11" s="61"/>
    </row>
    <row r="12" spans="1:26">
      <c r="A12" s="40">
        <v>7</v>
      </c>
      <c r="B12" s="32">
        <v>80</v>
      </c>
      <c r="C12" s="32">
        <f t="shared" si="5"/>
        <v>600</v>
      </c>
      <c r="D12" s="13">
        <f t="shared" si="0"/>
        <v>10</v>
      </c>
      <c r="E12" s="109">
        <f>'Determination cell counts RI'!R11</f>
        <v>9.744843222112884</v>
      </c>
      <c r="F12" s="109">
        <f>'Determination cell counts RI'!S11</f>
        <v>6.6871431902726708E-2</v>
      </c>
      <c r="G12" s="61"/>
      <c r="H12" s="40">
        <v>7</v>
      </c>
      <c r="I12" s="32">
        <v>80</v>
      </c>
      <c r="J12" s="32">
        <f t="shared" si="6"/>
        <v>600</v>
      </c>
      <c r="K12" s="13">
        <f t="shared" si="1"/>
        <v>10</v>
      </c>
      <c r="L12" s="109">
        <f>'Determination cell count F. p'!R11</f>
        <v>7.7708331999972184</v>
      </c>
      <c r="M12" s="109">
        <f>'Determination cell count F. p'!S11</f>
        <v>0.2213462258521682</v>
      </c>
      <c r="N12" s="61"/>
      <c r="O12" s="62">
        <f t="shared" si="2"/>
        <v>5616033595.9437895</v>
      </c>
      <c r="P12" s="110">
        <f t="shared" si="3"/>
        <v>9.7494296971433592</v>
      </c>
      <c r="Q12" s="110">
        <f t="shared" si="4"/>
        <v>0.28821765775489494</v>
      </c>
      <c r="R12" s="61"/>
      <c r="S12" s="61"/>
      <c r="T12" s="61"/>
      <c r="U12" s="61"/>
      <c r="V12" s="61"/>
      <c r="W12" s="61"/>
      <c r="X12" s="61"/>
      <c r="Y12" s="61"/>
      <c r="Z12" s="61"/>
    </row>
    <row r="13" spans="1:26">
      <c r="A13" s="40">
        <v>8</v>
      </c>
      <c r="B13" s="32">
        <v>80</v>
      </c>
      <c r="C13" s="32">
        <f t="shared" si="5"/>
        <v>680</v>
      </c>
      <c r="D13" s="13">
        <f t="shared" si="0"/>
        <v>11.333333333333334</v>
      </c>
      <c r="E13" s="109">
        <f>'Determination cell counts RI'!R12</f>
        <v>9.7234977017168074</v>
      </c>
      <c r="F13" s="109">
        <f>'Determination cell counts RI'!S12</f>
        <v>3.1362442577605384E-2</v>
      </c>
      <c r="G13" s="61"/>
      <c r="H13" s="40">
        <v>8</v>
      </c>
      <c r="I13" s="32">
        <v>80</v>
      </c>
      <c r="J13" s="32">
        <f t="shared" si="6"/>
        <v>680</v>
      </c>
      <c r="K13" s="13">
        <f t="shared" si="1"/>
        <v>11.333333333333334</v>
      </c>
      <c r="L13" s="109">
        <f>'Determination cell count F. p'!R12</f>
        <v>7.8401478858868172</v>
      </c>
      <c r="M13" s="109">
        <f>'Determination cell count F. p'!S12</f>
        <v>9.9444472088491262E-2</v>
      </c>
      <c r="N13" s="61"/>
      <c r="O13" s="62">
        <f t="shared" si="2"/>
        <v>5359718633.9918356</v>
      </c>
      <c r="P13" s="110">
        <f t="shared" si="3"/>
        <v>9.7291419913882731</v>
      </c>
      <c r="Q13" s="110">
        <f t="shared" si="4"/>
        <v>0.13080691466609665</v>
      </c>
      <c r="R13" s="61"/>
      <c r="S13" s="61"/>
      <c r="T13" s="61"/>
      <c r="U13" s="61"/>
      <c r="V13" s="61"/>
      <c r="W13" s="61"/>
      <c r="X13" s="61"/>
      <c r="Y13" s="61"/>
      <c r="Z13" s="61"/>
    </row>
    <row r="14" spans="1:26">
      <c r="A14" s="40">
        <v>9</v>
      </c>
      <c r="B14" s="32">
        <v>80</v>
      </c>
      <c r="C14" s="32">
        <f t="shared" si="5"/>
        <v>760</v>
      </c>
      <c r="D14" s="13">
        <f t="shared" si="0"/>
        <v>12.666666666666666</v>
      </c>
      <c r="E14" s="109">
        <f>'Determination cell counts RI'!R13</f>
        <v>9.587620169739397</v>
      </c>
      <c r="F14" s="109">
        <f>'Determination cell counts RI'!S13</f>
        <v>5.2090895190066447E-2</v>
      </c>
      <c r="G14" s="61"/>
      <c r="H14" s="40">
        <v>9</v>
      </c>
      <c r="I14" s="32">
        <v>80</v>
      </c>
      <c r="J14" s="32">
        <f t="shared" si="6"/>
        <v>760</v>
      </c>
      <c r="K14" s="13">
        <f t="shared" si="1"/>
        <v>12.666666666666666</v>
      </c>
      <c r="L14" s="109">
        <f>'Determination cell count F. p'!R13</f>
        <v>7.7671495380479767</v>
      </c>
      <c r="M14" s="109">
        <f>'Determination cell count F. p'!S13</f>
        <v>7.6120015152644008E-3</v>
      </c>
      <c r="N14" s="61"/>
      <c r="O14" s="62">
        <f t="shared" si="2"/>
        <v>3927690155.0536718</v>
      </c>
      <c r="P14" s="110">
        <f t="shared" si="3"/>
        <v>9.5941372201388457</v>
      </c>
      <c r="Q14" s="110">
        <f t="shared" si="4"/>
        <v>5.9702896705330848E-2</v>
      </c>
      <c r="R14" s="61"/>
      <c r="S14" s="61"/>
      <c r="T14" s="61"/>
      <c r="U14" s="61"/>
      <c r="V14" s="61"/>
      <c r="W14" s="61"/>
      <c r="X14" s="61"/>
      <c r="Y14" s="61"/>
      <c r="Z14" s="61"/>
    </row>
    <row r="15" spans="1:26">
      <c r="A15" s="40">
        <v>10</v>
      </c>
      <c r="B15" s="32">
        <v>80</v>
      </c>
      <c r="C15" s="32">
        <f t="shared" si="5"/>
        <v>840</v>
      </c>
      <c r="D15" s="13">
        <f t="shared" si="0"/>
        <v>14</v>
      </c>
      <c r="E15" s="109">
        <f>'Determination cell counts RI'!R14</f>
        <v>9.4402094001613257</v>
      </c>
      <c r="F15" s="109">
        <f>'Determination cell counts RI'!S14</f>
        <v>3.9965999542505702E-2</v>
      </c>
      <c r="G15" s="61"/>
      <c r="H15" s="40">
        <v>10</v>
      </c>
      <c r="I15" s="32">
        <v>80</v>
      </c>
      <c r="J15" s="32">
        <f t="shared" si="6"/>
        <v>840</v>
      </c>
      <c r="K15" s="13">
        <f t="shared" si="1"/>
        <v>14</v>
      </c>
      <c r="L15" s="109">
        <f>'Determination cell count F. p'!R14</f>
        <v>7.7618262772865707</v>
      </c>
      <c r="M15" s="109">
        <f>'Determination cell count F. p'!S14</f>
        <v>4.2169145131876092E-2</v>
      </c>
      <c r="N15" s="61"/>
      <c r="O15" s="62">
        <f t="shared" si="2"/>
        <v>2813343491.9752021</v>
      </c>
      <c r="P15" s="110">
        <f t="shared" si="3"/>
        <v>9.4492227600934839</v>
      </c>
      <c r="Q15" s="110">
        <f t="shared" si="4"/>
        <v>8.2135144674381794E-2</v>
      </c>
      <c r="R15" s="61"/>
      <c r="S15" s="61"/>
      <c r="T15" s="61"/>
      <c r="U15" s="61"/>
      <c r="V15" s="61"/>
      <c r="W15" s="61"/>
      <c r="X15" s="61"/>
      <c r="Y15" s="61"/>
      <c r="Z15" s="61"/>
    </row>
    <row r="16" spans="1:26">
      <c r="A16" s="40">
        <v>11</v>
      </c>
      <c r="B16" s="32">
        <v>80</v>
      </c>
      <c r="C16" s="32">
        <f t="shared" si="5"/>
        <v>920</v>
      </c>
      <c r="D16" s="13">
        <f t="shared" si="0"/>
        <v>15.333333333333334</v>
      </c>
      <c r="E16" s="109">
        <f>'Determination cell counts RI'!R15</f>
        <v>9.3666037457577378</v>
      </c>
      <c r="F16" s="109">
        <f>'Determination cell counts RI'!S15</f>
        <v>3.4991361163220165E-2</v>
      </c>
      <c r="G16" s="61"/>
      <c r="H16" s="40">
        <v>11</v>
      </c>
      <c r="I16" s="32">
        <v>80</v>
      </c>
      <c r="J16" s="32">
        <f t="shared" si="6"/>
        <v>920</v>
      </c>
      <c r="K16" s="13">
        <f t="shared" si="1"/>
        <v>15.333333333333334</v>
      </c>
      <c r="L16" s="109">
        <f>'Determination cell count F. p'!R15</f>
        <v>7.7350083225042949</v>
      </c>
      <c r="M16" s="109">
        <f>'Determination cell count F. p'!S15</f>
        <v>4.0221813774265452E-2</v>
      </c>
      <c r="N16" s="61"/>
      <c r="O16" s="62">
        <f t="shared" si="2"/>
        <v>2380294128.9565191</v>
      </c>
      <c r="P16" s="110">
        <f t="shared" si="3"/>
        <v>9.376630625413755</v>
      </c>
      <c r="Q16" s="110">
        <f t="shared" si="4"/>
        <v>7.5213174937485611E-2</v>
      </c>
      <c r="R16" s="61"/>
      <c r="S16" s="61"/>
      <c r="T16" s="61"/>
      <c r="U16" s="61"/>
      <c r="V16" s="61"/>
      <c r="W16" s="61"/>
      <c r="X16" s="61"/>
      <c r="Y16" s="61"/>
      <c r="Z16" s="61"/>
    </row>
    <row r="17" spans="1:26">
      <c r="A17" s="40">
        <v>12</v>
      </c>
      <c r="B17" s="32">
        <v>80</v>
      </c>
      <c r="C17" s="32">
        <f t="shared" si="5"/>
        <v>1000</v>
      </c>
      <c r="D17" s="13">
        <f t="shared" si="0"/>
        <v>16.666666666666668</v>
      </c>
      <c r="E17" s="109">
        <f>'Determination cell counts RI'!R16</f>
        <v>9.1881828379454369</v>
      </c>
      <c r="F17" s="109">
        <f>'Determination cell counts RI'!S16</f>
        <v>0.111477109716988</v>
      </c>
      <c r="G17" s="61"/>
      <c r="H17" s="40">
        <v>12</v>
      </c>
      <c r="I17" s="32">
        <v>80</v>
      </c>
      <c r="J17" s="32">
        <f t="shared" si="6"/>
        <v>1000</v>
      </c>
      <c r="K17" s="13">
        <f t="shared" si="1"/>
        <v>16.666666666666668</v>
      </c>
      <c r="L17" s="109">
        <f>'Determination cell count F. p'!R16</f>
        <v>7.6893286352802956</v>
      </c>
      <c r="M17" s="109">
        <f>'Determination cell count F. p'!S16</f>
        <v>6.5947067696837544E-2</v>
      </c>
      <c r="N17" s="61"/>
      <c r="O17" s="62">
        <f t="shared" si="2"/>
        <v>1591251872.1489875</v>
      </c>
      <c r="P17" s="110">
        <f t="shared" si="3"/>
        <v>9.2017389276207044</v>
      </c>
      <c r="Q17" s="110">
        <f t="shared" si="4"/>
        <v>0.17742417741382555</v>
      </c>
      <c r="R17" s="61"/>
      <c r="S17" s="61"/>
      <c r="T17" s="61"/>
      <c r="U17" s="61"/>
      <c r="V17" s="61"/>
      <c r="W17" s="61"/>
      <c r="X17" s="61"/>
      <c r="Y17" s="61"/>
      <c r="Z17" s="61"/>
    </row>
    <row r="18" spans="1:26">
      <c r="A18" s="40">
        <v>13</v>
      </c>
      <c r="B18" s="32">
        <v>80</v>
      </c>
      <c r="C18" s="32">
        <f t="shared" si="5"/>
        <v>1080</v>
      </c>
      <c r="D18" s="13">
        <f t="shared" si="0"/>
        <v>18</v>
      </c>
      <c r="E18" s="109">
        <f>'Determination cell counts RI'!R17</f>
        <v>9.2142608996802142</v>
      </c>
      <c r="F18" s="109">
        <f>'Determination cell counts RI'!S17</f>
        <v>1.925774021795101E-2</v>
      </c>
      <c r="G18" s="61"/>
      <c r="H18" s="40">
        <v>13</v>
      </c>
      <c r="I18" s="32">
        <v>80</v>
      </c>
      <c r="J18" s="32">
        <f t="shared" si="6"/>
        <v>1080</v>
      </c>
      <c r="K18" s="13">
        <f t="shared" si="1"/>
        <v>18</v>
      </c>
      <c r="L18" s="109">
        <f>'Determination cell count F. p'!R17</f>
        <v>7.7272612754769634</v>
      </c>
      <c r="M18" s="109">
        <f>'Determination cell count F. p'!S17</f>
        <v>1.1358638897263382E-2</v>
      </c>
      <c r="N18" s="61"/>
      <c r="O18" s="62">
        <f t="shared" si="2"/>
        <v>1691165709.1922851</v>
      </c>
      <c r="P18" s="110">
        <f t="shared" si="3"/>
        <v>9.2281861641097844</v>
      </c>
      <c r="Q18" s="110">
        <f t="shared" si="4"/>
        <v>3.0616379115214393E-2</v>
      </c>
      <c r="R18" s="61"/>
      <c r="S18" s="61"/>
      <c r="T18" s="61"/>
      <c r="U18" s="61"/>
      <c r="V18" s="61"/>
      <c r="W18" s="61"/>
      <c r="X18" s="61"/>
      <c r="Y18" s="61"/>
      <c r="Z18" s="61"/>
    </row>
    <row r="19" spans="1:26">
      <c r="A19" s="40">
        <v>14</v>
      </c>
      <c r="B19" s="32">
        <v>360</v>
      </c>
      <c r="C19" s="32">
        <f t="shared" si="5"/>
        <v>1440</v>
      </c>
      <c r="D19" s="13">
        <f t="shared" si="0"/>
        <v>24</v>
      </c>
      <c r="E19" s="109">
        <f>'Determination cell counts RI'!R18</f>
        <v>8.9194659758893167</v>
      </c>
      <c r="F19" s="109">
        <f>'Determination cell counts RI'!S18</f>
        <v>3.883587750551263E-2</v>
      </c>
      <c r="G19" s="61"/>
      <c r="H19" s="40">
        <v>14</v>
      </c>
      <c r="I19" s="32">
        <v>360</v>
      </c>
      <c r="J19" s="32">
        <f t="shared" si="6"/>
        <v>1440</v>
      </c>
      <c r="K19" s="13">
        <f t="shared" si="1"/>
        <v>24</v>
      </c>
      <c r="L19" s="109">
        <f>'Determination cell count F. p'!R18</f>
        <v>7.4939370282742184</v>
      </c>
      <c r="M19" s="109">
        <f>'Determination cell count F. p'!S18</f>
        <v>5.1411037887972515E-2</v>
      </c>
      <c r="N19" s="61"/>
      <c r="O19" s="62">
        <f t="shared" si="2"/>
        <v>861926006.8688668</v>
      </c>
      <c r="P19" s="110">
        <f t="shared" si="3"/>
        <v>8.9354699848643442</v>
      </c>
      <c r="Q19" s="110">
        <f t="shared" si="4"/>
        <v>9.0246915393485144E-2</v>
      </c>
      <c r="R19" s="61"/>
      <c r="S19" s="61"/>
      <c r="T19" s="61"/>
      <c r="U19" s="61"/>
      <c r="V19" s="61"/>
      <c r="W19" s="61"/>
      <c r="X19" s="61"/>
      <c r="Y19" s="61"/>
      <c r="Z19" s="61"/>
    </row>
    <row r="20" spans="1:26">
      <c r="A20" s="40">
        <v>15</v>
      </c>
      <c r="B20" s="32">
        <v>360</v>
      </c>
      <c r="C20" s="32">
        <f>C19+B20</f>
        <v>1800</v>
      </c>
      <c r="D20" s="13">
        <f t="shared" si="0"/>
        <v>30</v>
      </c>
      <c r="E20" s="109">
        <f>'Determination cell counts RI'!R19</f>
        <v>8.8366735206770688</v>
      </c>
      <c r="F20" s="109">
        <f>'Determination cell counts RI'!S19</f>
        <v>3.9261989744888794E-2</v>
      </c>
      <c r="G20" s="61"/>
      <c r="H20" s="40">
        <v>15</v>
      </c>
      <c r="I20" s="32">
        <v>360</v>
      </c>
      <c r="J20" s="32">
        <f>J19+I20</f>
        <v>1800</v>
      </c>
      <c r="K20" s="13">
        <f t="shared" si="1"/>
        <v>30</v>
      </c>
      <c r="L20" s="109">
        <f>'Determination cell count F. p'!R19</f>
        <v>7.5965035990987069</v>
      </c>
      <c r="M20" s="109">
        <f>'Determination cell count F. p'!S19</f>
        <v>2.3113777344079357E-2</v>
      </c>
      <c r="N20" s="61"/>
      <c r="O20" s="62">
        <f t="shared" si="2"/>
        <v>726043630.07172251</v>
      </c>
      <c r="P20" s="110">
        <f t="shared" si="3"/>
        <v>8.8609627195018206</v>
      </c>
      <c r="Q20" s="110">
        <f t="shared" si="4"/>
        <v>6.2375767088968151E-2</v>
      </c>
      <c r="R20" s="61"/>
      <c r="S20" s="61"/>
      <c r="T20" s="61"/>
      <c r="U20" s="61"/>
      <c r="V20" s="61"/>
      <c r="W20" s="61"/>
      <c r="X20" s="61"/>
      <c r="Y20" s="61"/>
      <c r="Z20" s="61"/>
    </row>
    <row r="21" spans="1:26">
      <c r="A21" s="40">
        <v>16</v>
      </c>
      <c r="B21" s="32">
        <v>1080</v>
      </c>
      <c r="C21" s="32">
        <f>C20+B21</f>
        <v>2880</v>
      </c>
      <c r="D21" s="13">
        <f t="shared" si="0"/>
        <v>48</v>
      </c>
      <c r="E21" s="109">
        <f>'Determination cell counts RI'!R20</f>
        <v>8.4280422458373305</v>
      </c>
      <c r="F21" s="109">
        <f>'Determination cell counts RI'!S20</f>
        <v>5.4540519253765081E-2</v>
      </c>
      <c r="G21" s="61"/>
      <c r="H21" s="40">
        <v>16</v>
      </c>
      <c r="I21" s="32">
        <v>1080</v>
      </c>
      <c r="J21" s="32">
        <f>J20+I21</f>
        <v>2880</v>
      </c>
      <c r="K21" s="13">
        <f t="shared" si="1"/>
        <v>48</v>
      </c>
      <c r="L21" s="109">
        <f>'Determination cell count F. p'!R20</f>
        <v>6.8478408067767358</v>
      </c>
      <c r="M21" s="109">
        <f>'Determination cell count F. p'!S20</f>
        <v>0.12113582366034786</v>
      </c>
      <c r="N21" s="61"/>
      <c r="O21" s="62">
        <f>POWER(10,E21)+POWER(10,L21)</f>
        <v>274987243.33038652</v>
      </c>
      <c r="P21" s="110">
        <f t="shared" si="3"/>
        <v>8.4393125473585435</v>
      </c>
      <c r="Q21" s="110">
        <f t="shared" si="4"/>
        <v>0.17567634291411294</v>
      </c>
      <c r="R21" s="61"/>
      <c r="S21" s="61"/>
      <c r="T21" s="61"/>
      <c r="U21" s="61"/>
      <c r="V21" s="61"/>
      <c r="W21" s="61"/>
      <c r="X21" s="61"/>
      <c r="Y21" s="61"/>
      <c r="Z21" s="61"/>
    </row>
    <row r="22" spans="1:26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spans="1:2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</row>
    <row r="24" spans="1:26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</row>
    <row r="25" spans="1:26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</row>
    <row r="26" spans="1:26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</row>
    <row r="27" spans="1:26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</row>
    <row r="28" spans="1:26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</row>
    <row r="29" spans="1:26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</row>
    <row r="30" spans="1:26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</row>
    <row r="31" spans="1:26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</row>
    <row r="32" spans="1:26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</row>
    <row r="33" spans="1:26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</row>
    <row r="34" spans="1:26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</row>
    <row r="35" spans="1:26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</row>
    <row r="36" spans="1:26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</row>
    <row r="37" spans="1:26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</row>
    <row r="38" spans="1:26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</row>
    <row r="39" spans="1:26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</row>
    <row r="40" spans="1:26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</row>
    <row r="41" spans="1:26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</row>
    <row r="42" spans="1:26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</row>
    <row r="43" spans="1:26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spans="1:26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spans="1:26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spans="1:26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spans="1:26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spans="1:26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spans="1:26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</sheetData>
  <mergeCells count="15">
    <mergeCell ref="O3:O4"/>
    <mergeCell ref="P3:P4"/>
    <mergeCell ref="Q3:Q4"/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K3:K4"/>
    <mergeCell ref="L3:L4"/>
    <mergeCell ref="M3:M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Fermentation</vt:lpstr>
      <vt:lpstr>Calculation</vt:lpstr>
      <vt:lpstr>Plate Count</vt:lpstr>
      <vt:lpstr>Flow cytometer</vt:lpstr>
      <vt:lpstr>Calibration R. intestinalis </vt:lpstr>
      <vt:lpstr>Calibration F. prausnitzii</vt:lpstr>
      <vt:lpstr>Determination cell counts RI</vt:lpstr>
      <vt:lpstr>Determination cell count F. p</vt:lpstr>
      <vt:lpstr>Total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2016-04-13T15:26:16Z</dcterms:modified>
</cp:coreProperties>
</file>