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2" activeTab="23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 F. prausnitzii" sheetId="27" r:id="rId7"/>
    <sheet name="Determination cell counts FP" sheetId="28" r:id="rId8"/>
    <sheet name="CalibrationB. hydrogenotrophica" sheetId="29" r:id="rId9"/>
    <sheet name="Determination cell counts BH" sheetId="30" r:id="rId10"/>
    <sheet name="Total cell count" sheetId="31" r:id="rId11"/>
    <sheet name="OD600nm" sheetId="4" r:id="rId12"/>
    <sheet name="CDM" sheetId="5" r:id="rId13"/>
    <sheet name="H2" sheetId="17" r:id="rId14"/>
    <sheet name="CO2" sheetId="7" r:id="rId15"/>
    <sheet name="Metabolites" sheetId="8" r:id="rId16"/>
    <sheet name="D-Fructose" sheetId="19" r:id="rId17"/>
    <sheet name="Formic acid" sheetId="18" r:id="rId18"/>
    <sheet name="Acetic acid" sheetId="15" r:id="rId19"/>
    <sheet name="Propionic acid" sheetId="20" r:id="rId20"/>
    <sheet name="Butyric acid" sheetId="21" r:id="rId21"/>
    <sheet name="Lactic acid" sheetId="14" r:id="rId22"/>
    <sheet name="Ethanol" sheetId="16" r:id="rId23"/>
    <sheet name="Graph" sheetId="13" r:id="rId24"/>
    <sheet name="Graph (2)" sheetId="24" r:id="rId25"/>
    <sheet name="Carbon recovery" sheetId="23" r:id="rId26"/>
  </sheets>
  <externalReferences>
    <externalReference r:id="rId27"/>
  </externalReferences>
  <definedNames>
    <definedName name="_2012_05_10_FPRAU_fruc1" localSheetId="14">'CO2'!$I$5:$I$293</definedName>
    <definedName name="_2012_06_08_BIF_REC_OLI_1" localSheetId="14">'CO2'!$N$5:$N$201</definedName>
    <definedName name="_2012_06_08_BIF_REC_OLI_1" localSheetId="13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30" l="1"/>
  <c r="H65" i="30"/>
  <c r="H64" i="30"/>
  <c r="H63" i="30"/>
  <c r="H62" i="30"/>
  <c r="H61" i="30"/>
  <c r="H60" i="30"/>
  <c r="H59" i="30"/>
  <c r="H58" i="30"/>
  <c r="H57" i="30"/>
  <c r="H56" i="30"/>
  <c r="H55" i="30"/>
  <c r="H81" i="28"/>
  <c r="H75" i="28"/>
  <c r="H74" i="28"/>
  <c r="H73" i="28"/>
  <c r="H72" i="28"/>
  <c r="H71" i="28"/>
  <c r="H73" i="26"/>
  <c r="H70" i="26"/>
  <c r="H69" i="26"/>
  <c r="H68" i="26"/>
  <c r="H67" i="26"/>
  <c r="H66" i="26"/>
  <c r="H65" i="26"/>
  <c r="H64" i="26"/>
  <c r="C25" i="30"/>
  <c r="H53" i="30"/>
  <c r="H51" i="30"/>
  <c r="H52" i="30"/>
  <c r="H54" i="30"/>
  <c r="H5" i="30"/>
  <c r="I5" i="30"/>
  <c r="J5" i="30"/>
  <c r="H6" i="30"/>
  <c r="I6" i="30"/>
  <c r="J6" i="30"/>
  <c r="H7" i="30"/>
  <c r="I7" i="30"/>
  <c r="J7" i="30"/>
  <c r="H8" i="30"/>
  <c r="I8" i="30"/>
  <c r="J8" i="30"/>
  <c r="H9" i="30"/>
  <c r="I9" i="30"/>
  <c r="J9" i="30"/>
  <c r="H10" i="30"/>
  <c r="I10" i="30"/>
  <c r="J10" i="30"/>
  <c r="H11" i="30"/>
  <c r="I11" i="30"/>
  <c r="J11" i="30"/>
  <c r="H12" i="30"/>
  <c r="I12" i="30"/>
  <c r="J12" i="30"/>
  <c r="H13" i="30"/>
  <c r="I13" i="30"/>
  <c r="J13" i="30"/>
  <c r="H14" i="30"/>
  <c r="I14" i="30"/>
  <c r="J14" i="30"/>
  <c r="H15" i="30"/>
  <c r="I15" i="30"/>
  <c r="J15" i="30"/>
  <c r="H16" i="30"/>
  <c r="I16" i="30"/>
  <c r="J16" i="30"/>
  <c r="H17" i="30"/>
  <c r="I17" i="30"/>
  <c r="J17" i="30"/>
  <c r="H18" i="30"/>
  <c r="I18" i="30"/>
  <c r="J18" i="30"/>
  <c r="H19" i="30"/>
  <c r="I19" i="30"/>
  <c r="J19" i="30"/>
  <c r="H20" i="30"/>
  <c r="I20" i="30"/>
  <c r="J20" i="30"/>
  <c r="I4" i="30"/>
  <c r="J4" i="30"/>
  <c r="H4" i="30"/>
  <c r="H68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9" i="28"/>
  <c r="H70" i="28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I4" i="28"/>
  <c r="J4" i="28"/>
  <c r="H4" i="28"/>
  <c r="C28" i="28"/>
  <c r="C25" i="26"/>
  <c r="H61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2" i="26"/>
  <c r="H63" i="26"/>
  <c r="I4" i="26"/>
  <c r="J4" i="26"/>
  <c r="I5" i="26"/>
  <c r="J5" i="26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4" i="26"/>
  <c r="G12" i="21"/>
  <c r="C24" i="30"/>
  <c r="K4" i="30"/>
  <c r="K5" i="30"/>
  <c r="L5" i="30"/>
  <c r="M5" i="30"/>
  <c r="O5" i="30"/>
  <c r="S5" i="30"/>
  <c r="M6" i="31"/>
  <c r="K6" i="30"/>
  <c r="L6" i="30"/>
  <c r="M6" i="30"/>
  <c r="O6" i="30"/>
  <c r="S6" i="30"/>
  <c r="M7" i="31"/>
  <c r="K7" i="30"/>
  <c r="L7" i="30"/>
  <c r="M7" i="30"/>
  <c r="O7" i="30"/>
  <c r="S7" i="30"/>
  <c r="M8" i="31"/>
  <c r="K8" i="30"/>
  <c r="L8" i="30"/>
  <c r="M8" i="30"/>
  <c r="O8" i="30"/>
  <c r="S8" i="30"/>
  <c r="M9" i="31"/>
  <c r="K9" i="30"/>
  <c r="L9" i="30"/>
  <c r="M9" i="30"/>
  <c r="O9" i="30"/>
  <c r="S9" i="30"/>
  <c r="M10" i="31"/>
  <c r="B25" i="30"/>
  <c r="B24" i="30"/>
  <c r="K10" i="30"/>
  <c r="L10" i="30"/>
  <c r="M10" i="30"/>
  <c r="O10" i="30"/>
  <c r="S10" i="30"/>
  <c r="M11" i="31"/>
  <c r="K11" i="30"/>
  <c r="L11" i="30"/>
  <c r="M11" i="30"/>
  <c r="O11" i="30"/>
  <c r="S11" i="30"/>
  <c r="M12" i="31"/>
  <c r="K12" i="30"/>
  <c r="L12" i="30"/>
  <c r="M12" i="30"/>
  <c r="O12" i="30"/>
  <c r="S12" i="30"/>
  <c r="M13" i="31"/>
  <c r="K13" i="30"/>
  <c r="L13" i="30"/>
  <c r="M13" i="30"/>
  <c r="O13" i="30"/>
  <c r="S13" i="30"/>
  <c r="M14" i="31"/>
  <c r="K14" i="30"/>
  <c r="L14" i="30"/>
  <c r="M14" i="30"/>
  <c r="O14" i="30"/>
  <c r="S14" i="30"/>
  <c r="M15" i="31"/>
  <c r="K15" i="30"/>
  <c r="L15" i="30"/>
  <c r="M15" i="30"/>
  <c r="O15" i="30"/>
  <c r="S15" i="30"/>
  <c r="M16" i="31"/>
  <c r="K16" i="30"/>
  <c r="L16" i="30"/>
  <c r="M16" i="30"/>
  <c r="O16" i="30"/>
  <c r="S16" i="30"/>
  <c r="M17" i="31"/>
  <c r="K17" i="30"/>
  <c r="L17" i="30"/>
  <c r="M17" i="30"/>
  <c r="O17" i="30"/>
  <c r="S17" i="30"/>
  <c r="M18" i="31"/>
  <c r="K18" i="30"/>
  <c r="L18" i="30"/>
  <c r="M18" i="30"/>
  <c r="O18" i="30"/>
  <c r="S18" i="30"/>
  <c r="M19" i="31"/>
  <c r="K19" i="30"/>
  <c r="L19" i="30"/>
  <c r="M19" i="30"/>
  <c r="O19" i="30"/>
  <c r="S19" i="30"/>
  <c r="M20" i="31"/>
  <c r="K20" i="30"/>
  <c r="L20" i="30"/>
  <c r="M20" i="30"/>
  <c r="O20" i="30"/>
  <c r="S20" i="30"/>
  <c r="M21" i="31"/>
  <c r="L4" i="30"/>
  <c r="M4" i="30"/>
  <c r="O4" i="30"/>
  <c r="S4" i="30"/>
  <c r="M5" i="31"/>
  <c r="P5" i="30"/>
  <c r="R5" i="30"/>
  <c r="L6" i="31"/>
  <c r="P6" i="30"/>
  <c r="R6" i="30"/>
  <c r="L7" i="31"/>
  <c r="P7" i="30"/>
  <c r="R7" i="30"/>
  <c r="L8" i="31"/>
  <c r="P8" i="30"/>
  <c r="R8" i="30"/>
  <c r="L9" i="31"/>
  <c r="P9" i="30"/>
  <c r="R9" i="30"/>
  <c r="L10" i="31"/>
  <c r="P10" i="30"/>
  <c r="R10" i="30"/>
  <c r="L11" i="31"/>
  <c r="P11" i="30"/>
  <c r="R11" i="30"/>
  <c r="L12" i="31"/>
  <c r="P12" i="30"/>
  <c r="R12" i="30"/>
  <c r="L13" i="31"/>
  <c r="P13" i="30"/>
  <c r="R13" i="30"/>
  <c r="L14" i="31"/>
  <c r="P14" i="30"/>
  <c r="R14" i="30"/>
  <c r="L15" i="31"/>
  <c r="P15" i="30"/>
  <c r="R15" i="30"/>
  <c r="L16" i="31"/>
  <c r="P16" i="30"/>
  <c r="R16" i="30"/>
  <c r="L17" i="31"/>
  <c r="P17" i="30"/>
  <c r="R17" i="30"/>
  <c r="L18" i="31"/>
  <c r="P18" i="30"/>
  <c r="R18" i="30"/>
  <c r="L19" i="31"/>
  <c r="P19" i="30"/>
  <c r="R19" i="30"/>
  <c r="L20" i="31"/>
  <c r="P20" i="30"/>
  <c r="R20" i="30"/>
  <c r="L21" i="31"/>
  <c r="P4" i="30"/>
  <c r="R4" i="30"/>
  <c r="L5" i="31"/>
  <c r="C27" i="28"/>
  <c r="K5" i="28"/>
  <c r="L5" i="28"/>
  <c r="M5" i="28"/>
  <c r="O5" i="28"/>
  <c r="S5" i="28"/>
  <c r="F27" i="31"/>
  <c r="K6" i="28"/>
  <c r="L6" i="28"/>
  <c r="M6" i="28"/>
  <c r="O6" i="28"/>
  <c r="S6" i="28"/>
  <c r="F28" i="31"/>
  <c r="K7" i="28"/>
  <c r="L7" i="28"/>
  <c r="M7" i="28"/>
  <c r="O7" i="28"/>
  <c r="S7" i="28"/>
  <c r="F29" i="31"/>
  <c r="K8" i="28"/>
  <c r="L8" i="28"/>
  <c r="M8" i="28"/>
  <c r="O8" i="28"/>
  <c r="S8" i="28"/>
  <c r="F30" i="31"/>
  <c r="K9" i="28"/>
  <c r="L9" i="28"/>
  <c r="M9" i="28"/>
  <c r="O9" i="28"/>
  <c r="S9" i="28"/>
  <c r="F31" i="31"/>
  <c r="B28" i="28"/>
  <c r="B27" i="28"/>
  <c r="K10" i="28"/>
  <c r="L10" i="28"/>
  <c r="M10" i="28"/>
  <c r="O10" i="28"/>
  <c r="S10" i="28"/>
  <c r="F32" i="31"/>
  <c r="K11" i="28"/>
  <c r="L11" i="28"/>
  <c r="M11" i="28"/>
  <c r="O11" i="28"/>
  <c r="S11" i="28"/>
  <c r="F33" i="31"/>
  <c r="K12" i="28"/>
  <c r="L12" i="28"/>
  <c r="M12" i="28"/>
  <c r="O12" i="28"/>
  <c r="S12" i="28"/>
  <c r="F34" i="31"/>
  <c r="K13" i="28"/>
  <c r="L13" i="28"/>
  <c r="M13" i="28"/>
  <c r="O13" i="28"/>
  <c r="S13" i="28"/>
  <c r="F35" i="31"/>
  <c r="K14" i="28"/>
  <c r="L14" i="28"/>
  <c r="M14" i="28"/>
  <c r="O14" i="28"/>
  <c r="S14" i="28"/>
  <c r="F36" i="31"/>
  <c r="K15" i="28"/>
  <c r="L15" i="28"/>
  <c r="M15" i="28"/>
  <c r="O15" i="28"/>
  <c r="S15" i="28"/>
  <c r="F37" i="31"/>
  <c r="K16" i="28"/>
  <c r="L16" i="28"/>
  <c r="M16" i="28"/>
  <c r="O16" i="28"/>
  <c r="S16" i="28"/>
  <c r="F38" i="31"/>
  <c r="K17" i="28"/>
  <c r="L17" i="28"/>
  <c r="M17" i="28"/>
  <c r="O17" i="28"/>
  <c r="S17" i="28"/>
  <c r="F39" i="31"/>
  <c r="K18" i="28"/>
  <c r="L18" i="28"/>
  <c r="M18" i="28"/>
  <c r="O18" i="28"/>
  <c r="S18" i="28"/>
  <c r="F40" i="31"/>
  <c r="K19" i="28"/>
  <c r="L19" i="28"/>
  <c r="M19" i="28"/>
  <c r="O19" i="28"/>
  <c r="S19" i="28"/>
  <c r="F41" i="31"/>
  <c r="K20" i="28"/>
  <c r="L20" i="28"/>
  <c r="M20" i="28"/>
  <c r="O20" i="28"/>
  <c r="S20" i="28"/>
  <c r="F42" i="31"/>
  <c r="K4" i="28"/>
  <c r="L4" i="28"/>
  <c r="M4" i="28"/>
  <c r="O4" i="28"/>
  <c r="S4" i="28"/>
  <c r="F26" i="31"/>
  <c r="P5" i="28"/>
  <c r="R5" i="28"/>
  <c r="E27" i="31"/>
  <c r="P6" i="28"/>
  <c r="R6" i="28"/>
  <c r="E28" i="31"/>
  <c r="P7" i="28"/>
  <c r="R7" i="28"/>
  <c r="E29" i="31"/>
  <c r="P8" i="28"/>
  <c r="R8" i="28"/>
  <c r="E30" i="31"/>
  <c r="P9" i="28"/>
  <c r="R9" i="28"/>
  <c r="E31" i="31"/>
  <c r="P10" i="28"/>
  <c r="R10" i="28"/>
  <c r="E32" i="31"/>
  <c r="P11" i="28"/>
  <c r="R11" i="28"/>
  <c r="E33" i="31"/>
  <c r="P12" i="28"/>
  <c r="R12" i="28"/>
  <c r="E34" i="31"/>
  <c r="P13" i="28"/>
  <c r="R13" i="28"/>
  <c r="E35" i="31"/>
  <c r="P14" i="28"/>
  <c r="R14" i="28"/>
  <c r="E36" i="31"/>
  <c r="P15" i="28"/>
  <c r="R15" i="28"/>
  <c r="E37" i="31"/>
  <c r="P16" i="28"/>
  <c r="R16" i="28"/>
  <c r="E38" i="31"/>
  <c r="P17" i="28"/>
  <c r="R17" i="28"/>
  <c r="E39" i="31"/>
  <c r="P18" i="28"/>
  <c r="R18" i="28"/>
  <c r="E40" i="31"/>
  <c r="P19" i="28"/>
  <c r="R19" i="28"/>
  <c r="E41" i="31"/>
  <c r="P20" i="28"/>
  <c r="R20" i="28"/>
  <c r="E42" i="31"/>
  <c r="P4" i="28"/>
  <c r="R4" i="28"/>
  <c r="E26" i="31"/>
  <c r="C24" i="26"/>
  <c r="K5" i="26"/>
  <c r="L5" i="26"/>
  <c r="M5" i="26"/>
  <c r="K6" i="26"/>
  <c r="L6" i="26"/>
  <c r="M6" i="26"/>
  <c r="K7" i="26"/>
  <c r="L7" i="26"/>
  <c r="M7" i="26"/>
  <c r="K8" i="26"/>
  <c r="L8" i="26"/>
  <c r="M8" i="26"/>
  <c r="K9" i="26"/>
  <c r="L9" i="26"/>
  <c r="M9" i="26"/>
  <c r="L4" i="26"/>
  <c r="M4" i="26"/>
  <c r="K4" i="26"/>
  <c r="O6" i="26"/>
  <c r="S6" i="26"/>
  <c r="F6" i="31"/>
  <c r="O7" i="26"/>
  <c r="S7" i="26"/>
  <c r="F7" i="31"/>
  <c r="O8" i="26"/>
  <c r="S8" i="26"/>
  <c r="F8" i="31"/>
  <c r="O9" i="26"/>
  <c r="S9" i="26"/>
  <c r="F9" i="31"/>
  <c r="B25" i="26"/>
  <c r="B24" i="26"/>
  <c r="K10" i="26"/>
  <c r="L10" i="26"/>
  <c r="M10" i="26"/>
  <c r="O10" i="26"/>
  <c r="S10" i="26"/>
  <c r="F10" i="31"/>
  <c r="K11" i="26"/>
  <c r="L11" i="26"/>
  <c r="M11" i="26"/>
  <c r="O11" i="26"/>
  <c r="S11" i="26"/>
  <c r="F11" i="31"/>
  <c r="K12" i="26"/>
  <c r="L12" i="26"/>
  <c r="M12" i="26"/>
  <c r="O12" i="26"/>
  <c r="S12" i="26"/>
  <c r="F12" i="31"/>
  <c r="K13" i="26"/>
  <c r="L13" i="26"/>
  <c r="M13" i="26"/>
  <c r="O13" i="26"/>
  <c r="S13" i="26"/>
  <c r="F13" i="31"/>
  <c r="K14" i="26"/>
  <c r="L14" i="26"/>
  <c r="M14" i="26"/>
  <c r="O14" i="26"/>
  <c r="S14" i="26"/>
  <c r="F14" i="31"/>
  <c r="K15" i="26"/>
  <c r="L15" i="26"/>
  <c r="M15" i="26"/>
  <c r="O15" i="26"/>
  <c r="S15" i="26"/>
  <c r="F15" i="31"/>
  <c r="K16" i="26"/>
  <c r="L16" i="26"/>
  <c r="M16" i="26"/>
  <c r="O16" i="26"/>
  <c r="S16" i="26"/>
  <c r="F16" i="31"/>
  <c r="K17" i="26"/>
  <c r="L17" i="26"/>
  <c r="M17" i="26"/>
  <c r="O17" i="26"/>
  <c r="S17" i="26"/>
  <c r="F17" i="31"/>
  <c r="K18" i="26"/>
  <c r="L18" i="26"/>
  <c r="M18" i="26"/>
  <c r="O18" i="26"/>
  <c r="S18" i="26"/>
  <c r="F18" i="31"/>
  <c r="K19" i="26"/>
  <c r="L19" i="26"/>
  <c r="M19" i="26"/>
  <c r="O19" i="26"/>
  <c r="S19" i="26"/>
  <c r="F19" i="31"/>
  <c r="K20" i="26"/>
  <c r="L20" i="26"/>
  <c r="M20" i="26"/>
  <c r="O20" i="26"/>
  <c r="S20" i="26"/>
  <c r="F20" i="31"/>
  <c r="F21" i="31"/>
  <c r="O5" i="26"/>
  <c r="S5" i="26"/>
  <c r="F5" i="31"/>
  <c r="P5" i="26"/>
  <c r="R5" i="26"/>
  <c r="E6" i="31"/>
  <c r="P6" i="26"/>
  <c r="R6" i="26"/>
  <c r="E7" i="31"/>
  <c r="P7" i="26"/>
  <c r="R7" i="26"/>
  <c r="E8" i="31"/>
  <c r="P8" i="26"/>
  <c r="R8" i="26"/>
  <c r="E9" i="31"/>
  <c r="P9" i="26"/>
  <c r="R9" i="26"/>
  <c r="E10" i="31"/>
  <c r="P10" i="26"/>
  <c r="R10" i="26"/>
  <c r="E11" i="31"/>
  <c r="P11" i="26"/>
  <c r="R11" i="26"/>
  <c r="E12" i="31"/>
  <c r="P12" i="26"/>
  <c r="R12" i="26"/>
  <c r="E13" i="31"/>
  <c r="P13" i="26"/>
  <c r="R13" i="26"/>
  <c r="E14" i="31"/>
  <c r="P14" i="26"/>
  <c r="R14" i="26"/>
  <c r="E15" i="31"/>
  <c r="P15" i="26"/>
  <c r="R15" i="26"/>
  <c r="E16" i="31"/>
  <c r="P16" i="26"/>
  <c r="R16" i="26"/>
  <c r="E17" i="31"/>
  <c r="P17" i="26"/>
  <c r="R17" i="26"/>
  <c r="E18" i="31"/>
  <c r="P18" i="26"/>
  <c r="R18" i="26"/>
  <c r="E19" i="31"/>
  <c r="P19" i="26"/>
  <c r="R19" i="26"/>
  <c r="E20" i="31"/>
  <c r="P20" i="26"/>
  <c r="R20" i="26"/>
  <c r="E21" i="31"/>
  <c r="P4" i="26"/>
  <c r="R4" i="26"/>
  <c r="E5" i="31"/>
  <c r="F23" i="2"/>
  <c r="F3" i="2"/>
  <c r="J3" i="2"/>
  <c r="K3" i="2"/>
  <c r="F4" i="2"/>
  <c r="I5" i="2"/>
  <c r="I4" i="2"/>
  <c r="J4" i="2"/>
  <c r="K4" i="2"/>
  <c r="F5" i="2"/>
  <c r="I6" i="2"/>
  <c r="J5" i="2"/>
  <c r="K5" i="2"/>
  <c r="F6" i="2"/>
  <c r="I7" i="2"/>
  <c r="J6" i="2"/>
  <c r="K6" i="2"/>
  <c r="F7" i="2"/>
  <c r="I8" i="2"/>
  <c r="J7" i="2"/>
  <c r="K7" i="2"/>
  <c r="F8" i="2"/>
  <c r="I9" i="2"/>
  <c r="J8" i="2"/>
  <c r="K8" i="2"/>
  <c r="F9" i="2"/>
  <c r="I10" i="2"/>
  <c r="J9" i="2"/>
  <c r="K9" i="2"/>
  <c r="F10" i="2"/>
  <c r="I11" i="2"/>
  <c r="J10" i="2"/>
  <c r="K10" i="2"/>
  <c r="F11" i="2"/>
  <c r="I12" i="2"/>
  <c r="J11" i="2"/>
  <c r="K11" i="2"/>
  <c r="F12" i="2"/>
  <c r="I13" i="2"/>
  <c r="J12" i="2"/>
  <c r="K12" i="2"/>
  <c r="F13" i="2"/>
  <c r="I14" i="2"/>
  <c r="J13" i="2"/>
  <c r="K13" i="2"/>
  <c r="F14" i="2"/>
  <c r="I15" i="2"/>
  <c r="J14" i="2"/>
  <c r="K14" i="2"/>
  <c r="F15" i="2"/>
  <c r="I16" i="2"/>
  <c r="J15" i="2"/>
  <c r="K15" i="2"/>
  <c r="F16" i="2"/>
  <c r="I17" i="2"/>
  <c r="J16" i="2"/>
  <c r="K16" i="2"/>
  <c r="F17" i="2"/>
  <c r="I18" i="2"/>
  <c r="J17" i="2"/>
  <c r="K17" i="2"/>
  <c r="F18" i="2"/>
  <c r="I19" i="2"/>
  <c r="J18" i="2"/>
  <c r="K18" i="2"/>
  <c r="F19" i="2"/>
  <c r="I20" i="2"/>
  <c r="J19" i="2"/>
  <c r="K19" i="2"/>
  <c r="O4" i="26"/>
  <c r="S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4" i="30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Q21" i="31"/>
  <c r="O21" i="31"/>
  <c r="P21" i="31"/>
  <c r="Q20" i="31"/>
  <c r="O20" i="31"/>
  <c r="P20" i="31"/>
  <c r="Q19" i="31"/>
  <c r="O19" i="31"/>
  <c r="P19" i="31"/>
  <c r="Q18" i="31"/>
  <c r="O18" i="31"/>
  <c r="P18" i="31"/>
  <c r="Q17" i="31"/>
  <c r="O17" i="31"/>
  <c r="P17" i="31"/>
  <c r="Q16" i="31"/>
  <c r="O16" i="31"/>
  <c r="P16" i="31"/>
  <c r="Q15" i="31"/>
  <c r="O15" i="31"/>
  <c r="P15" i="31"/>
  <c r="Q14" i="31"/>
  <c r="O14" i="31"/>
  <c r="P14" i="31"/>
  <c r="Q13" i="31"/>
  <c r="O13" i="31"/>
  <c r="P13" i="31"/>
  <c r="Q12" i="31"/>
  <c r="O12" i="31"/>
  <c r="P12" i="31"/>
  <c r="Q11" i="31"/>
  <c r="O11" i="31"/>
  <c r="P11" i="31"/>
  <c r="Q10" i="31"/>
  <c r="O10" i="31"/>
  <c r="P10" i="31"/>
  <c r="Q9" i="31"/>
  <c r="O9" i="31"/>
  <c r="P9" i="31"/>
  <c r="Q8" i="31"/>
  <c r="O8" i="31"/>
  <c r="P8" i="31"/>
  <c r="Q7" i="31"/>
  <c r="O7" i="31"/>
  <c r="P7" i="31"/>
  <c r="Q6" i="31"/>
  <c r="O6" i="31"/>
  <c r="P6" i="31"/>
  <c r="Q5" i="31"/>
  <c r="O5" i="31"/>
  <c r="P5" i="31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N4" i="30"/>
  <c r="D48" i="29"/>
  <c r="F40" i="29"/>
  <c r="G38" i="29"/>
  <c r="H38" i="29"/>
  <c r="I38" i="29"/>
  <c r="J38" i="29"/>
  <c r="K38" i="29"/>
  <c r="L38" i="29"/>
  <c r="F38" i="29"/>
  <c r="G37" i="29"/>
  <c r="H37" i="29"/>
  <c r="I37" i="29"/>
  <c r="J37" i="29"/>
  <c r="K37" i="29"/>
  <c r="L37" i="29"/>
  <c r="F37" i="29"/>
  <c r="G36" i="29"/>
  <c r="H36" i="29"/>
  <c r="I36" i="29"/>
  <c r="J36" i="29"/>
  <c r="K36" i="29"/>
  <c r="L36" i="29"/>
  <c r="F36" i="29"/>
  <c r="G35" i="29"/>
  <c r="H35" i="29"/>
  <c r="I35" i="29"/>
  <c r="J35" i="29"/>
  <c r="K35" i="29"/>
  <c r="L35" i="29"/>
  <c r="F35" i="29"/>
  <c r="G34" i="29"/>
  <c r="H34" i="29"/>
  <c r="I34" i="29"/>
  <c r="J34" i="29"/>
  <c r="K34" i="29"/>
  <c r="L34" i="29"/>
  <c r="F34" i="29"/>
  <c r="G33" i="29"/>
  <c r="H33" i="29"/>
  <c r="I33" i="29"/>
  <c r="J33" i="29"/>
  <c r="K33" i="29"/>
  <c r="L33" i="29"/>
  <c r="F33" i="29"/>
  <c r="G32" i="29"/>
  <c r="H32" i="29"/>
  <c r="I32" i="29"/>
  <c r="J32" i="29"/>
  <c r="K32" i="29"/>
  <c r="L32" i="29"/>
  <c r="F32" i="29"/>
  <c r="G31" i="29"/>
  <c r="H31" i="29"/>
  <c r="I31" i="29"/>
  <c r="J31" i="29"/>
  <c r="K31" i="29"/>
  <c r="L31" i="29"/>
  <c r="F31" i="29"/>
  <c r="G30" i="29"/>
  <c r="H30" i="29"/>
  <c r="I30" i="29"/>
  <c r="J30" i="29"/>
  <c r="K30" i="29"/>
  <c r="L30" i="29"/>
  <c r="F30" i="29"/>
  <c r="G29" i="29"/>
  <c r="H29" i="29"/>
  <c r="I29" i="29"/>
  <c r="J29" i="29"/>
  <c r="K29" i="29"/>
  <c r="L29" i="29"/>
  <c r="F29" i="29"/>
  <c r="G28" i="29"/>
  <c r="H28" i="29"/>
  <c r="I28" i="29"/>
  <c r="J28" i="29"/>
  <c r="K28" i="29"/>
  <c r="L28" i="29"/>
  <c r="F28" i="29"/>
  <c r="G27" i="29"/>
  <c r="H27" i="29"/>
  <c r="I27" i="29"/>
  <c r="J27" i="29"/>
  <c r="K27" i="29"/>
  <c r="L27" i="29"/>
  <c r="F27" i="29"/>
  <c r="G26" i="29"/>
  <c r="H26" i="29"/>
  <c r="I26" i="29"/>
  <c r="J26" i="29"/>
  <c r="K26" i="29"/>
  <c r="L26" i="29"/>
  <c r="F26" i="29"/>
  <c r="G25" i="29"/>
  <c r="H25" i="29"/>
  <c r="I25" i="29"/>
  <c r="J25" i="29"/>
  <c r="K25" i="29"/>
  <c r="L25" i="29"/>
  <c r="F25" i="29"/>
  <c r="G24" i="29"/>
  <c r="H24" i="29"/>
  <c r="I24" i="29"/>
  <c r="J24" i="29"/>
  <c r="K24" i="29"/>
  <c r="L24" i="29"/>
  <c r="F24" i="29"/>
  <c r="G23" i="29"/>
  <c r="H23" i="29"/>
  <c r="I23" i="29"/>
  <c r="J23" i="29"/>
  <c r="K23" i="29"/>
  <c r="L23" i="29"/>
  <c r="F23" i="29"/>
  <c r="O19" i="29"/>
  <c r="K19" i="29"/>
  <c r="G19" i="29"/>
  <c r="P19" i="29"/>
  <c r="R19" i="29"/>
  <c r="Q19" i="29"/>
  <c r="O18" i="29"/>
  <c r="K18" i="29"/>
  <c r="G18" i="29"/>
  <c r="P18" i="29"/>
  <c r="R18" i="29"/>
  <c r="Q18" i="29"/>
  <c r="O17" i="29"/>
  <c r="K17" i="29"/>
  <c r="G17" i="29"/>
  <c r="P17" i="29"/>
  <c r="R17" i="29"/>
  <c r="Q17" i="29"/>
  <c r="O16" i="29"/>
  <c r="K16" i="29"/>
  <c r="G16" i="29"/>
  <c r="P16" i="29"/>
  <c r="R16" i="29"/>
  <c r="Q16" i="29"/>
  <c r="O15" i="29"/>
  <c r="K15" i="29"/>
  <c r="G15" i="29"/>
  <c r="P15" i="29"/>
  <c r="R15" i="29"/>
  <c r="Q15" i="29"/>
  <c r="O14" i="29"/>
  <c r="K14" i="29"/>
  <c r="G14" i="29"/>
  <c r="P14" i="29"/>
  <c r="R14" i="29"/>
  <c r="Q14" i="29"/>
  <c r="O13" i="29"/>
  <c r="K13" i="29"/>
  <c r="G13" i="29"/>
  <c r="P13" i="29"/>
  <c r="R13" i="29"/>
  <c r="Q13" i="29"/>
  <c r="O12" i="29"/>
  <c r="K12" i="29"/>
  <c r="G12" i="29"/>
  <c r="P12" i="29"/>
  <c r="R12" i="29"/>
  <c r="Q12" i="29"/>
  <c r="O11" i="29"/>
  <c r="K11" i="29"/>
  <c r="G11" i="29"/>
  <c r="P11" i="29"/>
  <c r="R11" i="29"/>
  <c r="Q11" i="29"/>
  <c r="O10" i="29"/>
  <c r="K10" i="29"/>
  <c r="G10" i="29"/>
  <c r="P10" i="29"/>
  <c r="R10" i="29"/>
  <c r="Q10" i="29"/>
  <c r="O9" i="29"/>
  <c r="K9" i="29"/>
  <c r="G9" i="29"/>
  <c r="P9" i="29"/>
  <c r="R9" i="29"/>
  <c r="Q9" i="29"/>
  <c r="O8" i="29"/>
  <c r="K8" i="29"/>
  <c r="G8" i="29"/>
  <c r="P8" i="29"/>
  <c r="R8" i="29"/>
  <c r="Q8" i="29"/>
  <c r="O7" i="29"/>
  <c r="K7" i="29"/>
  <c r="G7" i="29"/>
  <c r="P7" i="29"/>
  <c r="R7" i="29"/>
  <c r="Q7" i="29"/>
  <c r="O6" i="29"/>
  <c r="K6" i="29"/>
  <c r="G6" i="29"/>
  <c r="P6" i="29"/>
  <c r="R6" i="29"/>
  <c r="Q6" i="29"/>
  <c r="O5" i="29"/>
  <c r="K5" i="29"/>
  <c r="G5" i="29"/>
  <c r="P5" i="29"/>
  <c r="R5" i="29"/>
  <c r="Q5" i="29"/>
  <c r="O4" i="29"/>
  <c r="K4" i="29"/>
  <c r="G4" i="29"/>
  <c r="P4" i="29"/>
  <c r="R4" i="29"/>
  <c r="Q4" i="29"/>
  <c r="N4" i="28"/>
  <c r="D48" i="27"/>
  <c r="F40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L8" i="27"/>
  <c r="O8" i="27"/>
  <c r="H8" i="27"/>
  <c r="K8" i="27"/>
  <c r="D8" i="27"/>
  <c r="G8" i="27"/>
  <c r="P8" i="27"/>
  <c r="R8" i="27"/>
  <c r="Q8" i="27"/>
  <c r="L7" i="27"/>
  <c r="O7" i="27"/>
  <c r="H7" i="27"/>
  <c r="K7" i="27"/>
  <c r="D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H4" i="8"/>
  <c r="H20" i="8"/>
  <c r="B2" i="23"/>
  <c r="L41" i="8"/>
  <c r="L25" i="8"/>
  <c r="B6" i="23"/>
  <c r="T4" i="8"/>
  <c r="T20" i="8"/>
  <c r="B4" i="23"/>
  <c r="P20" i="8"/>
  <c r="P4" i="8"/>
  <c r="B3" i="23"/>
  <c r="L20" i="8"/>
  <c r="L4" i="8"/>
  <c r="B5" i="23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J20" i="2"/>
  <c r="K20" i="2"/>
  <c r="C101" i="7"/>
  <c r="D101" i="7"/>
  <c r="E101" i="7"/>
  <c r="F101" i="7"/>
  <c r="G101" i="7"/>
  <c r="B8" i="23"/>
  <c r="B12" i="23"/>
  <c r="P5" i="22"/>
  <c r="W5" i="22"/>
  <c r="P6" i="22"/>
  <c r="W6" i="22"/>
  <c r="P7" i="22"/>
  <c r="W7" i="22"/>
  <c r="P8" i="22"/>
  <c r="W8" i="22"/>
  <c r="P9" i="22"/>
  <c r="W9" i="22"/>
  <c r="P10" i="22"/>
  <c r="W10" i="22"/>
  <c r="P11" i="22"/>
  <c r="W11" i="22"/>
  <c r="P12" i="22"/>
  <c r="W12" i="22"/>
  <c r="P13" i="22"/>
  <c r="W13" i="22"/>
  <c r="P14" i="22"/>
  <c r="W14" i="22"/>
  <c r="P15" i="22"/>
  <c r="W15" i="22"/>
  <c r="P16" i="22"/>
  <c r="W16" i="22"/>
  <c r="P17" i="22"/>
  <c r="W17" i="22"/>
  <c r="P18" i="22"/>
  <c r="W18" i="22"/>
  <c r="P19" i="22"/>
  <c r="W19" i="22"/>
  <c r="P20" i="22"/>
  <c r="W20" i="22"/>
  <c r="P4" i="22"/>
  <c r="W4" i="22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I3" i="2"/>
  <c r="D101" i="17"/>
  <c r="E101" i="17"/>
  <c r="F101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D82" i="17"/>
  <c r="E82" i="17"/>
  <c r="F82" i="17"/>
  <c r="D83" i="17"/>
  <c r="E83" i="17"/>
  <c r="F83" i="17"/>
  <c r="D84" i="17"/>
  <c r="E84" i="17"/>
  <c r="F84" i="17"/>
  <c r="D85" i="17"/>
  <c r="E85" i="17"/>
  <c r="F85" i="17"/>
  <c r="D86" i="17"/>
  <c r="E86" i="17"/>
  <c r="F86" i="17"/>
  <c r="D87" i="17"/>
  <c r="E87" i="17"/>
  <c r="F87" i="17"/>
  <c r="D88" i="17"/>
  <c r="E88" i="17"/>
  <c r="F88" i="17"/>
  <c r="D89" i="17"/>
  <c r="E89" i="17"/>
  <c r="F89" i="17"/>
  <c r="D90" i="17"/>
  <c r="E90" i="17"/>
  <c r="F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65" i="17"/>
  <c r="E65" i="17"/>
  <c r="F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29" i="17"/>
  <c r="E29" i="17"/>
  <c r="F29" i="17"/>
  <c r="D30" i="17"/>
  <c r="E30" i="17"/>
  <c r="F30" i="17"/>
  <c r="D28" i="17"/>
  <c r="E28" i="17"/>
  <c r="F28" i="17"/>
  <c r="D26" i="17"/>
  <c r="E26" i="17"/>
  <c r="F26" i="17"/>
  <c r="D27" i="17"/>
  <c r="E27" i="17"/>
  <c r="F27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0" i="17"/>
  <c r="E10" i="17"/>
  <c r="F10" i="17"/>
  <c r="D11" i="17"/>
  <c r="E11" i="17"/>
  <c r="F11" i="17"/>
  <c r="D9" i="17"/>
  <c r="E9" i="17"/>
  <c r="F9" i="17"/>
  <c r="D6" i="17"/>
  <c r="E6" i="17"/>
  <c r="F6" i="17"/>
  <c r="D7" i="17"/>
  <c r="E7" i="17"/>
  <c r="F7" i="17"/>
  <c r="D8" i="17"/>
  <c r="E8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H19" i="22"/>
  <c r="U19" i="22"/>
  <c r="L19" i="22"/>
  <c r="V19" i="22"/>
  <c r="X19" i="22"/>
  <c r="H20" i="22"/>
  <c r="U20" i="22"/>
  <c r="L20" i="22"/>
  <c r="V20" i="22"/>
  <c r="X20" i="22"/>
  <c r="H4" i="22"/>
  <c r="U4" i="22"/>
  <c r="L4" i="22"/>
  <c r="V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<sst xmlns="http://schemas.openxmlformats.org/spreadsheetml/2006/main" count="926" uniqueCount="369">
  <si>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</si>
  <si>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</si>
  <si>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</si>
  <si>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</si>
  <si>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</si>
  <si>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</si>
  <si>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</si>
  <si>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</si>
  <si>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</si>
  <si>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</si>
  <si>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</si>
  <si>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</si>
  <si>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</si>
  <si>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</si>
  <si>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</si>
  <si>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</si>
  <si>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</si>
  <si>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</si>
  <si>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</si>
  <si>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</si>
  <si>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</si>
  <si>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</si>
  <si>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</si>
  <si>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</si>
  <si>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</si>
  <si>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</si>
  <si>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</si>
  <si>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</si>
  <si>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</si>
  <si>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</si>
  <si>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</si>
  <si>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</si>
  <si>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</si>
  <si>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</si>
  <si>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</si>
  <si>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</si>
  <si>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</si>
  <si>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</si>
  <si>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</si>
  <si>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</si>
  <si>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</si>
  <si>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</si>
  <si>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</si>
  <si>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</si>
  <si>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</si>
  <si>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</si>
  <si>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</si>
  <si>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</si>
  <si>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</si>
  <si>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</si>
  <si>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</si>
  <si>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</si>
  <si>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</si>
  <si>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</si>
  <si>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</si>
  <si>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</si>
  <si>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</si>
  <si>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</si>
  <si>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</si>
  <si>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</si>
  <si>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</si>
  <si>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</si>
  <si>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</si>
  <si>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</si>
  <si>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</si>
  <si>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</si>
  <si>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</si>
  <si>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</si>
  <si>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</si>
  <si>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</si>
  <si>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</si>
  <si>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</si>
  <si>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</si>
  <si>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</si>
  <si>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</si>
  <si>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</si>
  <si>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</si>
  <si>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</si>
  <si>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</si>
  <si>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</si>
  <si>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</si>
  <si>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</si>
  <si>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</si>
  <si>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</si>
  <si>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</si>
  <si>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</si>
  <si>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</si>
  <si>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</si>
  <si>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</si>
  <si>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</si>
  <si>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</si>
  <si>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</si>
  <si>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</si>
  <si>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</si>
  <si>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</si>
  <si>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</si>
  <si>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</si>
  <si>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</si>
  <si>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</si>
  <si>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</si>
  <si>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</si>
  <si>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</si>
  <si>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</si>
  <si>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</si>
  <si>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</si>
  <si>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</si>
  <si>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</si>
  <si>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</si>
  <si>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</si>
  <si>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</si>
  <si>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</si>
  <si>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</si>
  <si>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</si>
  <si>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</si>
  <si>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</si>
  <si>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</si>
  <si>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</si>
  <si>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</si>
  <si>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</si>
  <si>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</si>
  <si>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</si>
  <si>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</si>
  <si>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</si>
  <si>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</si>
  <si>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</si>
  <si>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</si>
  <si>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</si>
  <si>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</si>
  <si>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</si>
  <si>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</si>
  <si>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</si>
  <si>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</si>
  <si>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</si>
  <si>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</si>
  <si>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</si>
  <si>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</si>
  <si>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</si>
  <si>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</si>
  <si>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</si>
  <si>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</si>
  <si>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</si>
  <si>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</si>
  <si>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</si>
  <si>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</si>
  <si>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</si>
  <si>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</si>
  <si>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</si>
  <si>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</si>
  <si>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</si>
  <si>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</si>
  <si>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t>0.40</t>
  </si>
  <si>
    <t>0.20</t>
  </si>
  <si>
    <t xml:space="preserve">2x-z-y </t>
  </si>
  <si>
    <t>2x-z-y</t>
  </si>
  <si>
    <t>2x-z-y-f mol H2</t>
  </si>
  <si>
    <t>2x-z-y-f</t>
  </si>
  <si>
    <t>2x-z</t>
  </si>
  <si>
    <t>x mol D-fructose consumed</t>
  </si>
  <si>
    <t>2x-z-f mol CO2produced</t>
  </si>
  <si>
    <t>y mol acetate consumed</t>
  </si>
  <si>
    <t>2x-z+y mol acetyl-CoA produced</t>
  </si>
  <si>
    <t>(2x-2+y)/2 mol butyrate produced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</si>
  <si>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</si>
  <si>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</si>
  <si>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</si>
  <si>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</si>
  <si>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</si>
  <si>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</si>
  <si>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</si>
  <si>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</si>
  <si>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</si>
  <si>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</si>
  <si>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</si>
  <si>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</si>
  <si>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</si>
  <si>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</si>
  <si>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</si>
  <si>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</si>
  <si>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</si>
  <si>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</si>
  <si>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Faecalibacterium prausnitzii</t>
    </r>
    <r>
      <rPr>
        <sz val="11"/>
        <color theme="1"/>
        <rFont val="Calibri"/>
        <family val="2"/>
        <scheme val="minor"/>
      </rPr>
      <t xml:space="preserve"> DSM 17677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Blautia hydrogenotrophica</t>
    </r>
    <r>
      <rPr>
        <sz val="11"/>
        <color theme="1"/>
        <rFont val="Calibri"/>
        <family val="2"/>
        <scheme val="minor"/>
      </rPr>
      <t xml:space="preserve"> DSM 10507</t>
    </r>
    <r>
      <rPr>
        <vertAlign val="superscript"/>
        <sz val="11"/>
        <color theme="1"/>
        <rFont val="Calibri"/>
        <family val="2"/>
        <scheme val="minor"/>
      </rPr>
      <t>T</t>
    </r>
  </si>
  <si>
    <t>Na-acetate trihydrate (0 mM)</t>
  </si>
  <si>
    <t>0.00</t>
  </si>
  <si>
    <t>Acetic acid produced</t>
  </si>
  <si>
    <t>Formic acid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</si>
  <si>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</si>
  <si>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</si>
  <si>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</si>
  <si>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</si>
  <si>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</si>
  <si>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</si>
  <si>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</si>
  <si>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</si>
  <si>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</si>
  <si>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</si>
  <si>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</si>
  <si>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</si>
  <si>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</si>
  <si>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</si>
  <si>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</si>
  <si>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</si>
  <si>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</si>
  <si>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</si>
  <si>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</si>
  <si>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</si>
  <si>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</si>
  <si>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</si>
  <si>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</si>
  <si>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</si>
  <si>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</si>
  <si>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</si>
  <si>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</si>
  <si>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</si>
  <si>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</si>
  <si>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</si>
  <si>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</si>
  <si>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</si>
  <si>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</si>
  <si>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</si>
  <si>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</si>
  <si>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</si>
  <si>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</si>
  <si>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</si>
  <si>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</si>
  <si>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</si>
  <si>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</si>
  <si>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</si>
  <si>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</si>
  <si>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</si>
  <si>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</si>
  <si>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</si>
  <si>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</si>
  <si>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</si>
  <si>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</si>
  <si>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</si>
  <si>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</si>
  <si>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</si>
  <si>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</si>
  <si>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</si>
  <si>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</si>
  <si>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</si>
  <si>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</si>
  <si>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</si>
  <si>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</si>
  <si>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</si>
  <si>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</si>
  <si>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</si>
  <si>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</si>
  <si>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</si>
  <si>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IPC value epp 7</t>
  </si>
  <si>
    <t>plate 20150807</t>
  </si>
  <si>
    <t>plate 20150831</t>
  </si>
  <si>
    <t>plate 20150902</t>
  </si>
  <si>
    <t>IPC value epp 6</t>
  </si>
  <si>
    <t>plate 20150903</t>
  </si>
  <si>
    <t>plate 20150908</t>
  </si>
  <si>
    <t>plate 20150910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</si>
  <si>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</si>
  <si>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</si>
  <si>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</si>
  <si>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</si>
  <si>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</si>
  <si>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</si>
  <si>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FP10 epp</t>
  </si>
  <si>
    <t>Ct Threshold</t>
  </si>
  <si>
    <t>baseline</t>
  </si>
  <si>
    <t>F. prausnitzii</t>
  </si>
  <si>
    <t>STDV  (cells/ml medium)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</si>
  <si>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</si>
  <si>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</si>
  <si>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</si>
  <si>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</si>
  <si>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</si>
  <si>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</si>
  <si>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</si>
  <si>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</si>
  <si>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</si>
  <si>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</si>
  <si>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</si>
  <si>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</si>
  <si>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</si>
  <si>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</si>
  <si>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</si>
  <si>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</si>
  <si>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</si>
  <si>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Total Average</t>
  </si>
  <si>
    <t>IPC BH10 epp</t>
  </si>
  <si>
    <t>Taqman probe BH4O</t>
  </si>
  <si>
    <t>B. hydrogenotrophica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</si>
  <si>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</si>
  <si>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</si>
  <si>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</si>
  <si>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</si>
  <si>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</si>
  <si>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</si>
  <si>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</si>
  <si>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</si>
  <si>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</si>
  <si>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</si>
  <si>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 xml:space="preserve">Total cell count </t>
  </si>
  <si>
    <t>plate 20150911</t>
  </si>
  <si>
    <t>IPC value epp 5 plate 20150911</t>
  </si>
  <si>
    <t>IPC value  epp 7 plate  20150914</t>
  </si>
  <si>
    <t>IPC value  epp 6 plate  20150910</t>
  </si>
  <si>
    <t>IPC value epp 5</t>
  </si>
  <si>
    <t>plate 20150922</t>
  </si>
  <si>
    <t>IPC value epp 5 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</si>
  <si>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</si>
  <si>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</si>
  <si>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</si>
  <si>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</si>
  <si>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</si>
  <si>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</si>
  <si>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</si>
  <si>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</si>
  <si>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</si>
  <si>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</si>
  <si>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</si>
  <si>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</si>
  <si>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</si>
  <si>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IPC value epp 2 plate 20151111</t>
  </si>
  <si>
    <t>IPC value epp 2 plate 20151112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</si>
  <si>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</si>
  <si>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</si>
  <si>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</si>
  <si>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</si>
  <si>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</si>
  <si>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2,9'9</t>
  </si>
  <si>
    <t>IPC value epp 3</t>
  </si>
  <si>
    <t>plate 20151204</t>
  </si>
  <si>
    <t>plate 20160126</t>
  </si>
  <si>
    <t>IPC value epp 2</t>
  </si>
  <si>
    <t>plate 20160208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</si>
  <si>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</si>
  <si>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</si>
  <si>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</si>
  <si>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</si>
  <si>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</si>
  <si>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plate 20160222</t>
  </si>
  <si>
    <t>plate 20160223</t>
  </si>
  <si>
    <t>IPC value epp 1</t>
  </si>
  <si>
    <t>IPC value epp 2 plate 20151204</t>
  </si>
  <si>
    <t>IPC value epp 1 plate 20160119</t>
  </si>
  <si>
    <t>IPC value epp 1 plate 20160208</t>
  </si>
  <si>
    <t>IPC value epp 1 plate 20160222</t>
  </si>
  <si>
    <t>IPC value epp 1 plate 20160223</t>
  </si>
  <si>
    <t>IPC value epp 9 plate 20160223</t>
  </si>
  <si>
    <t>IPC value epp 9 plate 20160225</t>
  </si>
  <si>
    <t>IPC value  epp 3 plate  20160222</t>
  </si>
  <si>
    <t>IPC value  epp 2 plate  20160223</t>
  </si>
  <si>
    <t>IPC value  epp 2 plate  20160224</t>
  </si>
  <si>
    <t>plate 20160308</t>
  </si>
  <si>
    <t>plate 20160310</t>
  </si>
  <si>
    <t>plate 20160311</t>
  </si>
  <si>
    <t>plate 20160318</t>
  </si>
  <si>
    <t>plate 20160405</t>
  </si>
  <si>
    <t>plate 20160225</t>
  </si>
  <si>
    <t>IPC value epp 9 plate 20160308</t>
  </si>
  <si>
    <t>IPC value epp 9 plate 20160310</t>
  </si>
  <si>
    <t>IPC value epp 8 plate 20160325</t>
  </si>
  <si>
    <t>IPC value epp 8 plate 20160405</t>
  </si>
  <si>
    <t>IPC value  epp 2 plate  20160308</t>
  </si>
  <si>
    <t>IPC value  epp 1 plate  20160310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</si>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</sst>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56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65" fontId="0" fillId="0" borderId="0" xfId="0" applyNumberFormat="1"/>
    <xf numFmtId="164" fontId="18" fillId="0" borderId="1" xfId="0" applyNumberFormat="1" applyFont="1" applyFill="1" applyBorder="1" applyAlignment="1">
      <alignment horizont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8" fillId="2" borderId="4" xfId="365" applyFill="1" applyBorder="1" applyAlignment="1">
      <alignment horizontal="center" vertical="center"/>
    </xf>
    <xf numFmtId="0" fontId="28" fillId="0" borderId="0" xfId="365"/>
    <xf numFmtId="0" fontId="28" fillId="2" borderId="16" xfId="365" applyFill="1" applyBorder="1" applyAlignment="1">
      <alignment horizontal="center" vertical="center"/>
    </xf>
    <xf numFmtId="0" fontId="28" fillId="2" borderId="3" xfId="365" applyFill="1" applyBorder="1" applyAlignment="1">
      <alignment horizontal="center" vertical="center"/>
    </xf>
    <xf numFmtId="0" fontId="28" fillId="0" borderId="3" xfId="365" applyFill="1" applyBorder="1" applyAlignment="1">
      <alignment horizontal="center" vertical="center"/>
    </xf>
    <xf numFmtId="0" fontId="28" fillId="0" borderId="16" xfId="365" applyFill="1" applyBorder="1" applyAlignment="1">
      <alignment horizontal="center" vertical="center"/>
    </xf>
    <xf numFmtId="11" fontId="28" fillId="0" borderId="16" xfId="365" applyNumberFormat="1" applyFill="1" applyBorder="1" applyAlignment="1">
      <alignment horizontal="center" vertical="center"/>
    </xf>
    <xf numFmtId="0" fontId="0" fillId="0" borderId="16" xfId="365" applyFont="1" applyBorder="1" applyAlignment="1">
      <alignment horizontal="center" vertical="center"/>
    </xf>
    <xf numFmtId="0" fontId="28" fillId="0" borderId="16" xfId="365" applyBorder="1" applyAlignment="1">
      <alignment horizontal="center" vertical="center"/>
    </xf>
    <xf numFmtId="11" fontId="28" fillId="0" borderId="16" xfId="365" applyNumberFormat="1" applyBorder="1" applyAlignment="1">
      <alignment horizontal="center" vertical="center"/>
    </xf>
    <xf numFmtId="2" fontId="28" fillId="0" borderId="16" xfId="365" applyNumberFormat="1" applyBorder="1" applyAlignment="1">
      <alignment horizontal="center" vertical="center"/>
    </xf>
    <xf numFmtId="0" fontId="28" fillId="2" borderId="21" xfId="365" applyFill="1" applyBorder="1" applyAlignment="1">
      <alignment wrapText="1"/>
    </xf>
    <xf numFmtId="0" fontId="0" fillId="2" borderId="21" xfId="365" applyFont="1" applyFill="1" applyBorder="1" applyAlignment="1">
      <alignment wrapText="1"/>
    </xf>
    <xf numFmtId="0" fontId="0" fillId="2" borderId="21" xfId="365" applyFont="1" applyFill="1" applyBorder="1" applyAlignment="1">
      <alignment horizontal="center" vertical="center" wrapText="1"/>
    </xf>
    <xf numFmtId="0" fontId="0" fillId="0" borderId="0" xfId="365" applyFont="1"/>
    <xf numFmtId="165" fontId="28" fillId="0" borderId="16" xfId="365" applyNumberFormat="1" applyBorder="1" applyAlignment="1">
      <alignment horizontal="center" vertical="center"/>
    </xf>
    <xf numFmtId="0" fontId="28" fillId="0" borderId="16" xfId="365" applyBorder="1"/>
    <xf numFmtId="0" fontId="28" fillId="0" borderId="0" xfId="365" applyFont="1"/>
    <xf numFmtId="0" fontId="28" fillId="2" borderId="16" xfId="365" applyFill="1" applyBorder="1"/>
    <xf numFmtId="0" fontId="29" fillId="12" borderId="0" xfId="365" applyFont="1" applyFill="1"/>
    <xf numFmtId="165" fontId="28" fillId="0" borderId="16" xfId="365" applyNumberFormat="1" applyBorder="1"/>
    <xf numFmtId="2" fontId="28" fillId="0" borderId="16" xfId="365" applyNumberFormat="1" applyBorder="1"/>
    <xf numFmtId="1" fontId="28" fillId="0" borderId="16" xfId="365" applyNumberFormat="1" applyBorder="1"/>
    <xf numFmtId="165" fontId="0" fillId="0" borderId="16" xfId="365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365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8" fillId="0" borderId="0" xfId="365" applyNumberFormat="1"/>
    <xf numFmtId="0" fontId="30" fillId="0" borderId="16" xfId="365" applyFont="1" applyBorder="1"/>
    <xf numFmtId="165" fontId="28" fillId="0" borderId="0" xfId="365" applyNumberFormat="1" applyBorder="1" applyAlignment="1">
      <alignment horizontal="center" vertical="center"/>
    </xf>
    <xf numFmtId="165" fontId="28" fillId="0" borderId="0" xfId="365" applyNumberFormat="1" applyBorder="1"/>
    <xf numFmtId="2" fontId="28" fillId="0" borderId="0" xfId="365" applyNumberFormat="1" applyBorder="1"/>
    <xf numFmtId="1" fontId="28" fillId="0" borderId="0" xfId="365" applyNumberFormat="1" applyBorder="1"/>
    <xf numFmtId="0" fontId="0" fillId="0" borderId="0" xfId="365" applyFont="1" applyFill="1" applyBorder="1"/>
    <xf numFmtId="1" fontId="28" fillId="0" borderId="0" xfId="365" applyNumberFormat="1"/>
    <xf numFmtId="0" fontId="31" fillId="2" borderId="0" xfId="365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64" fontId="0" fillId="0" borderId="1" xfId="0" applyNumberFormat="1" applyFont="1" applyFill="1" applyBorder="1" applyAlignment="1" applyProtection="1">
      <alignment horizontal="center" vertical="center"/>
    </xf>
    <xf numFmtId="164" fontId="0" fillId="0" borderId="16" xfId="0" applyNumberFormat="1" applyFont="1" applyBorder="1" applyAlignment="1">
      <alignment horizont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65" applyNumberFormat="1" applyFill="1" applyBorder="1" applyAlignment="1">
      <alignment horizontal="center" vertical="center"/>
    </xf>
    <xf numFmtId="0" fontId="28" fillId="0" borderId="5" xfId="365" applyNumberFormat="1" applyFill="1" applyBorder="1" applyAlignment="1">
      <alignment horizontal="center" vertical="center"/>
    </xf>
    <xf numFmtId="0" fontId="28" fillId="0" borderId="18" xfId="365" applyNumberFormat="1" applyFill="1" applyBorder="1" applyAlignment="1">
      <alignment horizontal="center" vertical="center"/>
    </xf>
    <xf numFmtId="0" fontId="28" fillId="2" borderId="4" xfId="365" applyFill="1" applyBorder="1" applyAlignment="1">
      <alignment horizontal="center" vertical="center"/>
    </xf>
    <xf numFmtId="0" fontId="28" fillId="2" borderId="3" xfId="365" applyFill="1" applyBorder="1" applyAlignment="1">
      <alignment horizontal="center" vertical="center"/>
    </xf>
    <xf numFmtId="0" fontId="0" fillId="2" borderId="4" xfId="365" applyFont="1" applyFill="1" applyBorder="1" applyAlignment="1">
      <alignment horizontal="center" vertical="center"/>
    </xf>
    <xf numFmtId="0" fontId="28" fillId="2" borderId="16" xfId="365" applyFill="1" applyBorder="1" applyAlignment="1">
      <alignment horizontal="center" vertical="center"/>
    </xf>
    <xf numFmtId="0" fontId="21" fillId="0" borderId="23" xfId="365" applyFont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0" fillId="0" borderId="24" xfId="365" applyFont="1" applyBorder="1" applyAlignment="1">
      <alignment horizontal="center"/>
    </xf>
    <xf numFmtId="0" fontId="28" fillId="0" borderId="24" xfId="365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65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365" applyFont="1" applyFill="1"/>
  </cellXfs>
  <cellStyles count="456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Input" xfId="10"/>
    <cellStyle name="Linked Cell" xfId="11"/>
    <cellStyle name="Neutral" xfId="12"/>
    <cellStyle name="Normal" xfId="0" builtinId="0"/>
    <cellStyle name="Normal 2" xfId="365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107B01"/>
      <color rgb="FFCC7B37"/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chartsheet" Target="chartsheets/sheet1.xml"/><Relationship Id="rId25" Type="http://schemas.openxmlformats.org/officeDocument/2006/relationships/chartsheet" Target="chartsheets/sheet2.xml"/><Relationship Id="rId26" Type="http://schemas.openxmlformats.org/officeDocument/2006/relationships/worksheet" Target="worksheets/sheet24.xml"/><Relationship Id="rId27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33208"/>
        <c:axId val="-2125726520"/>
      </c:scatterChart>
      <c:valAx>
        <c:axId val="-2089033208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25726520"/>
        <c:crosses val="autoZero"/>
        <c:crossBetween val="midCat"/>
        <c:majorUnit val="2.0"/>
      </c:valAx>
      <c:valAx>
        <c:axId val="-2125726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03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57720"/>
        <c:axId val="2117481608"/>
      </c:scatterChart>
      <c:valAx>
        <c:axId val="-2094057720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7481608"/>
        <c:crosses val="autoZero"/>
        <c:crossBetween val="midCat"/>
        <c:majorUnit val="2.0"/>
      </c:valAx>
      <c:valAx>
        <c:axId val="21174816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94057720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75224"/>
        <c:axId val="2117955272"/>
      </c:scatterChart>
      <c:valAx>
        <c:axId val="-2094075224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17955272"/>
        <c:crosses val="autoZero"/>
        <c:crossBetween val="midCat"/>
        <c:majorUnit val="2.0"/>
      </c:valAx>
      <c:valAx>
        <c:axId val="211795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-2094075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4106320726302"/>
          <c:y val="0.0366308107930023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0.0231090808111249</c:v>
                  </c:pt>
                  <c:pt idx="1">
                    <c:v>0.0169574293034186</c:v>
                  </c:pt>
                  <c:pt idx="2">
                    <c:v>0.00640930583025784</c:v>
                  </c:pt>
                  <c:pt idx="3">
                    <c:v>0.02793751641234</c:v>
                  </c:pt>
                  <c:pt idx="4">
                    <c:v>0.0293711291192783</c:v>
                  </c:pt>
                  <c:pt idx="5">
                    <c:v>0.0169707501434056</c:v>
                  </c:pt>
                  <c:pt idx="6">
                    <c:v>0.0169985938680051</c:v>
                  </c:pt>
                  <c:pt idx="7">
                    <c:v>0.0232641751466366</c:v>
                  </c:pt>
                  <c:pt idx="8">
                    <c:v>0.0234493012088116</c:v>
                  </c:pt>
                  <c:pt idx="9">
                    <c:v>0.0403203339070031</c:v>
                  </c:pt>
                  <c:pt idx="10">
                    <c:v>0.111179775723159</c:v>
                  </c:pt>
                  <c:pt idx="11">
                    <c:v>0.0541862819948014</c:v>
                  </c:pt>
                  <c:pt idx="12">
                    <c:v>0.0866512804188218</c:v>
                  </c:pt>
                  <c:pt idx="13">
                    <c:v>0.0622043598895398</c:v>
                  </c:pt>
                  <c:pt idx="14">
                    <c:v>0.117884760741579</c:v>
                  </c:pt>
                  <c:pt idx="15">
                    <c:v>0.0756632969272513</c:v>
                  </c:pt>
                  <c:pt idx="16">
                    <c:v>0.0588443879832034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0.0231090808111249</c:v>
                  </c:pt>
                  <c:pt idx="1">
                    <c:v>0.0169574293034186</c:v>
                  </c:pt>
                  <c:pt idx="2">
                    <c:v>0.00640930583025784</c:v>
                  </c:pt>
                  <c:pt idx="3">
                    <c:v>0.02793751641234</c:v>
                  </c:pt>
                  <c:pt idx="4">
                    <c:v>0.0293711291192783</c:v>
                  </c:pt>
                  <c:pt idx="5">
                    <c:v>0.0169707501434056</c:v>
                  </c:pt>
                  <c:pt idx="6">
                    <c:v>0.0169985938680051</c:v>
                  </c:pt>
                  <c:pt idx="7">
                    <c:v>0.0232641751466366</c:v>
                  </c:pt>
                  <c:pt idx="8">
                    <c:v>0.0234493012088116</c:v>
                  </c:pt>
                  <c:pt idx="9">
                    <c:v>0.0403203339070031</c:v>
                  </c:pt>
                  <c:pt idx="10">
                    <c:v>0.111179775723159</c:v>
                  </c:pt>
                  <c:pt idx="11">
                    <c:v>0.0541862819948014</c:v>
                  </c:pt>
                  <c:pt idx="12">
                    <c:v>0.0866512804188218</c:v>
                  </c:pt>
                  <c:pt idx="13">
                    <c:v>0.0622043598895398</c:v>
                  </c:pt>
                  <c:pt idx="14">
                    <c:v>0.117884760741579</c:v>
                  </c:pt>
                  <c:pt idx="15">
                    <c:v>0.0756632969272513</c:v>
                  </c:pt>
                  <c:pt idx="16">
                    <c:v>0.0588443879832034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2.094434576672587</c:v>
                </c:pt>
                <c:pt idx="1">
                  <c:v>2.079632918886916</c:v>
                </c:pt>
                <c:pt idx="2">
                  <c:v>2.094434576672587</c:v>
                </c:pt>
                <c:pt idx="3">
                  <c:v>2.105535820011841</c:v>
                </c:pt>
                <c:pt idx="4">
                  <c:v>2.10923623445826</c:v>
                </c:pt>
                <c:pt idx="5">
                  <c:v>2.1812562409975</c:v>
                </c:pt>
                <c:pt idx="6">
                  <c:v>2.210800785349309</c:v>
                </c:pt>
                <c:pt idx="7">
                  <c:v>2.253775896697628</c:v>
                </c:pt>
                <c:pt idx="8">
                  <c:v>2.48198447829761</c:v>
                </c:pt>
                <c:pt idx="9">
                  <c:v>4.668984812947634</c:v>
                </c:pt>
                <c:pt idx="10">
                  <c:v>10.71122593849406</c:v>
                </c:pt>
                <c:pt idx="11">
                  <c:v>12.0210554826201</c:v>
                </c:pt>
                <c:pt idx="12">
                  <c:v>12.17088072544307</c:v>
                </c:pt>
                <c:pt idx="13">
                  <c:v>11.96711839520384</c:v>
                </c:pt>
                <c:pt idx="14">
                  <c:v>12.54170055882008</c:v>
                </c:pt>
                <c:pt idx="15">
                  <c:v>12.26709341489846</c:v>
                </c:pt>
                <c:pt idx="16">
                  <c:v>12.56916127321224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0.125725802419163</c:v>
                  </c:pt>
                  <c:pt idx="1">
                    <c:v>0.273802108357224</c:v>
                  </c:pt>
                  <c:pt idx="2">
                    <c:v>0.327316635865791</c:v>
                  </c:pt>
                  <c:pt idx="3">
                    <c:v>0.0333055786844297</c:v>
                  </c:pt>
                  <c:pt idx="4">
                    <c:v>0.0917164121113422</c:v>
                  </c:pt>
                  <c:pt idx="5">
                    <c:v>0.108434940556569</c:v>
                  </c:pt>
                  <c:pt idx="6">
                    <c:v>0.126031004806935</c:v>
                  </c:pt>
                  <c:pt idx="7">
                    <c:v>0.370846663669416</c:v>
                  </c:pt>
                  <c:pt idx="8">
                    <c:v>0.515410798225015</c:v>
                  </c:pt>
                  <c:pt idx="9">
                    <c:v>0.688258698925623</c:v>
                  </c:pt>
                  <c:pt idx="10">
                    <c:v>0.6400256477962</c:v>
                  </c:pt>
                  <c:pt idx="11">
                    <c:v>0.410966461694645</c:v>
                  </c:pt>
                  <c:pt idx="12">
                    <c:v>0.705664138657521</c:v>
                  </c:pt>
                  <c:pt idx="13">
                    <c:v>0.114735657457164</c:v>
                  </c:pt>
                  <c:pt idx="14">
                    <c:v>0.494320296908424</c:v>
                  </c:pt>
                  <c:pt idx="15">
                    <c:v>0.577577061850982</c:v>
                  </c:pt>
                  <c:pt idx="16">
                    <c:v>0.0873843085055198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0.125725802419163</c:v>
                  </c:pt>
                  <c:pt idx="1">
                    <c:v>0.273802108357224</c:v>
                  </c:pt>
                  <c:pt idx="2">
                    <c:v>0.327316635865791</c:v>
                  </c:pt>
                  <c:pt idx="3">
                    <c:v>0.0333055786844297</c:v>
                  </c:pt>
                  <c:pt idx="4">
                    <c:v>0.0917164121113422</c:v>
                  </c:pt>
                  <c:pt idx="5">
                    <c:v>0.108434940556569</c:v>
                  </c:pt>
                  <c:pt idx="6">
                    <c:v>0.126031004806935</c:v>
                  </c:pt>
                  <c:pt idx="7">
                    <c:v>0.370846663669416</c:v>
                  </c:pt>
                  <c:pt idx="8">
                    <c:v>0.515410798225015</c:v>
                  </c:pt>
                  <c:pt idx="9">
                    <c:v>0.688258698925623</c:v>
                  </c:pt>
                  <c:pt idx="10">
                    <c:v>0.6400256477962</c:v>
                  </c:pt>
                  <c:pt idx="11">
                    <c:v>0.410966461694645</c:v>
                  </c:pt>
                  <c:pt idx="12">
                    <c:v>0.705664138657521</c:v>
                  </c:pt>
                  <c:pt idx="13">
                    <c:v>0.114735657457164</c:v>
                  </c:pt>
                  <c:pt idx="14">
                    <c:v>0.494320296908424</c:v>
                  </c:pt>
                  <c:pt idx="15">
                    <c:v>0.577577061850982</c:v>
                  </c:pt>
                  <c:pt idx="16">
                    <c:v>0.0873843085055198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1.948376353039134</c:v>
                </c:pt>
                <c:pt idx="1">
                  <c:v>1.870663336108799</c:v>
                </c:pt>
                <c:pt idx="2">
                  <c:v>1.826255897862892</c:v>
                </c:pt>
                <c:pt idx="3">
                  <c:v>1.89841798501249</c:v>
                </c:pt>
                <c:pt idx="4">
                  <c:v>1.903968914793228</c:v>
                </c:pt>
                <c:pt idx="5">
                  <c:v>2.038791536859722</c:v>
                </c:pt>
                <c:pt idx="6">
                  <c:v>3.021471803869714</c:v>
                </c:pt>
                <c:pt idx="7">
                  <c:v>5.107600452953488</c:v>
                </c:pt>
                <c:pt idx="8">
                  <c:v>12.89877448403591</c:v>
                </c:pt>
                <c:pt idx="9">
                  <c:v>33.68744717714056</c:v>
                </c:pt>
                <c:pt idx="10">
                  <c:v>49.03377758177496</c:v>
                </c:pt>
                <c:pt idx="11">
                  <c:v>50.73057504269092</c:v>
                </c:pt>
                <c:pt idx="12">
                  <c:v>50.9571257692996</c:v>
                </c:pt>
                <c:pt idx="13">
                  <c:v>49.66394689408377</c:v>
                </c:pt>
                <c:pt idx="14">
                  <c:v>52.71572880602</c:v>
                </c:pt>
                <c:pt idx="15">
                  <c:v>51.38577181671876</c:v>
                </c:pt>
                <c:pt idx="16">
                  <c:v>52.4244329167704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0.16013718869937</c:v>
                  </c:pt>
                  <c:pt idx="1">
                    <c:v>0.03318542758314</c:v>
                  </c:pt>
                  <c:pt idx="2">
                    <c:v>0.03318542758314</c:v>
                  </c:pt>
                  <c:pt idx="3">
                    <c:v>0.0979632794443381</c:v>
                  </c:pt>
                  <c:pt idx="4">
                    <c:v>0.0783304643811423</c:v>
                  </c:pt>
                  <c:pt idx="5">
                    <c:v>0.230095995681377</c:v>
                  </c:pt>
                  <c:pt idx="6">
                    <c:v>0.0764807683679833</c:v>
                  </c:pt>
                  <c:pt idx="7">
                    <c:v>0.0252541863588678</c:v>
                  </c:pt>
                  <c:pt idx="8">
                    <c:v>0.0</c:v>
                  </c:pt>
                  <c:pt idx="9">
                    <c:v>0.116749000178279</c:v>
                  </c:pt>
                  <c:pt idx="10">
                    <c:v>0.0686768603915026</c:v>
                  </c:pt>
                  <c:pt idx="11">
                    <c:v>0.0927865032985062</c:v>
                  </c:pt>
                  <c:pt idx="12">
                    <c:v>0.103736956549543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0.16013718869937</c:v>
                  </c:pt>
                  <c:pt idx="1">
                    <c:v>0.03318542758314</c:v>
                  </c:pt>
                  <c:pt idx="2">
                    <c:v>0.03318542758314</c:v>
                  </c:pt>
                  <c:pt idx="3">
                    <c:v>0.0979632794443381</c:v>
                  </c:pt>
                  <c:pt idx="4">
                    <c:v>0.0783304643811423</c:v>
                  </c:pt>
                  <c:pt idx="5">
                    <c:v>0.230095995681377</c:v>
                  </c:pt>
                  <c:pt idx="6">
                    <c:v>0.0764807683679833</c:v>
                  </c:pt>
                  <c:pt idx="7">
                    <c:v>0.0252541863588678</c:v>
                  </c:pt>
                  <c:pt idx="8">
                    <c:v>0.0</c:v>
                  </c:pt>
                  <c:pt idx="9">
                    <c:v>0.116749000178279</c:v>
                  </c:pt>
                  <c:pt idx="10">
                    <c:v>0.0686768603915026</c:v>
                  </c:pt>
                  <c:pt idx="11">
                    <c:v>0.0927865032985062</c:v>
                  </c:pt>
                  <c:pt idx="12">
                    <c:v>0.103736956549543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2.918386559490187</c:v>
                </c:pt>
                <c:pt idx="1">
                  <c:v>3.034253023390543</c:v>
                </c:pt>
                <c:pt idx="2">
                  <c:v>3.055977985371859</c:v>
                </c:pt>
                <c:pt idx="3">
                  <c:v>2.969078137446593</c:v>
                </c:pt>
                <c:pt idx="4">
                  <c:v>2.998044753421682</c:v>
                </c:pt>
                <c:pt idx="5">
                  <c:v>3.39175635822056</c:v>
                </c:pt>
                <c:pt idx="6">
                  <c:v>3.535246608225211</c:v>
                </c:pt>
                <c:pt idx="7">
                  <c:v>4.0971236731805</c:v>
                </c:pt>
                <c:pt idx="8">
                  <c:v>2.954003852832596</c:v>
                </c:pt>
                <c:pt idx="9">
                  <c:v>2.426582400499756</c:v>
                </c:pt>
                <c:pt idx="10">
                  <c:v>3.777227321532638</c:v>
                </c:pt>
                <c:pt idx="11">
                  <c:v>2.716780141868233</c:v>
                </c:pt>
                <c:pt idx="12">
                  <c:v>1.341979885146467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0.00790931976086119</c:v>
                </c:pt>
                <c:pt idx="3">
                  <c:v>0.0236956353554571</c:v>
                </c:pt>
                <c:pt idx="4">
                  <c:v>0.0396295344879067</c:v>
                </c:pt>
                <c:pt idx="5">
                  <c:v>0.0566699255331846</c:v>
                </c:pt>
                <c:pt idx="6">
                  <c:v>0.0755135050871296</c:v>
                </c:pt>
                <c:pt idx="7">
                  <c:v>0.0972051369589486</c:v>
                </c:pt>
                <c:pt idx="8">
                  <c:v>0.124137248184556</c:v>
                </c:pt>
                <c:pt idx="9">
                  <c:v>0.158350568647877</c:v>
                </c:pt>
                <c:pt idx="10">
                  <c:v>0.202507289136628</c:v>
                </c:pt>
                <c:pt idx="11">
                  <c:v>0.258104658553736</c:v>
                </c:pt>
                <c:pt idx="12">
                  <c:v>0.327627870252148</c:v>
                </c:pt>
                <c:pt idx="13">
                  <c:v>0.417353897949657</c:v>
                </c:pt>
                <c:pt idx="14">
                  <c:v>0.536313226658556</c:v>
                </c:pt>
                <c:pt idx="15">
                  <c:v>0.703128351053677</c:v>
                </c:pt>
                <c:pt idx="16">
                  <c:v>0.940429380518014</c:v>
                </c:pt>
                <c:pt idx="17">
                  <c:v>1.27887300017635</c:v>
                </c:pt>
                <c:pt idx="18">
                  <c:v>1.764605066440921</c:v>
                </c:pt>
                <c:pt idx="19">
                  <c:v>2.4207844963216</c:v>
                </c:pt>
                <c:pt idx="20">
                  <c:v>3.289987843452565</c:v>
                </c:pt>
                <c:pt idx="21">
                  <c:v>4.410654340855794</c:v>
                </c:pt>
                <c:pt idx="22">
                  <c:v>5.7776106197242</c:v>
                </c:pt>
                <c:pt idx="23">
                  <c:v>7.47196085694982</c:v>
                </c:pt>
                <c:pt idx="24">
                  <c:v>9.510617007305333</c:v>
                </c:pt>
                <c:pt idx="25">
                  <c:v>11.83998219187868</c:v>
                </c:pt>
                <c:pt idx="26">
                  <c:v>14.54395821385774</c:v>
                </c:pt>
                <c:pt idx="27">
                  <c:v>17.5682089934132</c:v>
                </c:pt>
                <c:pt idx="28">
                  <c:v>20.8116135194973</c:v>
                </c:pt>
                <c:pt idx="29">
                  <c:v>24.13319173119321</c:v>
                </c:pt>
                <c:pt idx="30">
                  <c:v>27.1350315095425</c:v>
                </c:pt>
                <c:pt idx="31">
                  <c:v>29.7500947168585</c:v>
                </c:pt>
                <c:pt idx="32">
                  <c:v>32.069889866682</c:v>
                </c:pt>
                <c:pt idx="33">
                  <c:v>33.15570905770304</c:v>
                </c:pt>
                <c:pt idx="34">
                  <c:v>33.9242024168291</c:v>
                </c:pt>
                <c:pt idx="35">
                  <c:v>35.25342750481681</c:v>
                </c:pt>
                <c:pt idx="36">
                  <c:v>36.30376398537873</c:v>
                </c:pt>
                <c:pt idx="37">
                  <c:v>37.12376909031944</c:v>
                </c:pt>
                <c:pt idx="38">
                  <c:v>37.72770969766238</c:v>
                </c:pt>
                <c:pt idx="39">
                  <c:v>38.1705224901666</c:v>
                </c:pt>
                <c:pt idx="40">
                  <c:v>38.4942913357757</c:v>
                </c:pt>
                <c:pt idx="41">
                  <c:v>38.73417246324955</c:v>
                </c:pt>
                <c:pt idx="42">
                  <c:v>38.91616888107161</c:v>
                </c:pt>
                <c:pt idx="43">
                  <c:v>39.0549927219304</c:v>
                </c:pt>
                <c:pt idx="44">
                  <c:v>39.1623504079648</c:v>
                </c:pt>
                <c:pt idx="45">
                  <c:v>39.24781854629217</c:v>
                </c:pt>
                <c:pt idx="46">
                  <c:v>39.31719686459132</c:v>
                </c:pt>
                <c:pt idx="47">
                  <c:v>39.37565897084767</c:v>
                </c:pt>
                <c:pt idx="48">
                  <c:v>39.42997013169631</c:v>
                </c:pt>
                <c:pt idx="49">
                  <c:v>39.48240686194907</c:v>
                </c:pt>
                <c:pt idx="50">
                  <c:v>39.52736411901449</c:v>
                </c:pt>
                <c:pt idx="51">
                  <c:v>39.56441562733902</c:v>
                </c:pt>
                <c:pt idx="52">
                  <c:v>39.59634941043658</c:v>
                </c:pt>
                <c:pt idx="53">
                  <c:v>39.62391462491824</c:v>
                </c:pt>
                <c:pt idx="54">
                  <c:v>39.64815126220537</c:v>
                </c:pt>
                <c:pt idx="55">
                  <c:v>39.66955815539252</c:v>
                </c:pt>
                <c:pt idx="56">
                  <c:v>39.67945016681896</c:v>
                </c:pt>
                <c:pt idx="57">
                  <c:v>39.67945016681896</c:v>
                </c:pt>
                <c:pt idx="58">
                  <c:v>39.67945016681896</c:v>
                </c:pt>
                <c:pt idx="59">
                  <c:v>39.67945016681896</c:v>
                </c:pt>
                <c:pt idx="60">
                  <c:v>39.67945016681896</c:v>
                </c:pt>
                <c:pt idx="61">
                  <c:v>39.67945016681896</c:v>
                </c:pt>
                <c:pt idx="62">
                  <c:v>39.67945016681896</c:v>
                </c:pt>
                <c:pt idx="63">
                  <c:v>39.67945016681896</c:v>
                </c:pt>
                <c:pt idx="64">
                  <c:v>39.67945016681896</c:v>
                </c:pt>
                <c:pt idx="65">
                  <c:v>39.67945016681896</c:v>
                </c:pt>
                <c:pt idx="66">
                  <c:v>39.67945016681896</c:v>
                </c:pt>
                <c:pt idx="67">
                  <c:v>39.67945016681896</c:v>
                </c:pt>
                <c:pt idx="68">
                  <c:v>39.67945016681896</c:v>
                </c:pt>
                <c:pt idx="69">
                  <c:v>39.67945016681896</c:v>
                </c:pt>
                <c:pt idx="70">
                  <c:v>39.67945016681896</c:v>
                </c:pt>
                <c:pt idx="71">
                  <c:v>39.67945016681896</c:v>
                </c:pt>
                <c:pt idx="72">
                  <c:v>39.67945016681896</c:v>
                </c:pt>
                <c:pt idx="73">
                  <c:v>39.67945016681896</c:v>
                </c:pt>
                <c:pt idx="74">
                  <c:v>39.67945016681896</c:v>
                </c:pt>
                <c:pt idx="75">
                  <c:v>39.67945016681896</c:v>
                </c:pt>
                <c:pt idx="76">
                  <c:v>39.67945016681896</c:v>
                </c:pt>
                <c:pt idx="77">
                  <c:v>39.67945016681896</c:v>
                </c:pt>
                <c:pt idx="78">
                  <c:v>39.67945016681896</c:v>
                </c:pt>
                <c:pt idx="79">
                  <c:v>39.67945016681896</c:v>
                </c:pt>
                <c:pt idx="80">
                  <c:v>39.67945016681896</c:v>
                </c:pt>
                <c:pt idx="81">
                  <c:v>39.67945016681896</c:v>
                </c:pt>
                <c:pt idx="82">
                  <c:v>39.67945016681896</c:v>
                </c:pt>
                <c:pt idx="83">
                  <c:v>39.67945016681896</c:v>
                </c:pt>
                <c:pt idx="84">
                  <c:v>39.67945016681896</c:v>
                </c:pt>
                <c:pt idx="85">
                  <c:v>39.67945016681896</c:v>
                </c:pt>
                <c:pt idx="86">
                  <c:v>39.67945016681896</c:v>
                </c:pt>
                <c:pt idx="87">
                  <c:v>39.67945016681896</c:v>
                </c:pt>
                <c:pt idx="88">
                  <c:v>39.67945016681896</c:v>
                </c:pt>
                <c:pt idx="89">
                  <c:v>39.67945016681896</c:v>
                </c:pt>
                <c:pt idx="90">
                  <c:v>39.67945016681896</c:v>
                </c:pt>
                <c:pt idx="91">
                  <c:v>39.67945016681896</c:v>
                </c:pt>
                <c:pt idx="92">
                  <c:v>39.67945016681896</c:v>
                </c:pt>
                <c:pt idx="93">
                  <c:v>39.67945016681896</c:v>
                </c:pt>
                <c:pt idx="94">
                  <c:v>39.67945016681896</c:v>
                </c:pt>
                <c:pt idx="95">
                  <c:v>39.67945016681896</c:v>
                </c:pt>
                <c:pt idx="96">
                  <c:v>39.67945016681896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1.245386013041917</c:v>
                  </c:pt>
                  <c:pt idx="1">
                    <c:v>0.224874402075761</c:v>
                  </c:pt>
                  <c:pt idx="2">
                    <c:v>1.514865567592022</c:v>
                  </c:pt>
                  <c:pt idx="3">
                    <c:v>0.886056106590742</c:v>
                  </c:pt>
                  <c:pt idx="4">
                    <c:v>1.128051482234121</c:v>
                  </c:pt>
                  <c:pt idx="5">
                    <c:v>0.600152323616199</c:v>
                  </c:pt>
                  <c:pt idx="6">
                    <c:v>0.543357068324111</c:v>
                  </c:pt>
                  <c:pt idx="7">
                    <c:v>0.484987558938</c:v>
                  </c:pt>
                  <c:pt idx="8">
                    <c:v>0.205586838265896</c:v>
                  </c:pt>
                  <c:pt idx="9">
                    <c:v>0.614864994112384</c:v>
                  </c:pt>
                  <c:pt idx="10">
                    <c:v>0.0900421700032677</c:v>
                  </c:pt>
                  <c:pt idx="11">
                    <c:v>0.024421427269876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1.245386013041917</c:v>
                  </c:pt>
                  <c:pt idx="1">
                    <c:v>0.224874402075761</c:v>
                  </c:pt>
                  <c:pt idx="2">
                    <c:v>1.514865567592022</c:v>
                  </c:pt>
                  <c:pt idx="3">
                    <c:v>0.886056106590742</c:v>
                  </c:pt>
                  <c:pt idx="4">
                    <c:v>1.128051482234121</c:v>
                  </c:pt>
                  <c:pt idx="5">
                    <c:v>0.600152323616199</c:v>
                  </c:pt>
                  <c:pt idx="6">
                    <c:v>0.543357068324111</c:v>
                  </c:pt>
                  <c:pt idx="7">
                    <c:v>0.484987558938</c:v>
                  </c:pt>
                  <c:pt idx="8">
                    <c:v>0.205586838265896</c:v>
                  </c:pt>
                  <c:pt idx="9">
                    <c:v>0.614864994112384</c:v>
                  </c:pt>
                  <c:pt idx="10">
                    <c:v>0.0900421700032677</c:v>
                  </c:pt>
                  <c:pt idx="11">
                    <c:v>0.024421427269876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51.40800769686204</c:v>
                </c:pt>
                <c:pt idx="1">
                  <c:v>51.06386915334517</c:v>
                </c:pt>
                <c:pt idx="2">
                  <c:v>51.51161930136175</c:v>
                </c:pt>
                <c:pt idx="3">
                  <c:v>51.03611604499704</c:v>
                </c:pt>
                <c:pt idx="4">
                  <c:v>50.33488750740084</c:v>
                </c:pt>
                <c:pt idx="5">
                  <c:v>50.76327661031107</c:v>
                </c:pt>
                <c:pt idx="6">
                  <c:v>49.43513769521853</c:v>
                </c:pt>
                <c:pt idx="7">
                  <c:v>48.41892928483872</c:v>
                </c:pt>
                <c:pt idx="8">
                  <c:v>41.49532597529031</c:v>
                </c:pt>
                <c:pt idx="9">
                  <c:v>23.45399461159801</c:v>
                </c:pt>
                <c:pt idx="10">
                  <c:v>4.655698496746237</c:v>
                </c:pt>
                <c:pt idx="11">
                  <c:v>1.311992229804504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0.0113494495516967</c:v>
                  </c:pt>
                  <c:pt idx="4">
                    <c:v>0.0409210223069344</c:v>
                  </c:pt>
                  <c:pt idx="5">
                    <c:v>0.0236443223671604</c:v>
                  </c:pt>
                  <c:pt idx="6">
                    <c:v>0.0365719402016827</c:v>
                  </c:pt>
                  <c:pt idx="7">
                    <c:v>0.0401254596999911</c:v>
                  </c:pt>
                  <c:pt idx="8">
                    <c:v>0.0899470553601431</c:v>
                  </c:pt>
                  <c:pt idx="9">
                    <c:v>0.362987532278155</c:v>
                  </c:pt>
                  <c:pt idx="10">
                    <c:v>0.232822290124351</c:v>
                  </c:pt>
                  <c:pt idx="11">
                    <c:v>0.0780376895032094</c:v>
                  </c:pt>
                  <c:pt idx="12">
                    <c:v>0.215438281198263</c:v>
                  </c:pt>
                  <c:pt idx="13">
                    <c:v>0.145384001719233</c:v>
                  </c:pt>
                  <c:pt idx="14">
                    <c:v>0.190369585088111</c:v>
                  </c:pt>
                  <c:pt idx="15">
                    <c:v>0.181679382751376</c:v>
                  </c:pt>
                  <c:pt idx="16">
                    <c:v>0.184969751221135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0.0113494495516967</c:v>
                  </c:pt>
                  <c:pt idx="4">
                    <c:v>0.0409210223069344</c:v>
                  </c:pt>
                  <c:pt idx="5">
                    <c:v>0.0236443223671604</c:v>
                  </c:pt>
                  <c:pt idx="6">
                    <c:v>0.0365719402016827</c:v>
                  </c:pt>
                  <c:pt idx="7">
                    <c:v>0.0401254596999911</c:v>
                  </c:pt>
                  <c:pt idx="8">
                    <c:v>0.0899470553601431</c:v>
                  </c:pt>
                  <c:pt idx="9">
                    <c:v>0.362987532278155</c:v>
                  </c:pt>
                  <c:pt idx="10">
                    <c:v>0.232822290124351</c:v>
                  </c:pt>
                  <c:pt idx="11">
                    <c:v>0.0780376895032094</c:v>
                  </c:pt>
                  <c:pt idx="12">
                    <c:v>0.215438281198263</c:v>
                  </c:pt>
                  <c:pt idx="13">
                    <c:v>0.145384001719233</c:v>
                  </c:pt>
                  <c:pt idx="14">
                    <c:v>0.190369585088111</c:v>
                  </c:pt>
                  <c:pt idx="15">
                    <c:v>0.181679382751376</c:v>
                  </c:pt>
                  <c:pt idx="16">
                    <c:v>0.184969751221135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0.147542844172058</c:v>
                </c:pt>
                <c:pt idx="4">
                  <c:v>0.272386789240722</c:v>
                </c:pt>
                <c:pt idx="5">
                  <c:v>0.719363120838888</c:v>
                </c:pt>
                <c:pt idx="6">
                  <c:v>1.793773763082101</c:v>
                </c:pt>
                <c:pt idx="7">
                  <c:v>4.57786518908044</c:v>
                </c:pt>
                <c:pt idx="8">
                  <c:v>7.739115100055926</c:v>
                </c:pt>
                <c:pt idx="9">
                  <c:v>12.73161084455115</c:v>
                </c:pt>
                <c:pt idx="10">
                  <c:v>16.9821743843893</c:v>
                </c:pt>
                <c:pt idx="11">
                  <c:v>17.54318865226708</c:v>
                </c:pt>
                <c:pt idx="12">
                  <c:v>17.61490060127077</c:v>
                </c:pt>
                <c:pt idx="13">
                  <c:v>17.17823374533751</c:v>
                </c:pt>
                <c:pt idx="14">
                  <c:v>18.46111562609813</c:v>
                </c:pt>
                <c:pt idx="15">
                  <c:v>18.24052875678781</c:v>
                </c:pt>
                <c:pt idx="16">
                  <c:v>18.70175584716394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0.0148442143398998</c:v>
                </c:pt>
                <c:pt idx="3">
                  <c:v>0.0452186634536653</c:v>
                </c:pt>
                <c:pt idx="4">
                  <c:v>0.0804862828845842</c:v>
                </c:pt>
                <c:pt idx="5">
                  <c:v>0.123508686033867</c:v>
                </c:pt>
                <c:pt idx="6">
                  <c:v>0.185300996348422</c:v>
                </c:pt>
                <c:pt idx="7">
                  <c:v>0.285865485812404</c:v>
                </c:pt>
                <c:pt idx="8">
                  <c:v>0.431431537838127</c:v>
                </c:pt>
                <c:pt idx="9">
                  <c:v>0.615813254647842</c:v>
                </c:pt>
                <c:pt idx="10">
                  <c:v>0.830536570261012</c:v>
                </c:pt>
                <c:pt idx="11">
                  <c:v>1.068215254057108</c:v>
                </c:pt>
                <c:pt idx="12">
                  <c:v>1.342738243075233</c:v>
                </c:pt>
                <c:pt idx="13">
                  <c:v>1.692191736299899</c:v>
                </c:pt>
                <c:pt idx="14">
                  <c:v>2.170433200501448</c:v>
                </c:pt>
                <c:pt idx="15">
                  <c:v>2.876987172741684</c:v>
                </c:pt>
                <c:pt idx="16">
                  <c:v>3.86899374627191</c:v>
                </c:pt>
                <c:pt idx="17">
                  <c:v>5.214374095638882</c:v>
                </c:pt>
                <c:pt idx="18">
                  <c:v>6.964727460756203</c:v>
                </c:pt>
                <c:pt idx="19">
                  <c:v>9.3255059472618</c:v>
                </c:pt>
                <c:pt idx="20">
                  <c:v>12.03950723192588</c:v>
                </c:pt>
                <c:pt idx="21">
                  <c:v>14.79214050241403</c:v>
                </c:pt>
                <c:pt idx="22">
                  <c:v>17.40361841398049</c:v>
                </c:pt>
                <c:pt idx="23">
                  <c:v>19.86936009607176</c:v>
                </c:pt>
                <c:pt idx="24">
                  <c:v>22.43362888874077</c:v>
                </c:pt>
                <c:pt idx="25">
                  <c:v>25.06208614905956</c:v>
                </c:pt>
                <c:pt idx="26">
                  <c:v>28.30505388613754</c:v>
                </c:pt>
                <c:pt idx="27">
                  <c:v>31.95641892415635</c:v>
                </c:pt>
                <c:pt idx="28">
                  <c:v>35.54810631398051</c:v>
                </c:pt>
                <c:pt idx="29">
                  <c:v>39.13696013273542</c:v>
                </c:pt>
                <c:pt idx="30">
                  <c:v>42.15285481678654</c:v>
                </c:pt>
                <c:pt idx="31">
                  <c:v>44.37194580630194</c:v>
                </c:pt>
                <c:pt idx="32">
                  <c:v>45.99173465407016</c:v>
                </c:pt>
                <c:pt idx="33">
                  <c:v>46.65679592209318</c:v>
                </c:pt>
                <c:pt idx="34">
                  <c:v>46.89345449108509</c:v>
                </c:pt>
                <c:pt idx="35">
                  <c:v>47.27430992845245</c:v>
                </c:pt>
                <c:pt idx="36">
                  <c:v>47.52495087865553</c:v>
                </c:pt>
                <c:pt idx="37">
                  <c:v>47.7133860246664</c:v>
                </c:pt>
                <c:pt idx="38">
                  <c:v>47.87466336898468</c:v>
                </c:pt>
                <c:pt idx="39">
                  <c:v>48.01824359137844</c:v>
                </c:pt>
                <c:pt idx="40">
                  <c:v>48.15542428806867</c:v>
                </c:pt>
                <c:pt idx="41">
                  <c:v>48.29967263281862</c:v>
                </c:pt>
                <c:pt idx="42">
                  <c:v>48.44965294095141</c:v>
                </c:pt>
                <c:pt idx="43">
                  <c:v>48.59985558317927</c:v>
                </c:pt>
                <c:pt idx="44">
                  <c:v>48.74582883728137</c:v>
                </c:pt>
                <c:pt idx="45">
                  <c:v>48.89018862909661</c:v>
                </c:pt>
                <c:pt idx="46">
                  <c:v>49.03393630210604</c:v>
                </c:pt>
                <c:pt idx="47">
                  <c:v>49.17195145169714</c:v>
                </c:pt>
                <c:pt idx="48">
                  <c:v>49.30781391471876</c:v>
                </c:pt>
                <c:pt idx="49">
                  <c:v>49.41482419480747</c:v>
                </c:pt>
                <c:pt idx="50">
                  <c:v>49.51552559670404</c:v>
                </c:pt>
                <c:pt idx="51">
                  <c:v>49.64518773645467</c:v>
                </c:pt>
                <c:pt idx="52">
                  <c:v>49.77316775054585</c:v>
                </c:pt>
                <c:pt idx="53">
                  <c:v>49.89441805270695</c:v>
                </c:pt>
                <c:pt idx="54">
                  <c:v>50.01032086409448</c:v>
                </c:pt>
                <c:pt idx="55">
                  <c:v>50.12201775668726</c:v>
                </c:pt>
                <c:pt idx="56">
                  <c:v>50.23016960875477</c:v>
                </c:pt>
                <c:pt idx="57">
                  <c:v>50.34024423565945</c:v>
                </c:pt>
                <c:pt idx="58">
                  <c:v>50.44899710602512</c:v>
                </c:pt>
                <c:pt idx="59">
                  <c:v>50.55384456674511</c:v>
                </c:pt>
                <c:pt idx="60">
                  <c:v>50.66220266903422</c:v>
                </c:pt>
                <c:pt idx="61">
                  <c:v>50.76941768184732</c:v>
                </c:pt>
                <c:pt idx="62">
                  <c:v>50.86811129612503</c:v>
                </c:pt>
                <c:pt idx="63">
                  <c:v>50.95790210952978</c:v>
                </c:pt>
                <c:pt idx="64">
                  <c:v>51.04514917412271</c:v>
                </c:pt>
                <c:pt idx="65">
                  <c:v>51.10899438958372</c:v>
                </c:pt>
                <c:pt idx="66">
                  <c:v>51.1732210073823</c:v>
                </c:pt>
                <c:pt idx="67">
                  <c:v>51.26173962641274</c:v>
                </c:pt>
                <c:pt idx="68">
                  <c:v>51.34701504570021</c:v>
                </c:pt>
                <c:pt idx="69">
                  <c:v>51.43006476476944</c:v>
                </c:pt>
                <c:pt idx="70">
                  <c:v>51.50917183316455</c:v>
                </c:pt>
                <c:pt idx="71">
                  <c:v>51.5864985973598</c:v>
                </c:pt>
                <c:pt idx="72">
                  <c:v>51.66077286298085</c:v>
                </c:pt>
                <c:pt idx="73">
                  <c:v>51.73084978307821</c:v>
                </c:pt>
                <c:pt idx="74">
                  <c:v>51.80156280036273</c:v>
                </c:pt>
                <c:pt idx="75">
                  <c:v>51.87144965922811</c:v>
                </c:pt>
                <c:pt idx="76">
                  <c:v>51.93949222021283</c:v>
                </c:pt>
                <c:pt idx="77">
                  <c:v>52.00314673450505</c:v>
                </c:pt>
                <c:pt idx="78">
                  <c:v>52.06470289600382</c:v>
                </c:pt>
                <c:pt idx="79">
                  <c:v>52.12562296031544</c:v>
                </c:pt>
                <c:pt idx="80">
                  <c:v>52.18552552510234</c:v>
                </c:pt>
                <c:pt idx="81">
                  <c:v>52.24402918802694</c:v>
                </c:pt>
                <c:pt idx="82">
                  <c:v>52.30507659976335</c:v>
                </c:pt>
                <c:pt idx="83">
                  <c:v>52.36669611500611</c:v>
                </c:pt>
                <c:pt idx="84">
                  <c:v>52.41947682305672</c:v>
                </c:pt>
                <c:pt idx="85">
                  <c:v>52.46977777597631</c:v>
                </c:pt>
                <c:pt idx="86">
                  <c:v>52.51867918709679</c:v>
                </c:pt>
                <c:pt idx="87">
                  <c:v>52.56179364966249</c:v>
                </c:pt>
                <c:pt idx="88">
                  <c:v>52.60548085567135</c:v>
                </c:pt>
                <c:pt idx="89">
                  <c:v>52.64681501403718</c:v>
                </c:pt>
                <c:pt idx="90">
                  <c:v>52.688275879891</c:v>
                </c:pt>
                <c:pt idx="91">
                  <c:v>52.73043683661277</c:v>
                </c:pt>
                <c:pt idx="92">
                  <c:v>52.76922788610359</c:v>
                </c:pt>
                <c:pt idx="93">
                  <c:v>52.80706478981367</c:v>
                </c:pt>
                <c:pt idx="94">
                  <c:v>52.84617324796126</c:v>
                </c:pt>
                <c:pt idx="95">
                  <c:v>52.88445490775291</c:v>
                </c:pt>
                <c:pt idx="96">
                  <c:v>52.91931504312327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09304"/>
        <c:axId val="211744791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4776.0</c:v>
                </c:pt>
                <c:pt idx="1">
                  <c:v>5821.0</c:v>
                </c:pt>
                <c:pt idx="2">
                  <c:v>7832.0</c:v>
                </c:pt>
                <c:pt idx="3">
                  <c:v>13604.0</c:v>
                </c:pt>
                <c:pt idx="4">
                  <c:v>2442.0</c:v>
                </c:pt>
                <c:pt idx="5">
                  <c:v>6068.0</c:v>
                </c:pt>
                <c:pt idx="6">
                  <c:v>18061.0</c:v>
                </c:pt>
                <c:pt idx="7">
                  <c:v>3760.0</c:v>
                </c:pt>
                <c:pt idx="8">
                  <c:v>11420.0</c:v>
                </c:pt>
                <c:pt idx="9">
                  <c:v>25631.0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0.0296073971131278</c:v>
                  </c:pt>
                  <c:pt idx="1">
                    <c:v>0.0542395643564788</c:v>
                  </c:pt>
                  <c:pt idx="2">
                    <c:v>0.0390910208846028</c:v>
                  </c:pt>
                  <c:pt idx="3">
                    <c:v>0.00547658476992482</c:v>
                  </c:pt>
                  <c:pt idx="4">
                    <c:v>0.0408685577890292</c:v>
                  </c:pt>
                  <c:pt idx="5">
                    <c:v>0.0128757362558417</c:v>
                  </c:pt>
                  <c:pt idx="6">
                    <c:v>0.0282934202690715</c:v>
                  </c:pt>
                  <c:pt idx="7">
                    <c:v>0.0131911015877125</c:v>
                  </c:pt>
                  <c:pt idx="8">
                    <c:v>0.0276472060283059</c:v>
                  </c:pt>
                  <c:pt idx="9">
                    <c:v>0.0323487191047158</c:v>
                  </c:pt>
                  <c:pt idx="10">
                    <c:v>0.0204577825379143</c:v>
                  </c:pt>
                  <c:pt idx="11">
                    <c:v>0.0172333920972639</c:v>
                  </c:pt>
                  <c:pt idx="12">
                    <c:v>0.0264306256025491</c:v>
                  </c:pt>
                  <c:pt idx="13">
                    <c:v>0.0424859546871403</c:v>
                  </c:pt>
                  <c:pt idx="14">
                    <c:v>0.0189316255590541</c:v>
                  </c:pt>
                  <c:pt idx="15">
                    <c:v>0.0107661229925162</c:v>
                  </c:pt>
                  <c:pt idx="16">
                    <c:v>0.0202588672784614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0.0296073971131278</c:v>
                  </c:pt>
                  <c:pt idx="1">
                    <c:v>0.0542395643564788</c:v>
                  </c:pt>
                  <c:pt idx="2">
                    <c:v>0.0390910208846028</c:v>
                  </c:pt>
                  <c:pt idx="3">
                    <c:v>0.00547658476992482</c:v>
                  </c:pt>
                  <c:pt idx="4">
                    <c:v>0.0408685577890292</c:v>
                  </c:pt>
                  <c:pt idx="5">
                    <c:v>0.0128757362558417</c:v>
                  </c:pt>
                  <c:pt idx="6">
                    <c:v>0.0282934202690715</c:v>
                  </c:pt>
                  <c:pt idx="7">
                    <c:v>0.0131911015877125</c:v>
                  </c:pt>
                  <c:pt idx="8">
                    <c:v>0.0276472060283059</c:v>
                  </c:pt>
                  <c:pt idx="9">
                    <c:v>0.0323487191047158</c:v>
                  </c:pt>
                  <c:pt idx="10">
                    <c:v>0.0204577825379143</c:v>
                  </c:pt>
                  <c:pt idx="11">
                    <c:v>0.0172333920972639</c:v>
                  </c:pt>
                  <c:pt idx="12">
                    <c:v>0.0264306256025491</c:v>
                  </c:pt>
                  <c:pt idx="13">
                    <c:v>0.0424859546871403</c:v>
                  </c:pt>
                  <c:pt idx="14">
                    <c:v>0.0189316255590541</c:v>
                  </c:pt>
                  <c:pt idx="15">
                    <c:v>0.0107661229925162</c:v>
                  </c:pt>
                  <c:pt idx="16">
                    <c:v>0.0202588672784614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6.816843306309578</c:v>
                </c:pt>
                <c:pt idx="1">
                  <c:v>6.90724701034012</c:v>
                </c:pt>
                <c:pt idx="2">
                  <c:v>7.031440782638445</c:v>
                </c:pt>
                <c:pt idx="3">
                  <c:v>7.297541042393627</c:v>
                </c:pt>
                <c:pt idx="4">
                  <c:v>7.529177272203579</c:v>
                </c:pt>
                <c:pt idx="5">
                  <c:v>7.956981376900298</c:v>
                </c:pt>
                <c:pt idx="6">
                  <c:v>8.40618459443984</c:v>
                </c:pt>
                <c:pt idx="7">
                  <c:v>8.755425357432468</c:v>
                </c:pt>
                <c:pt idx="8">
                  <c:v>9.198962470584911</c:v>
                </c:pt>
                <c:pt idx="9">
                  <c:v>9.55535991790166</c:v>
                </c:pt>
                <c:pt idx="10">
                  <c:v>9.703828411630383</c:v>
                </c:pt>
                <c:pt idx="11">
                  <c:v>9.709508492210485</c:v>
                </c:pt>
                <c:pt idx="12">
                  <c:v>9.716354323803124</c:v>
                </c:pt>
                <c:pt idx="13">
                  <c:v>9.687256956732088</c:v>
                </c:pt>
                <c:pt idx="14">
                  <c:v>9.768508173716464</c:v>
                </c:pt>
                <c:pt idx="15">
                  <c:v>9.674269897221833</c:v>
                </c:pt>
                <c:pt idx="16">
                  <c:v>9.650968931647585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spPr>
            <a:ln>
              <a:solidFill>
                <a:srgbClr val="CC7B37"/>
              </a:solidFill>
            </a:ln>
          </c:spPr>
          <c:marker>
            <c:symbol val="circle"/>
            <c:size val="8"/>
            <c:spPr>
              <a:solidFill>
                <a:srgbClr val="CC7B37"/>
              </a:solidFill>
              <a:ln>
                <a:solidFill>
                  <a:srgbClr val="CC7B3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0.139628300296628</c:v>
                  </c:pt>
                  <c:pt idx="1">
                    <c:v>0.160497488017941</c:v>
                  </c:pt>
                  <c:pt idx="2">
                    <c:v>0.240918263626859</c:v>
                  </c:pt>
                  <c:pt idx="3">
                    <c:v>0.0956851935593209</c:v>
                  </c:pt>
                  <c:pt idx="4">
                    <c:v>0.227087968347411</c:v>
                  </c:pt>
                  <c:pt idx="5">
                    <c:v>0.197412278958438</c:v>
                  </c:pt>
                  <c:pt idx="6">
                    <c:v>0.165346069512939</c:v>
                  </c:pt>
                  <c:pt idx="7">
                    <c:v>0.0599650031430773</c:v>
                  </c:pt>
                  <c:pt idx="8">
                    <c:v>0.229894081391011</c:v>
                  </c:pt>
                  <c:pt idx="9">
                    <c:v>0.100287730218267</c:v>
                  </c:pt>
                  <c:pt idx="10">
                    <c:v>0.211404181048297</c:v>
                  </c:pt>
                  <c:pt idx="11">
                    <c:v>0.212571009084022</c:v>
                  </c:pt>
                  <c:pt idx="12">
                    <c:v>0.311450000619356</c:v>
                  </c:pt>
                  <c:pt idx="13">
                    <c:v>0.131239344224954</c:v>
                  </c:pt>
                  <c:pt idx="14">
                    <c:v>0.118778065480714</c:v>
                  </c:pt>
                  <c:pt idx="15">
                    <c:v>0.167566468015455</c:v>
                  </c:pt>
                  <c:pt idx="16">
                    <c:v>0.288464117112156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0.139628300296628</c:v>
                  </c:pt>
                  <c:pt idx="1">
                    <c:v>0.160497488017941</c:v>
                  </c:pt>
                  <c:pt idx="2">
                    <c:v>0.240918263626859</c:v>
                  </c:pt>
                  <c:pt idx="3">
                    <c:v>0.0956851935593209</c:v>
                  </c:pt>
                  <c:pt idx="4">
                    <c:v>0.227087968347411</c:v>
                  </c:pt>
                  <c:pt idx="5">
                    <c:v>0.197412278958438</c:v>
                  </c:pt>
                  <c:pt idx="6">
                    <c:v>0.165346069512939</c:v>
                  </c:pt>
                  <c:pt idx="7">
                    <c:v>0.0599650031430773</c:v>
                  </c:pt>
                  <c:pt idx="8">
                    <c:v>0.229894081391011</c:v>
                  </c:pt>
                  <c:pt idx="9">
                    <c:v>0.100287730218267</c:v>
                  </c:pt>
                  <c:pt idx="10">
                    <c:v>0.211404181048297</c:v>
                  </c:pt>
                  <c:pt idx="11">
                    <c:v>0.212571009084022</c:v>
                  </c:pt>
                  <c:pt idx="12">
                    <c:v>0.311450000619356</c:v>
                  </c:pt>
                  <c:pt idx="13">
                    <c:v>0.131239344224954</c:v>
                  </c:pt>
                  <c:pt idx="14">
                    <c:v>0.118778065480714</c:v>
                  </c:pt>
                  <c:pt idx="15">
                    <c:v>0.167566468015455</c:v>
                  </c:pt>
                  <c:pt idx="16">
                    <c:v>0.288464117112156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5.869416148207421</c:v>
                </c:pt>
                <c:pt idx="1">
                  <c:v>6.33634557880284</c:v>
                </c:pt>
                <c:pt idx="2">
                  <c:v>6.027194768725672</c:v>
                </c:pt>
                <c:pt idx="3">
                  <c:v>5.562139050822164</c:v>
                </c:pt>
                <c:pt idx="4">
                  <c:v>5.510350583548955</c:v>
                </c:pt>
                <c:pt idx="5">
                  <c:v>5.204188621622396</c:v>
                </c:pt>
                <c:pt idx="6">
                  <c:v>5.20328641587251</c:v>
                </c:pt>
                <c:pt idx="7">
                  <c:v>5.39314686528237</c:v>
                </c:pt>
                <c:pt idx="8">
                  <c:v>5.240321509183078</c:v>
                </c:pt>
                <c:pt idx="9">
                  <c:v>5.2672764214389</c:v>
                </c:pt>
                <c:pt idx="10">
                  <c:v>5.36170028908401</c:v>
                </c:pt>
                <c:pt idx="11">
                  <c:v>5.307902008971467</c:v>
                </c:pt>
                <c:pt idx="12">
                  <c:v>5.231934713274752</c:v>
                </c:pt>
                <c:pt idx="13">
                  <c:v>5.094969352397703</c:v>
                </c:pt>
                <c:pt idx="14">
                  <c:v>5.23274948350076</c:v>
                </c:pt>
                <c:pt idx="15">
                  <c:v>5.065686474647214</c:v>
                </c:pt>
                <c:pt idx="16">
                  <c:v>4.9514628710738</c:v>
                </c:pt>
              </c:numCache>
            </c:numRef>
          </c:yVal>
          <c:smooth val="0"/>
        </c:ser>
        <c:ser>
          <c:idx val="7"/>
          <c:order val="10"/>
          <c:tx>
            <c:v>qPCR FP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0.263820747211711</c:v>
                  </c:pt>
                  <c:pt idx="1">
                    <c:v>0.131548481690288</c:v>
                  </c:pt>
                  <c:pt idx="2">
                    <c:v>0.289193740745116</c:v>
                  </c:pt>
                  <c:pt idx="3">
                    <c:v>0.0872646550106432</c:v>
                  </c:pt>
                  <c:pt idx="4">
                    <c:v>0.510308454487972</c:v>
                  </c:pt>
                  <c:pt idx="5">
                    <c:v>0.393288632357875</c:v>
                  </c:pt>
                  <c:pt idx="6">
                    <c:v>0.00475449412191463</c:v>
                  </c:pt>
                  <c:pt idx="7">
                    <c:v>0.0188816094912259</c:v>
                  </c:pt>
                  <c:pt idx="8">
                    <c:v>0.0338818069380738</c:v>
                  </c:pt>
                  <c:pt idx="9">
                    <c:v>0.0156920670363574</c:v>
                  </c:pt>
                  <c:pt idx="10">
                    <c:v>0.00866468731930237</c:v>
                  </c:pt>
                  <c:pt idx="11">
                    <c:v>0.0202423393164922</c:v>
                  </c:pt>
                  <c:pt idx="12">
                    <c:v>0.0757657285262397</c:v>
                  </c:pt>
                  <c:pt idx="13">
                    <c:v>0.0755103211358357</c:v>
                  </c:pt>
                  <c:pt idx="14">
                    <c:v>0.021189490984495</c:v>
                  </c:pt>
                  <c:pt idx="15">
                    <c:v>0.0827293040785779</c:v>
                  </c:pt>
                  <c:pt idx="16">
                    <c:v>0.0216751519407798</c:v>
                  </c:pt>
                </c:numCache>
              </c:numRef>
            </c:plus>
            <c:min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0.263820747211711</c:v>
                  </c:pt>
                  <c:pt idx="1">
                    <c:v>0.131548481690288</c:v>
                  </c:pt>
                  <c:pt idx="2">
                    <c:v>0.289193740745116</c:v>
                  </c:pt>
                  <c:pt idx="3">
                    <c:v>0.0872646550106432</c:v>
                  </c:pt>
                  <c:pt idx="4">
                    <c:v>0.510308454487972</c:v>
                  </c:pt>
                  <c:pt idx="5">
                    <c:v>0.393288632357875</c:v>
                  </c:pt>
                  <c:pt idx="6">
                    <c:v>0.00475449412191463</c:v>
                  </c:pt>
                  <c:pt idx="7">
                    <c:v>0.0188816094912259</c:v>
                  </c:pt>
                  <c:pt idx="8">
                    <c:v>0.0338818069380738</c:v>
                  </c:pt>
                  <c:pt idx="9">
                    <c:v>0.0156920670363574</c:v>
                  </c:pt>
                  <c:pt idx="10">
                    <c:v>0.00866468731930237</c:v>
                  </c:pt>
                  <c:pt idx="11">
                    <c:v>0.0202423393164922</c:v>
                  </c:pt>
                  <c:pt idx="12">
                    <c:v>0.0757657285262397</c:v>
                  </c:pt>
                  <c:pt idx="13">
                    <c:v>0.0755103211358357</c:v>
                  </c:pt>
                  <c:pt idx="14">
                    <c:v>0.021189490984495</c:v>
                  </c:pt>
                  <c:pt idx="15">
                    <c:v>0.0827293040785779</c:v>
                  </c:pt>
                  <c:pt idx="16">
                    <c:v>0.0216751519407798</c:v>
                  </c:pt>
                </c:numCache>
              </c:numRef>
            </c:minus>
          </c:errBars>
          <c:xVal>
            <c:numRef>
              <c:f>'Determination cell counts FP'!$D$4:$D$20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FP'!$R$4:$R$20</c:f>
              <c:numCache>
                <c:formatCode>0.00</c:formatCode>
                <c:ptCount val="17"/>
                <c:pt idx="0">
                  <c:v>5.270521890963963</c:v>
                </c:pt>
                <c:pt idx="1">
                  <c:v>5.83161051253812</c:v>
                </c:pt>
                <c:pt idx="2">
                  <c:v>6.178249235643995</c:v>
                </c:pt>
                <c:pt idx="3">
                  <c:v>6.876540544148375</c:v>
                </c:pt>
                <c:pt idx="4">
                  <c:v>7.17187681938398</c:v>
                </c:pt>
                <c:pt idx="5">
                  <c:v>7.219140657496727</c:v>
                </c:pt>
                <c:pt idx="6">
                  <c:v>8.328193325435178</c:v>
                </c:pt>
                <c:pt idx="7">
                  <c:v>8.722420094151244</c:v>
                </c:pt>
                <c:pt idx="8">
                  <c:v>8.927681827763066</c:v>
                </c:pt>
                <c:pt idx="9">
                  <c:v>9.106608094899963</c:v>
                </c:pt>
                <c:pt idx="10">
                  <c:v>9.171277262425583</c:v>
                </c:pt>
                <c:pt idx="11">
                  <c:v>9.094804768790911</c:v>
                </c:pt>
                <c:pt idx="12">
                  <c:v>8.971023173757512</c:v>
                </c:pt>
                <c:pt idx="13">
                  <c:v>8.761565702923688</c:v>
                </c:pt>
                <c:pt idx="14">
                  <c:v>8.109493490212031</c:v>
                </c:pt>
                <c:pt idx="15">
                  <c:v>7.968614066473118</c:v>
                </c:pt>
                <c:pt idx="16">
                  <c:v>7.79418932668368</c:v>
                </c:pt>
              </c:numCache>
            </c:numRef>
          </c:yVal>
          <c:smooth val="0"/>
        </c:ser>
        <c:ser>
          <c:idx val="11"/>
          <c:order val="11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0.211392926647563</c:v>
                  </c:pt>
                  <c:pt idx="1">
                    <c:v>0.23917568668232</c:v>
                  </c:pt>
                  <c:pt idx="2">
                    <c:v>0.241045817291801</c:v>
                  </c:pt>
                  <c:pt idx="3">
                    <c:v>0.0859594922248949</c:v>
                  </c:pt>
                  <c:pt idx="4">
                    <c:v>0.423206353463044</c:v>
                  </c:pt>
                  <c:pt idx="5">
                    <c:v>0.223523836615904</c:v>
                  </c:pt>
                  <c:pt idx="6">
                    <c:v>0.0749974906570177</c:v>
                  </c:pt>
                  <c:pt idx="7">
                    <c:v>0.0565178060966305</c:v>
                  </c:pt>
                  <c:pt idx="8">
                    <c:v>0.0449832128982729</c:v>
                  </c:pt>
                  <c:pt idx="9">
                    <c:v>0.0230596622247953</c:v>
                  </c:pt>
                  <c:pt idx="10">
                    <c:v>0.0197575246130687</c:v>
                  </c:pt>
                  <c:pt idx="11">
                    <c:v>0.028028888929197</c:v>
                  </c:pt>
                  <c:pt idx="12">
                    <c:v>0.024973247027657</c:v>
                  </c:pt>
                  <c:pt idx="13">
                    <c:v>0.0391575299609718</c:v>
                  </c:pt>
                  <c:pt idx="14">
                    <c:v>0.03269525588428</c:v>
                  </c:pt>
                  <c:pt idx="15">
                    <c:v>0.0276371504324385</c:v>
                  </c:pt>
                  <c:pt idx="16">
                    <c:v>0.0235211174048498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0.211392926647563</c:v>
                  </c:pt>
                  <c:pt idx="1">
                    <c:v>0.23917568668232</c:v>
                  </c:pt>
                  <c:pt idx="2">
                    <c:v>0.241045817291801</c:v>
                  </c:pt>
                  <c:pt idx="3">
                    <c:v>0.0859594922248949</c:v>
                  </c:pt>
                  <c:pt idx="4">
                    <c:v>0.423206353463044</c:v>
                  </c:pt>
                  <c:pt idx="5">
                    <c:v>0.223523836615904</c:v>
                  </c:pt>
                  <c:pt idx="6">
                    <c:v>0.0749974906570177</c:v>
                  </c:pt>
                  <c:pt idx="7">
                    <c:v>0.0565178060966305</c:v>
                  </c:pt>
                  <c:pt idx="8">
                    <c:v>0.0449832128982729</c:v>
                  </c:pt>
                  <c:pt idx="9">
                    <c:v>0.0230596622247953</c:v>
                  </c:pt>
                  <c:pt idx="10">
                    <c:v>0.0197575246130687</c:v>
                  </c:pt>
                  <c:pt idx="11">
                    <c:v>0.028028888929197</c:v>
                  </c:pt>
                  <c:pt idx="12">
                    <c:v>0.024973247027657</c:v>
                  </c:pt>
                  <c:pt idx="13">
                    <c:v>0.0391575299609718</c:v>
                  </c:pt>
                  <c:pt idx="14">
                    <c:v>0.03269525588428</c:v>
                  </c:pt>
                  <c:pt idx="15">
                    <c:v>0.0276371504324385</c:v>
                  </c:pt>
                  <c:pt idx="16">
                    <c:v>0.0235211174048498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6.474765257752928</c:v>
                </c:pt>
                <c:pt idx="1">
                  <c:v>7.016406095764425</c:v>
                </c:pt>
                <c:pt idx="2">
                  <c:v>7.058740983295047</c:v>
                </c:pt>
                <c:pt idx="3">
                  <c:v>7.194077299288867</c:v>
                </c:pt>
                <c:pt idx="4">
                  <c:v>7.453768143197444</c:v>
                </c:pt>
                <c:pt idx="5">
                  <c:v>7.538664828223956</c:v>
                </c:pt>
                <c:pt idx="6">
                  <c:v>8.175560484962495</c:v>
                </c:pt>
                <c:pt idx="7">
                  <c:v>8.515234270690134</c:v>
                </c:pt>
                <c:pt idx="8">
                  <c:v>9.091837488727863</c:v>
                </c:pt>
                <c:pt idx="9">
                  <c:v>9.613023750015381</c:v>
                </c:pt>
                <c:pt idx="10">
                  <c:v>9.541109754898009</c:v>
                </c:pt>
                <c:pt idx="11">
                  <c:v>9.56300452892385</c:v>
                </c:pt>
                <c:pt idx="12">
                  <c:v>9.560232353294267</c:v>
                </c:pt>
                <c:pt idx="13">
                  <c:v>9.563510400934745</c:v>
                </c:pt>
                <c:pt idx="14">
                  <c:v>9.82979869879091</c:v>
                </c:pt>
                <c:pt idx="15">
                  <c:v>10.04529850019619</c:v>
                </c:pt>
                <c:pt idx="16">
                  <c:v>10.16493699861347</c:v>
                </c:pt>
              </c:numCache>
            </c:numRef>
          </c:yVal>
          <c:smooth val="0"/>
        </c:ser>
        <c:ser>
          <c:idx val="12"/>
          <c:order val="12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6.592234105530294</c:v>
                </c:pt>
                <c:pt idx="1">
                  <c:v>7.121658797449571</c:v>
                </c:pt>
                <c:pt idx="2">
                  <c:v>7.146760150755393</c:v>
                </c:pt>
                <c:pt idx="3">
                  <c:v>7.371524453284214</c:v>
                </c:pt>
                <c:pt idx="4">
                  <c:v>7.639570419416766</c:v>
                </c:pt>
                <c:pt idx="5">
                  <c:v>7.710035563110668</c:v>
                </c:pt>
                <c:pt idx="6">
                  <c:v>8.55976918644625</c:v>
                </c:pt>
                <c:pt idx="7">
                  <c:v>8.932222386762305</c:v>
                </c:pt>
                <c:pt idx="8">
                  <c:v>9.318536184702633</c:v>
                </c:pt>
                <c:pt idx="9">
                  <c:v>9.730836980765744</c:v>
                </c:pt>
                <c:pt idx="10">
                  <c:v>9.695475972941158</c:v>
                </c:pt>
                <c:pt idx="11">
                  <c:v>9.690208888340317</c:v>
                </c:pt>
                <c:pt idx="12">
                  <c:v>9.659759346201152</c:v>
                </c:pt>
                <c:pt idx="13">
                  <c:v>9.627149653547894</c:v>
                </c:pt>
                <c:pt idx="14">
                  <c:v>9.838001228650631</c:v>
                </c:pt>
                <c:pt idx="15">
                  <c:v>10.04892783204458</c:v>
                </c:pt>
                <c:pt idx="16">
                  <c:v>10.16678514177826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74056"/>
        <c:axId val="-2126327752"/>
      </c:scatterChart>
      <c:valAx>
        <c:axId val="211790930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447912"/>
        <c:crosses val="autoZero"/>
        <c:crossBetween val="midCat"/>
        <c:majorUnit val="6.0"/>
      </c:valAx>
      <c:valAx>
        <c:axId val="21174479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909304"/>
        <c:crosses val="autoZero"/>
        <c:crossBetween val="midCat"/>
      </c:valAx>
      <c:valAx>
        <c:axId val="-2126327752"/>
        <c:scaling>
          <c:orientation val="minMax"/>
          <c:max val="12.0"/>
          <c:min val="4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25574056"/>
        <c:crosses val="max"/>
        <c:crossBetween val="midCat"/>
        <c:majorUnit val="1.0"/>
        <c:minorUnit val="0.2"/>
      </c:valAx>
      <c:valAx>
        <c:axId val="-2125574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632775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0.0231090808111249</c:v>
                  </c:pt>
                  <c:pt idx="1">
                    <c:v>0.0169574293034186</c:v>
                  </c:pt>
                  <c:pt idx="2">
                    <c:v>0.00640930583025784</c:v>
                  </c:pt>
                  <c:pt idx="3">
                    <c:v>0.02793751641234</c:v>
                  </c:pt>
                  <c:pt idx="4">
                    <c:v>0.0293711291192783</c:v>
                  </c:pt>
                  <c:pt idx="5">
                    <c:v>0.0169707501434056</c:v>
                  </c:pt>
                  <c:pt idx="6">
                    <c:v>0.0169985938680051</c:v>
                  </c:pt>
                  <c:pt idx="7">
                    <c:v>0.0232641751466366</c:v>
                  </c:pt>
                  <c:pt idx="8">
                    <c:v>0.0234493012088116</c:v>
                  </c:pt>
                  <c:pt idx="9">
                    <c:v>0.0403203339070031</c:v>
                  </c:pt>
                  <c:pt idx="10">
                    <c:v>0.111179775723159</c:v>
                  </c:pt>
                  <c:pt idx="11">
                    <c:v>0.0541862819948014</c:v>
                  </c:pt>
                  <c:pt idx="12">
                    <c:v>0.0866512804188218</c:v>
                  </c:pt>
                  <c:pt idx="13">
                    <c:v>0.0622043598895398</c:v>
                  </c:pt>
                  <c:pt idx="14">
                    <c:v>0.117884760741579</c:v>
                  </c:pt>
                  <c:pt idx="15">
                    <c:v>0.0756632969272513</c:v>
                  </c:pt>
                  <c:pt idx="16">
                    <c:v>0.0588443879832034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0.0231090808111249</c:v>
                  </c:pt>
                  <c:pt idx="1">
                    <c:v>0.0169574293034186</c:v>
                  </c:pt>
                  <c:pt idx="2">
                    <c:v>0.00640930583025784</c:v>
                  </c:pt>
                  <c:pt idx="3">
                    <c:v>0.02793751641234</c:v>
                  </c:pt>
                  <c:pt idx="4">
                    <c:v>0.0293711291192783</c:v>
                  </c:pt>
                  <c:pt idx="5">
                    <c:v>0.0169707501434056</c:v>
                  </c:pt>
                  <c:pt idx="6">
                    <c:v>0.0169985938680051</c:v>
                  </c:pt>
                  <c:pt idx="7">
                    <c:v>0.0232641751466366</c:v>
                  </c:pt>
                  <c:pt idx="8">
                    <c:v>0.0234493012088116</c:v>
                  </c:pt>
                  <c:pt idx="9">
                    <c:v>0.0403203339070031</c:v>
                  </c:pt>
                  <c:pt idx="10">
                    <c:v>0.111179775723159</c:v>
                  </c:pt>
                  <c:pt idx="11">
                    <c:v>0.0541862819948014</c:v>
                  </c:pt>
                  <c:pt idx="12">
                    <c:v>0.0866512804188218</c:v>
                  </c:pt>
                  <c:pt idx="13">
                    <c:v>0.0622043598895398</c:v>
                  </c:pt>
                  <c:pt idx="14">
                    <c:v>0.117884760741579</c:v>
                  </c:pt>
                  <c:pt idx="15">
                    <c:v>0.0756632969272513</c:v>
                  </c:pt>
                  <c:pt idx="16">
                    <c:v>0.0588443879832034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2.094434576672587</c:v>
                </c:pt>
                <c:pt idx="1">
                  <c:v>2.079632918886916</c:v>
                </c:pt>
                <c:pt idx="2">
                  <c:v>2.094434576672587</c:v>
                </c:pt>
                <c:pt idx="3">
                  <c:v>2.105535820011841</c:v>
                </c:pt>
                <c:pt idx="4">
                  <c:v>2.10923623445826</c:v>
                </c:pt>
                <c:pt idx="5">
                  <c:v>2.1812562409975</c:v>
                </c:pt>
                <c:pt idx="6">
                  <c:v>2.210800785349309</c:v>
                </c:pt>
                <c:pt idx="7">
                  <c:v>2.253775896697628</c:v>
                </c:pt>
                <c:pt idx="8">
                  <c:v>2.48198447829761</c:v>
                </c:pt>
                <c:pt idx="9">
                  <c:v>4.668984812947634</c:v>
                </c:pt>
                <c:pt idx="10">
                  <c:v>10.71122593849406</c:v>
                </c:pt>
                <c:pt idx="11">
                  <c:v>12.0210554826201</c:v>
                </c:pt>
                <c:pt idx="12">
                  <c:v>12.17088072544307</c:v>
                </c:pt>
                <c:pt idx="13">
                  <c:v>11.96711839520384</c:v>
                </c:pt>
                <c:pt idx="14">
                  <c:v>12.54170055882008</c:v>
                </c:pt>
                <c:pt idx="15">
                  <c:v>12.26709341489846</c:v>
                </c:pt>
                <c:pt idx="16">
                  <c:v>12.56916127321224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0.125725802419163</c:v>
                  </c:pt>
                  <c:pt idx="1">
                    <c:v>0.273802108357224</c:v>
                  </c:pt>
                  <c:pt idx="2">
                    <c:v>0.327316635865791</c:v>
                  </c:pt>
                  <c:pt idx="3">
                    <c:v>0.0333055786844297</c:v>
                  </c:pt>
                  <c:pt idx="4">
                    <c:v>0.0917164121113422</c:v>
                  </c:pt>
                  <c:pt idx="5">
                    <c:v>0.108434940556569</c:v>
                  </c:pt>
                  <c:pt idx="6">
                    <c:v>0.126031004806935</c:v>
                  </c:pt>
                  <c:pt idx="7">
                    <c:v>0.370846663669416</c:v>
                  </c:pt>
                  <c:pt idx="8">
                    <c:v>0.515410798225015</c:v>
                  </c:pt>
                  <c:pt idx="9">
                    <c:v>0.688258698925623</c:v>
                  </c:pt>
                  <c:pt idx="10">
                    <c:v>0.6400256477962</c:v>
                  </c:pt>
                  <c:pt idx="11">
                    <c:v>0.410966461694645</c:v>
                  </c:pt>
                  <c:pt idx="12">
                    <c:v>0.705664138657521</c:v>
                  </c:pt>
                  <c:pt idx="13">
                    <c:v>0.114735657457164</c:v>
                  </c:pt>
                  <c:pt idx="14">
                    <c:v>0.494320296908424</c:v>
                  </c:pt>
                  <c:pt idx="15">
                    <c:v>0.577577061850982</c:v>
                  </c:pt>
                  <c:pt idx="16">
                    <c:v>0.0873843085055198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0.125725802419163</c:v>
                  </c:pt>
                  <c:pt idx="1">
                    <c:v>0.273802108357224</c:v>
                  </c:pt>
                  <c:pt idx="2">
                    <c:v>0.327316635865791</c:v>
                  </c:pt>
                  <c:pt idx="3">
                    <c:v>0.0333055786844297</c:v>
                  </c:pt>
                  <c:pt idx="4">
                    <c:v>0.0917164121113422</c:v>
                  </c:pt>
                  <c:pt idx="5">
                    <c:v>0.108434940556569</c:v>
                  </c:pt>
                  <c:pt idx="6">
                    <c:v>0.126031004806935</c:v>
                  </c:pt>
                  <c:pt idx="7">
                    <c:v>0.370846663669416</c:v>
                  </c:pt>
                  <c:pt idx="8">
                    <c:v>0.515410798225015</c:v>
                  </c:pt>
                  <c:pt idx="9">
                    <c:v>0.688258698925623</c:v>
                  </c:pt>
                  <c:pt idx="10">
                    <c:v>0.6400256477962</c:v>
                  </c:pt>
                  <c:pt idx="11">
                    <c:v>0.410966461694645</c:v>
                  </c:pt>
                  <c:pt idx="12">
                    <c:v>0.705664138657521</c:v>
                  </c:pt>
                  <c:pt idx="13">
                    <c:v>0.114735657457164</c:v>
                  </c:pt>
                  <c:pt idx="14">
                    <c:v>0.494320296908424</c:v>
                  </c:pt>
                  <c:pt idx="15">
                    <c:v>0.577577061850982</c:v>
                  </c:pt>
                  <c:pt idx="16">
                    <c:v>0.0873843085055198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1.948376353039134</c:v>
                </c:pt>
                <c:pt idx="1">
                  <c:v>1.870663336108799</c:v>
                </c:pt>
                <c:pt idx="2">
                  <c:v>1.826255897862892</c:v>
                </c:pt>
                <c:pt idx="3">
                  <c:v>1.89841798501249</c:v>
                </c:pt>
                <c:pt idx="4">
                  <c:v>1.903968914793228</c:v>
                </c:pt>
                <c:pt idx="5">
                  <c:v>2.038791536859722</c:v>
                </c:pt>
                <c:pt idx="6">
                  <c:v>3.021471803869714</c:v>
                </c:pt>
                <c:pt idx="7">
                  <c:v>5.107600452953488</c:v>
                </c:pt>
                <c:pt idx="8">
                  <c:v>12.89877448403591</c:v>
                </c:pt>
                <c:pt idx="9">
                  <c:v>33.68744717714056</c:v>
                </c:pt>
                <c:pt idx="10">
                  <c:v>49.03377758177496</c:v>
                </c:pt>
                <c:pt idx="11">
                  <c:v>50.73057504269092</c:v>
                </c:pt>
                <c:pt idx="12">
                  <c:v>50.9571257692996</c:v>
                </c:pt>
                <c:pt idx="13">
                  <c:v>49.66394689408377</c:v>
                </c:pt>
                <c:pt idx="14">
                  <c:v>52.71572880602</c:v>
                </c:pt>
                <c:pt idx="15">
                  <c:v>51.38577181671876</c:v>
                </c:pt>
                <c:pt idx="16">
                  <c:v>52.4244329167704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0.16013718869937</c:v>
                  </c:pt>
                  <c:pt idx="1">
                    <c:v>0.03318542758314</c:v>
                  </c:pt>
                  <c:pt idx="2">
                    <c:v>0.03318542758314</c:v>
                  </c:pt>
                  <c:pt idx="3">
                    <c:v>0.0979632794443381</c:v>
                  </c:pt>
                  <c:pt idx="4">
                    <c:v>0.0783304643811423</c:v>
                  </c:pt>
                  <c:pt idx="5">
                    <c:v>0.230095995681377</c:v>
                  </c:pt>
                  <c:pt idx="6">
                    <c:v>0.0764807683679833</c:v>
                  </c:pt>
                  <c:pt idx="7">
                    <c:v>0.0252541863588678</c:v>
                  </c:pt>
                  <c:pt idx="8">
                    <c:v>0.0</c:v>
                  </c:pt>
                  <c:pt idx="9">
                    <c:v>0.116749000178279</c:v>
                  </c:pt>
                  <c:pt idx="10">
                    <c:v>0.0686768603915026</c:v>
                  </c:pt>
                  <c:pt idx="11">
                    <c:v>0.0927865032985062</c:v>
                  </c:pt>
                  <c:pt idx="12">
                    <c:v>0.103736956549543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0.16013718869937</c:v>
                  </c:pt>
                  <c:pt idx="1">
                    <c:v>0.03318542758314</c:v>
                  </c:pt>
                  <c:pt idx="2">
                    <c:v>0.03318542758314</c:v>
                  </c:pt>
                  <c:pt idx="3">
                    <c:v>0.0979632794443381</c:v>
                  </c:pt>
                  <c:pt idx="4">
                    <c:v>0.0783304643811423</c:v>
                  </c:pt>
                  <c:pt idx="5">
                    <c:v>0.230095995681377</c:v>
                  </c:pt>
                  <c:pt idx="6">
                    <c:v>0.0764807683679833</c:v>
                  </c:pt>
                  <c:pt idx="7">
                    <c:v>0.0252541863588678</c:v>
                  </c:pt>
                  <c:pt idx="8">
                    <c:v>0.0</c:v>
                  </c:pt>
                  <c:pt idx="9">
                    <c:v>0.116749000178279</c:v>
                  </c:pt>
                  <c:pt idx="10">
                    <c:v>0.0686768603915026</c:v>
                  </c:pt>
                  <c:pt idx="11">
                    <c:v>0.0927865032985062</c:v>
                  </c:pt>
                  <c:pt idx="12">
                    <c:v>0.103736956549543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2.918386559490187</c:v>
                </c:pt>
                <c:pt idx="1">
                  <c:v>3.034253023390543</c:v>
                </c:pt>
                <c:pt idx="2">
                  <c:v>3.055977985371859</c:v>
                </c:pt>
                <c:pt idx="3">
                  <c:v>2.969078137446593</c:v>
                </c:pt>
                <c:pt idx="4">
                  <c:v>2.998044753421682</c:v>
                </c:pt>
                <c:pt idx="5">
                  <c:v>3.39175635822056</c:v>
                </c:pt>
                <c:pt idx="6">
                  <c:v>3.535246608225211</c:v>
                </c:pt>
                <c:pt idx="7">
                  <c:v>4.0971236731805</c:v>
                </c:pt>
                <c:pt idx="8">
                  <c:v>2.954003852832596</c:v>
                </c:pt>
                <c:pt idx="9">
                  <c:v>2.426582400499756</c:v>
                </c:pt>
                <c:pt idx="10">
                  <c:v>3.777227321532638</c:v>
                </c:pt>
                <c:pt idx="11">
                  <c:v>2.716780141868233</c:v>
                </c:pt>
                <c:pt idx="12">
                  <c:v>1.341979885146467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0.00790931976086119</c:v>
                </c:pt>
                <c:pt idx="3">
                  <c:v>0.0236956353554571</c:v>
                </c:pt>
                <c:pt idx="4">
                  <c:v>0.0396295344879067</c:v>
                </c:pt>
                <c:pt idx="5">
                  <c:v>0.0566699255331846</c:v>
                </c:pt>
                <c:pt idx="6">
                  <c:v>0.0755135050871296</c:v>
                </c:pt>
                <c:pt idx="7">
                  <c:v>0.0972051369589486</c:v>
                </c:pt>
                <c:pt idx="8">
                  <c:v>0.124137248184556</c:v>
                </c:pt>
                <c:pt idx="9">
                  <c:v>0.158350568647877</c:v>
                </c:pt>
                <c:pt idx="10">
                  <c:v>0.202507289136628</c:v>
                </c:pt>
                <c:pt idx="11">
                  <c:v>0.258104658553736</c:v>
                </c:pt>
                <c:pt idx="12">
                  <c:v>0.327627870252148</c:v>
                </c:pt>
                <c:pt idx="13">
                  <c:v>0.417353897949657</c:v>
                </c:pt>
                <c:pt idx="14">
                  <c:v>0.536313226658556</c:v>
                </c:pt>
                <c:pt idx="15">
                  <c:v>0.703128351053677</c:v>
                </c:pt>
                <c:pt idx="16">
                  <c:v>0.940429380518014</c:v>
                </c:pt>
                <c:pt idx="17">
                  <c:v>1.27887300017635</c:v>
                </c:pt>
                <c:pt idx="18">
                  <c:v>1.764605066440921</c:v>
                </c:pt>
                <c:pt idx="19">
                  <c:v>2.4207844963216</c:v>
                </c:pt>
                <c:pt idx="20">
                  <c:v>3.289987843452565</c:v>
                </c:pt>
                <c:pt idx="21">
                  <c:v>4.410654340855794</c:v>
                </c:pt>
                <c:pt idx="22">
                  <c:v>5.7776106197242</c:v>
                </c:pt>
                <c:pt idx="23">
                  <c:v>7.47196085694982</c:v>
                </c:pt>
                <c:pt idx="24">
                  <c:v>9.510617007305333</c:v>
                </c:pt>
                <c:pt idx="25">
                  <c:v>11.83998219187868</c:v>
                </c:pt>
                <c:pt idx="26">
                  <c:v>14.54395821385774</c:v>
                </c:pt>
                <c:pt idx="27">
                  <c:v>17.5682089934132</c:v>
                </c:pt>
                <c:pt idx="28">
                  <c:v>20.8116135194973</c:v>
                </c:pt>
                <c:pt idx="29">
                  <c:v>24.13319173119321</c:v>
                </c:pt>
                <c:pt idx="30">
                  <c:v>27.1350315095425</c:v>
                </c:pt>
                <c:pt idx="31">
                  <c:v>29.7500947168585</c:v>
                </c:pt>
                <c:pt idx="32">
                  <c:v>32.069889866682</c:v>
                </c:pt>
                <c:pt idx="33">
                  <c:v>33.15570905770304</c:v>
                </c:pt>
                <c:pt idx="34">
                  <c:v>33.9242024168291</c:v>
                </c:pt>
                <c:pt idx="35">
                  <c:v>35.25342750481681</c:v>
                </c:pt>
                <c:pt idx="36">
                  <c:v>36.30376398537873</c:v>
                </c:pt>
                <c:pt idx="37">
                  <c:v>37.12376909031944</c:v>
                </c:pt>
                <c:pt idx="38">
                  <c:v>37.72770969766238</c:v>
                </c:pt>
                <c:pt idx="39">
                  <c:v>38.1705224901666</c:v>
                </c:pt>
                <c:pt idx="40">
                  <c:v>38.4942913357757</c:v>
                </c:pt>
                <c:pt idx="41">
                  <c:v>38.73417246324955</c:v>
                </c:pt>
                <c:pt idx="42">
                  <c:v>38.91616888107161</c:v>
                </c:pt>
                <c:pt idx="43">
                  <c:v>39.0549927219304</c:v>
                </c:pt>
                <c:pt idx="44">
                  <c:v>39.1623504079648</c:v>
                </c:pt>
                <c:pt idx="45">
                  <c:v>39.24781854629217</c:v>
                </c:pt>
                <c:pt idx="46">
                  <c:v>39.31719686459132</c:v>
                </c:pt>
                <c:pt idx="47">
                  <c:v>39.37565897084767</c:v>
                </c:pt>
                <c:pt idx="48">
                  <c:v>39.42997013169631</c:v>
                </c:pt>
                <c:pt idx="49">
                  <c:v>39.48240686194907</c:v>
                </c:pt>
                <c:pt idx="50">
                  <c:v>39.52736411901449</c:v>
                </c:pt>
                <c:pt idx="51">
                  <c:v>39.56441562733902</c:v>
                </c:pt>
                <c:pt idx="52">
                  <c:v>39.59634941043658</c:v>
                </c:pt>
                <c:pt idx="53">
                  <c:v>39.62391462491824</c:v>
                </c:pt>
                <c:pt idx="54">
                  <c:v>39.64815126220537</c:v>
                </c:pt>
                <c:pt idx="55">
                  <c:v>39.66955815539252</c:v>
                </c:pt>
                <c:pt idx="56">
                  <c:v>39.67945016681896</c:v>
                </c:pt>
                <c:pt idx="57">
                  <c:v>39.67945016681896</c:v>
                </c:pt>
                <c:pt idx="58">
                  <c:v>39.67945016681896</c:v>
                </c:pt>
                <c:pt idx="59">
                  <c:v>39.67945016681896</c:v>
                </c:pt>
                <c:pt idx="60">
                  <c:v>39.67945016681896</c:v>
                </c:pt>
                <c:pt idx="61">
                  <c:v>39.67945016681896</c:v>
                </c:pt>
                <c:pt idx="62">
                  <c:v>39.67945016681896</c:v>
                </c:pt>
                <c:pt idx="63">
                  <c:v>39.67945016681896</c:v>
                </c:pt>
                <c:pt idx="64">
                  <c:v>39.67945016681896</c:v>
                </c:pt>
                <c:pt idx="65">
                  <c:v>39.67945016681896</c:v>
                </c:pt>
                <c:pt idx="66">
                  <c:v>39.67945016681896</c:v>
                </c:pt>
                <c:pt idx="67">
                  <c:v>39.67945016681896</c:v>
                </c:pt>
                <c:pt idx="68">
                  <c:v>39.67945016681896</c:v>
                </c:pt>
                <c:pt idx="69">
                  <c:v>39.67945016681896</c:v>
                </c:pt>
                <c:pt idx="70">
                  <c:v>39.67945016681896</c:v>
                </c:pt>
                <c:pt idx="71">
                  <c:v>39.67945016681896</c:v>
                </c:pt>
                <c:pt idx="72">
                  <c:v>39.67945016681896</c:v>
                </c:pt>
                <c:pt idx="73">
                  <c:v>39.67945016681896</c:v>
                </c:pt>
                <c:pt idx="74">
                  <c:v>39.67945016681896</c:v>
                </c:pt>
                <c:pt idx="75">
                  <c:v>39.67945016681896</c:v>
                </c:pt>
                <c:pt idx="76">
                  <c:v>39.67945016681896</c:v>
                </c:pt>
                <c:pt idx="77">
                  <c:v>39.67945016681896</c:v>
                </c:pt>
                <c:pt idx="78">
                  <c:v>39.67945016681896</c:v>
                </c:pt>
                <c:pt idx="79">
                  <c:v>39.67945016681896</c:v>
                </c:pt>
                <c:pt idx="80">
                  <c:v>39.67945016681896</c:v>
                </c:pt>
                <c:pt idx="81">
                  <c:v>39.67945016681896</c:v>
                </c:pt>
                <c:pt idx="82">
                  <c:v>39.67945016681896</c:v>
                </c:pt>
                <c:pt idx="83">
                  <c:v>39.67945016681896</c:v>
                </c:pt>
                <c:pt idx="84">
                  <c:v>39.67945016681896</c:v>
                </c:pt>
                <c:pt idx="85">
                  <c:v>39.67945016681896</c:v>
                </c:pt>
                <c:pt idx="86">
                  <c:v>39.67945016681896</c:v>
                </c:pt>
                <c:pt idx="87">
                  <c:v>39.67945016681896</c:v>
                </c:pt>
                <c:pt idx="88">
                  <c:v>39.67945016681896</c:v>
                </c:pt>
                <c:pt idx="89">
                  <c:v>39.67945016681896</c:v>
                </c:pt>
                <c:pt idx="90">
                  <c:v>39.67945016681896</c:v>
                </c:pt>
                <c:pt idx="91">
                  <c:v>39.67945016681896</c:v>
                </c:pt>
                <c:pt idx="92">
                  <c:v>39.67945016681896</c:v>
                </c:pt>
                <c:pt idx="93">
                  <c:v>39.67945016681896</c:v>
                </c:pt>
                <c:pt idx="94">
                  <c:v>39.67945016681896</c:v>
                </c:pt>
                <c:pt idx="95">
                  <c:v>39.67945016681896</c:v>
                </c:pt>
                <c:pt idx="96">
                  <c:v>39.67945016681896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1.245386013041917</c:v>
                  </c:pt>
                  <c:pt idx="1">
                    <c:v>0.224874402075761</c:v>
                  </c:pt>
                  <c:pt idx="2">
                    <c:v>1.514865567592022</c:v>
                  </c:pt>
                  <c:pt idx="3">
                    <c:v>0.886056106590742</c:v>
                  </c:pt>
                  <c:pt idx="4">
                    <c:v>1.128051482234121</c:v>
                  </c:pt>
                  <c:pt idx="5">
                    <c:v>0.600152323616199</c:v>
                  </c:pt>
                  <c:pt idx="6">
                    <c:v>0.543357068324111</c:v>
                  </c:pt>
                  <c:pt idx="7">
                    <c:v>0.484987558938</c:v>
                  </c:pt>
                  <c:pt idx="8">
                    <c:v>0.205586838265896</c:v>
                  </c:pt>
                  <c:pt idx="9">
                    <c:v>0.614864994112384</c:v>
                  </c:pt>
                  <c:pt idx="10">
                    <c:v>0.0900421700032677</c:v>
                  </c:pt>
                  <c:pt idx="11">
                    <c:v>0.024421427269876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1.245386013041917</c:v>
                  </c:pt>
                  <c:pt idx="1">
                    <c:v>0.224874402075761</c:v>
                  </c:pt>
                  <c:pt idx="2">
                    <c:v>1.514865567592022</c:v>
                  </c:pt>
                  <c:pt idx="3">
                    <c:v>0.886056106590742</c:v>
                  </c:pt>
                  <c:pt idx="4">
                    <c:v>1.128051482234121</c:v>
                  </c:pt>
                  <c:pt idx="5">
                    <c:v>0.600152323616199</c:v>
                  </c:pt>
                  <c:pt idx="6">
                    <c:v>0.543357068324111</c:v>
                  </c:pt>
                  <c:pt idx="7">
                    <c:v>0.484987558938</c:v>
                  </c:pt>
                  <c:pt idx="8">
                    <c:v>0.205586838265896</c:v>
                  </c:pt>
                  <c:pt idx="9">
                    <c:v>0.614864994112384</c:v>
                  </c:pt>
                  <c:pt idx="10">
                    <c:v>0.0900421700032677</c:v>
                  </c:pt>
                  <c:pt idx="11">
                    <c:v>0.024421427269876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51.40800769686204</c:v>
                </c:pt>
                <c:pt idx="1">
                  <c:v>51.06386915334517</c:v>
                </c:pt>
                <c:pt idx="2">
                  <c:v>51.51161930136175</c:v>
                </c:pt>
                <c:pt idx="3">
                  <c:v>51.03611604499704</c:v>
                </c:pt>
                <c:pt idx="4">
                  <c:v>50.33488750740084</c:v>
                </c:pt>
                <c:pt idx="5">
                  <c:v>50.76327661031107</c:v>
                </c:pt>
                <c:pt idx="6">
                  <c:v>49.43513769521853</c:v>
                </c:pt>
                <c:pt idx="7">
                  <c:v>48.41892928483872</c:v>
                </c:pt>
                <c:pt idx="8">
                  <c:v>41.49532597529031</c:v>
                </c:pt>
                <c:pt idx="9">
                  <c:v>23.45399461159801</c:v>
                </c:pt>
                <c:pt idx="10">
                  <c:v>4.655698496746237</c:v>
                </c:pt>
                <c:pt idx="11">
                  <c:v>1.311992229804504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0.0113494495516967</c:v>
                  </c:pt>
                  <c:pt idx="4">
                    <c:v>0.0409210223069344</c:v>
                  </c:pt>
                  <c:pt idx="5">
                    <c:v>0.0236443223671604</c:v>
                  </c:pt>
                  <c:pt idx="6">
                    <c:v>0.0365719402016827</c:v>
                  </c:pt>
                  <c:pt idx="7">
                    <c:v>0.0401254596999911</c:v>
                  </c:pt>
                  <c:pt idx="8">
                    <c:v>0.0899470553601431</c:v>
                  </c:pt>
                  <c:pt idx="9">
                    <c:v>0.362987532278155</c:v>
                  </c:pt>
                  <c:pt idx="10">
                    <c:v>0.232822290124351</c:v>
                  </c:pt>
                  <c:pt idx="11">
                    <c:v>0.0780376895032094</c:v>
                  </c:pt>
                  <c:pt idx="12">
                    <c:v>0.215438281198263</c:v>
                  </c:pt>
                  <c:pt idx="13">
                    <c:v>0.145384001719233</c:v>
                  </c:pt>
                  <c:pt idx="14">
                    <c:v>0.190369585088111</c:v>
                  </c:pt>
                  <c:pt idx="15">
                    <c:v>0.181679382751376</c:v>
                  </c:pt>
                  <c:pt idx="16">
                    <c:v>0.184969751221135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0.0113494495516967</c:v>
                  </c:pt>
                  <c:pt idx="4">
                    <c:v>0.0409210223069344</c:v>
                  </c:pt>
                  <c:pt idx="5">
                    <c:v>0.0236443223671604</c:v>
                  </c:pt>
                  <c:pt idx="6">
                    <c:v>0.0365719402016827</c:v>
                  </c:pt>
                  <c:pt idx="7">
                    <c:v>0.0401254596999911</c:v>
                  </c:pt>
                  <c:pt idx="8">
                    <c:v>0.0899470553601431</c:v>
                  </c:pt>
                  <c:pt idx="9">
                    <c:v>0.362987532278155</c:v>
                  </c:pt>
                  <c:pt idx="10">
                    <c:v>0.232822290124351</c:v>
                  </c:pt>
                  <c:pt idx="11">
                    <c:v>0.0780376895032094</c:v>
                  </c:pt>
                  <c:pt idx="12">
                    <c:v>0.215438281198263</c:v>
                  </c:pt>
                  <c:pt idx="13">
                    <c:v>0.145384001719233</c:v>
                  </c:pt>
                  <c:pt idx="14">
                    <c:v>0.190369585088111</c:v>
                  </c:pt>
                  <c:pt idx="15">
                    <c:v>0.181679382751376</c:v>
                  </c:pt>
                  <c:pt idx="16">
                    <c:v>0.184969751221135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0.147542844172058</c:v>
                </c:pt>
                <c:pt idx="4">
                  <c:v>0.272386789240722</c:v>
                </c:pt>
                <c:pt idx="5">
                  <c:v>0.719363120838888</c:v>
                </c:pt>
                <c:pt idx="6">
                  <c:v>1.793773763082101</c:v>
                </c:pt>
                <c:pt idx="7">
                  <c:v>4.57786518908044</c:v>
                </c:pt>
                <c:pt idx="8">
                  <c:v>7.739115100055926</c:v>
                </c:pt>
                <c:pt idx="9">
                  <c:v>12.73161084455115</c:v>
                </c:pt>
                <c:pt idx="10">
                  <c:v>16.9821743843893</c:v>
                </c:pt>
                <c:pt idx="11">
                  <c:v>17.54318865226708</c:v>
                </c:pt>
                <c:pt idx="12">
                  <c:v>17.61490060127077</c:v>
                </c:pt>
                <c:pt idx="13">
                  <c:v>17.17823374533751</c:v>
                </c:pt>
                <c:pt idx="14">
                  <c:v>18.46111562609813</c:v>
                </c:pt>
                <c:pt idx="15">
                  <c:v>18.24052875678781</c:v>
                </c:pt>
                <c:pt idx="16">
                  <c:v>18.70175584716394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0.0148442143398998</c:v>
                </c:pt>
                <c:pt idx="3">
                  <c:v>0.0452186634536653</c:v>
                </c:pt>
                <c:pt idx="4">
                  <c:v>0.0804862828845842</c:v>
                </c:pt>
                <c:pt idx="5">
                  <c:v>0.123508686033867</c:v>
                </c:pt>
                <c:pt idx="6">
                  <c:v>0.185300996348422</c:v>
                </c:pt>
                <c:pt idx="7">
                  <c:v>0.285865485812404</c:v>
                </c:pt>
                <c:pt idx="8">
                  <c:v>0.431431537838127</c:v>
                </c:pt>
                <c:pt idx="9">
                  <c:v>0.615813254647842</c:v>
                </c:pt>
                <c:pt idx="10">
                  <c:v>0.830536570261012</c:v>
                </c:pt>
                <c:pt idx="11">
                  <c:v>1.068215254057108</c:v>
                </c:pt>
                <c:pt idx="12">
                  <c:v>1.342738243075233</c:v>
                </c:pt>
                <c:pt idx="13">
                  <c:v>1.692191736299899</c:v>
                </c:pt>
                <c:pt idx="14">
                  <c:v>2.170433200501448</c:v>
                </c:pt>
                <c:pt idx="15">
                  <c:v>2.876987172741684</c:v>
                </c:pt>
                <c:pt idx="16">
                  <c:v>3.86899374627191</c:v>
                </c:pt>
                <c:pt idx="17">
                  <c:v>5.214374095638882</c:v>
                </c:pt>
                <c:pt idx="18">
                  <c:v>6.964727460756203</c:v>
                </c:pt>
                <c:pt idx="19">
                  <c:v>9.3255059472618</c:v>
                </c:pt>
                <c:pt idx="20">
                  <c:v>12.03950723192588</c:v>
                </c:pt>
                <c:pt idx="21">
                  <c:v>14.79214050241403</c:v>
                </c:pt>
                <c:pt idx="22">
                  <c:v>17.40361841398049</c:v>
                </c:pt>
                <c:pt idx="23">
                  <c:v>19.86936009607176</c:v>
                </c:pt>
                <c:pt idx="24">
                  <c:v>22.43362888874077</c:v>
                </c:pt>
                <c:pt idx="25">
                  <c:v>25.06208614905956</c:v>
                </c:pt>
                <c:pt idx="26">
                  <c:v>28.30505388613754</c:v>
                </c:pt>
                <c:pt idx="27">
                  <c:v>31.95641892415635</c:v>
                </c:pt>
                <c:pt idx="28">
                  <c:v>35.54810631398051</c:v>
                </c:pt>
                <c:pt idx="29">
                  <c:v>39.13696013273542</c:v>
                </c:pt>
                <c:pt idx="30">
                  <c:v>42.15285481678654</c:v>
                </c:pt>
                <c:pt idx="31">
                  <c:v>44.37194580630194</c:v>
                </c:pt>
                <c:pt idx="32">
                  <c:v>45.99173465407016</c:v>
                </c:pt>
                <c:pt idx="33">
                  <c:v>46.65679592209318</c:v>
                </c:pt>
                <c:pt idx="34">
                  <c:v>46.89345449108509</c:v>
                </c:pt>
                <c:pt idx="35">
                  <c:v>47.27430992845245</c:v>
                </c:pt>
                <c:pt idx="36">
                  <c:v>47.52495087865553</c:v>
                </c:pt>
                <c:pt idx="37">
                  <c:v>47.7133860246664</c:v>
                </c:pt>
                <c:pt idx="38">
                  <c:v>47.87466336898468</c:v>
                </c:pt>
                <c:pt idx="39">
                  <c:v>48.01824359137844</c:v>
                </c:pt>
                <c:pt idx="40">
                  <c:v>48.15542428806867</c:v>
                </c:pt>
                <c:pt idx="41">
                  <c:v>48.29967263281862</c:v>
                </c:pt>
                <c:pt idx="42">
                  <c:v>48.44965294095141</c:v>
                </c:pt>
                <c:pt idx="43">
                  <c:v>48.59985558317927</c:v>
                </c:pt>
                <c:pt idx="44">
                  <c:v>48.74582883728137</c:v>
                </c:pt>
                <c:pt idx="45">
                  <c:v>48.89018862909661</c:v>
                </c:pt>
                <c:pt idx="46">
                  <c:v>49.03393630210604</c:v>
                </c:pt>
                <c:pt idx="47">
                  <c:v>49.17195145169714</c:v>
                </c:pt>
                <c:pt idx="48">
                  <c:v>49.30781391471876</c:v>
                </c:pt>
                <c:pt idx="49">
                  <c:v>49.41482419480747</c:v>
                </c:pt>
                <c:pt idx="50">
                  <c:v>49.51552559670404</c:v>
                </c:pt>
                <c:pt idx="51">
                  <c:v>49.64518773645467</c:v>
                </c:pt>
                <c:pt idx="52">
                  <c:v>49.77316775054585</c:v>
                </c:pt>
                <c:pt idx="53">
                  <c:v>49.89441805270695</c:v>
                </c:pt>
                <c:pt idx="54">
                  <c:v>50.01032086409448</c:v>
                </c:pt>
                <c:pt idx="55">
                  <c:v>50.12201775668726</c:v>
                </c:pt>
                <c:pt idx="56">
                  <c:v>50.23016960875477</c:v>
                </c:pt>
                <c:pt idx="57">
                  <c:v>50.34024423565945</c:v>
                </c:pt>
                <c:pt idx="58">
                  <c:v>50.44899710602512</c:v>
                </c:pt>
                <c:pt idx="59">
                  <c:v>50.55384456674511</c:v>
                </c:pt>
                <c:pt idx="60">
                  <c:v>50.66220266903422</c:v>
                </c:pt>
                <c:pt idx="61">
                  <c:v>50.76941768184732</c:v>
                </c:pt>
                <c:pt idx="62">
                  <c:v>50.86811129612503</c:v>
                </c:pt>
                <c:pt idx="63">
                  <c:v>50.95790210952978</c:v>
                </c:pt>
                <c:pt idx="64">
                  <c:v>51.04514917412271</c:v>
                </c:pt>
                <c:pt idx="65">
                  <c:v>51.10899438958372</c:v>
                </c:pt>
                <c:pt idx="66">
                  <c:v>51.1732210073823</c:v>
                </c:pt>
                <c:pt idx="67">
                  <c:v>51.26173962641274</c:v>
                </c:pt>
                <c:pt idx="68">
                  <c:v>51.34701504570021</c:v>
                </c:pt>
                <c:pt idx="69">
                  <c:v>51.43006476476944</c:v>
                </c:pt>
                <c:pt idx="70">
                  <c:v>51.50917183316455</c:v>
                </c:pt>
                <c:pt idx="71">
                  <c:v>51.5864985973598</c:v>
                </c:pt>
                <c:pt idx="72">
                  <c:v>51.66077286298085</c:v>
                </c:pt>
                <c:pt idx="73">
                  <c:v>51.73084978307821</c:v>
                </c:pt>
                <c:pt idx="74">
                  <c:v>51.80156280036273</c:v>
                </c:pt>
                <c:pt idx="75">
                  <c:v>51.87144965922811</c:v>
                </c:pt>
                <c:pt idx="76">
                  <c:v>51.93949222021283</c:v>
                </c:pt>
                <c:pt idx="77">
                  <c:v>52.00314673450505</c:v>
                </c:pt>
                <c:pt idx="78">
                  <c:v>52.06470289600382</c:v>
                </c:pt>
                <c:pt idx="79">
                  <c:v>52.12562296031544</c:v>
                </c:pt>
                <c:pt idx="80">
                  <c:v>52.18552552510234</c:v>
                </c:pt>
                <c:pt idx="81">
                  <c:v>52.24402918802694</c:v>
                </c:pt>
                <c:pt idx="82">
                  <c:v>52.30507659976335</c:v>
                </c:pt>
                <c:pt idx="83">
                  <c:v>52.36669611500611</c:v>
                </c:pt>
                <c:pt idx="84">
                  <c:v>52.41947682305672</c:v>
                </c:pt>
                <c:pt idx="85">
                  <c:v>52.46977777597631</c:v>
                </c:pt>
                <c:pt idx="86">
                  <c:v>52.51867918709679</c:v>
                </c:pt>
                <c:pt idx="87">
                  <c:v>52.56179364966249</c:v>
                </c:pt>
                <c:pt idx="88">
                  <c:v>52.60548085567135</c:v>
                </c:pt>
                <c:pt idx="89">
                  <c:v>52.64681501403718</c:v>
                </c:pt>
                <c:pt idx="90">
                  <c:v>52.688275879891</c:v>
                </c:pt>
                <c:pt idx="91">
                  <c:v>52.73043683661277</c:v>
                </c:pt>
                <c:pt idx="92">
                  <c:v>52.76922788610359</c:v>
                </c:pt>
                <c:pt idx="93">
                  <c:v>52.80706478981367</c:v>
                </c:pt>
                <c:pt idx="94">
                  <c:v>52.84617324796126</c:v>
                </c:pt>
                <c:pt idx="95">
                  <c:v>52.88445490775291</c:v>
                </c:pt>
                <c:pt idx="96">
                  <c:v>52.91931504312327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09080"/>
        <c:axId val="-207576757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4776.0</c:v>
                </c:pt>
                <c:pt idx="1">
                  <c:v>5821.0</c:v>
                </c:pt>
                <c:pt idx="2">
                  <c:v>7832.0</c:v>
                </c:pt>
                <c:pt idx="3">
                  <c:v>13604.0</c:v>
                </c:pt>
                <c:pt idx="4">
                  <c:v>2442.0</c:v>
                </c:pt>
                <c:pt idx="5">
                  <c:v>6068.0</c:v>
                </c:pt>
                <c:pt idx="6">
                  <c:v>18061.0</c:v>
                </c:pt>
                <c:pt idx="7">
                  <c:v>3760.0</c:v>
                </c:pt>
                <c:pt idx="8">
                  <c:v>11420.0</c:v>
                </c:pt>
                <c:pt idx="9">
                  <c:v>25631.0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5.44133936696422E-17</c:v>
                  </c:pt>
                  <c:pt idx="5">
                    <c:v>0.0</c:v>
                  </c:pt>
                  <c:pt idx="6">
                    <c:v>0.00800350000000001</c:v>
                  </c:pt>
                  <c:pt idx="7">
                    <c:v>0.129383040624857</c:v>
                  </c:pt>
                  <c:pt idx="8">
                    <c:v>0.0924164575891832</c:v>
                  </c:pt>
                  <c:pt idx="9">
                    <c:v>0.242406095709933</c:v>
                  </c:pt>
                  <c:pt idx="10">
                    <c:v>0.133284910613818</c:v>
                  </c:pt>
                  <c:pt idx="11">
                    <c:v>0.0369665830356734</c:v>
                  </c:pt>
                  <c:pt idx="12">
                    <c:v>0.371049487709298</c:v>
                  </c:pt>
                  <c:pt idx="13">
                    <c:v>0.199927365920726</c:v>
                  </c:pt>
                  <c:pt idx="14">
                    <c:v>0.182039309868318</c:v>
                  </c:pt>
                  <c:pt idx="15">
                    <c:v>0.0847010824724219</c:v>
                  </c:pt>
                  <c:pt idx="16">
                    <c:v>0.0514553059104048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5.44133936696422E-17</c:v>
                  </c:pt>
                  <c:pt idx="5">
                    <c:v>0.0</c:v>
                  </c:pt>
                  <c:pt idx="6">
                    <c:v>0.00800350000000001</c:v>
                  </c:pt>
                  <c:pt idx="7">
                    <c:v>0.129383040624857</c:v>
                  </c:pt>
                  <c:pt idx="8">
                    <c:v>0.0924164575891832</c:v>
                  </c:pt>
                  <c:pt idx="9">
                    <c:v>0.242406095709933</c:v>
                  </c:pt>
                  <c:pt idx="10">
                    <c:v>0.133284910613818</c:v>
                  </c:pt>
                  <c:pt idx="11">
                    <c:v>0.0369665830356734</c:v>
                  </c:pt>
                  <c:pt idx="12">
                    <c:v>0.371049487709298</c:v>
                  </c:pt>
                  <c:pt idx="13">
                    <c:v>0.199927365920726</c:v>
                  </c:pt>
                  <c:pt idx="14">
                    <c:v>0.182039309868318</c:v>
                  </c:pt>
                  <c:pt idx="15">
                    <c:v>0.0847010824724219</c:v>
                  </c:pt>
                  <c:pt idx="16">
                    <c:v>0.0514553059104048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0.164277</c:v>
                </c:pt>
                <c:pt idx="1">
                  <c:v>0.1690791</c:v>
                </c:pt>
                <c:pt idx="2">
                  <c:v>0.1834854</c:v>
                </c:pt>
                <c:pt idx="3">
                  <c:v>0.2219022</c:v>
                </c:pt>
                <c:pt idx="4">
                  <c:v>0.2875309</c:v>
                </c:pt>
                <c:pt idx="5">
                  <c:v>0.4251911</c:v>
                </c:pt>
                <c:pt idx="6">
                  <c:v>0.8453955</c:v>
                </c:pt>
                <c:pt idx="7">
                  <c:v>1.856196666666666</c:v>
                </c:pt>
                <c:pt idx="8">
                  <c:v>3.632973666666667</c:v>
                </c:pt>
                <c:pt idx="9">
                  <c:v>7.778171333333334</c:v>
                </c:pt>
                <c:pt idx="10">
                  <c:v>9.389542666666665</c:v>
                </c:pt>
                <c:pt idx="11">
                  <c:v>8.674563333333335</c:v>
                </c:pt>
                <c:pt idx="12">
                  <c:v>8.64254933333333</c:v>
                </c:pt>
                <c:pt idx="13">
                  <c:v>8.151668000000001</c:v>
                </c:pt>
                <c:pt idx="14">
                  <c:v>7.009835333333334</c:v>
                </c:pt>
                <c:pt idx="15">
                  <c:v>6.102772000000002</c:v>
                </c:pt>
                <c:pt idx="16">
                  <c:v>4.246575333333333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766776"/>
        <c:axId val="-2075838888"/>
      </c:scatterChart>
      <c:valAx>
        <c:axId val="-207560908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5767576"/>
        <c:crosses val="autoZero"/>
        <c:crossBetween val="midCat"/>
        <c:majorUnit val="6.0"/>
      </c:valAx>
      <c:valAx>
        <c:axId val="-20757675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5609080"/>
        <c:crosses val="autoZero"/>
        <c:crossBetween val="midCat"/>
      </c:valAx>
      <c:valAx>
        <c:axId val="-2075838888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75766776"/>
        <c:crosses val="max"/>
        <c:crossBetween val="midCat"/>
        <c:majorUnit val="1.0"/>
        <c:minorUnit val="0.2"/>
      </c:valAx>
      <c:valAx>
        <c:axId val="-2075766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583888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98.33203125" style="2" customWidth="1"/>
    <col min="4" max="16384" width="8.83203125" style="2"/>
  </cols>
  <sheetData>
    <row r="1" spans="1:3">
      <c r="A1" s="129" t="s">
        <v>0</v>
      </c>
      <c r="B1" s="130"/>
      <c r="C1" s="34">
        <v>42306</v>
      </c>
    </row>
    <row r="2" spans="1:3" ht="16">
      <c r="A2" s="129" t="s">
        <v>1</v>
      </c>
      <c r="B2" s="131"/>
      <c r="C2" s="32" t="s">
        <v>180</v>
      </c>
    </row>
    <row r="3" spans="1:3">
      <c r="A3" s="11"/>
      <c r="B3" s="11"/>
      <c r="C3" s="10"/>
    </row>
    <row r="4" spans="1:3">
      <c r="A4" s="132" t="s">
        <v>49</v>
      </c>
      <c r="B4" s="132"/>
      <c r="C4" s="7" t="s">
        <v>107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2" t="s">
        <v>85</v>
      </c>
      <c r="B7" s="37" t="s">
        <v>86</v>
      </c>
      <c r="C7" s="37" t="s">
        <v>101</v>
      </c>
    </row>
    <row r="8" spans="1:3">
      <c r="A8" s="32" t="s">
        <v>87</v>
      </c>
      <c r="B8" s="37" t="s">
        <v>88</v>
      </c>
      <c r="C8" s="37" t="s">
        <v>101</v>
      </c>
    </row>
    <row r="9" spans="1:3">
      <c r="A9" s="32" t="s">
        <v>89</v>
      </c>
      <c r="B9" s="37" t="s">
        <v>90</v>
      </c>
      <c r="C9" s="37" t="s">
        <v>101</v>
      </c>
    </row>
    <row r="10" spans="1:3">
      <c r="A10" s="32" t="s">
        <v>91</v>
      </c>
      <c r="B10" s="37" t="s">
        <v>92</v>
      </c>
      <c r="C10" s="37" t="s">
        <v>101</v>
      </c>
    </row>
    <row r="11" spans="1:3">
      <c r="A11" s="32" t="s">
        <v>181</v>
      </c>
      <c r="B11" s="40" t="s">
        <v>182</v>
      </c>
      <c r="C11" s="32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69" t="s">
        <v>77</v>
      </c>
      <c r="B13" s="37" t="s">
        <v>94</v>
      </c>
      <c r="C13" s="37" t="s">
        <v>101</v>
      </c>
    </row>
    <row r="14" spans="1:3" ht="16">
      <c r="A14" s="69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150</v>
      </c>
      <c r="C18" s="37" t="s">
        <v>101</v>
      </c>
    </row>
    <row r="19" spans="1:3" ht="16">
      <c r="A19" s="32" t="s">
        <v>75</v>
      </c>
      <c r="B19" s="37" t="s">
        <v>151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145</v>
      </c>
      <c r="B29" s="29" t="s">
        <v>146</v>
      </c>
      <c r="C29" s="29" t="s">
        <v>147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32" workbookViewId="0">
      <selection activeCell="H13" sqref="H13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2" t="s">
        <v>288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 spans="1:29">
      <c r="A2" s="133" t="s">
        <v>4</v>
      </c>
      <c r="B2" s="133" t="s">
        <v>117</v>
      </c>
      <c r="C2" s="133" t="s">
        <v>117</v>
      </c>
      <c r="D2" s="133" t="s">
        <v>5</v>
      </c>
      <c r="E2" s="145" t="s">
        <v>221</v>
      </c>
      <c r="F2" s="145" t="s">
        <v>222</v>
      </c>
      <c r="G2" s="145" t="s">
        <v>223</v>
      </c>
      <c r="H2" s="147" t="s">
        <v>224</v>
      </c>
      <c r="I2" s="147" t="s">
        <v>225</v>
      </c>
      <c r="J2" s="147" t="s">
        <v>226</v>
      </c>
      <c r="K2" s="145" t="s">
        <v>227</v>
      </c>
      <c r="L2" s="145" t="s">
        <v>228</v>
      </c>
      <c r="M2" s="145" t="s">
        <v>229</v>
      </c>
      <c r="N2" s="145" t="s">
        <v>230</v>
      </c>
      <c r="O2" s="145" t="s">
        <v>231</v>
      </c>
      <c r="P2" s="147" t="s">
        <v>232</v>
      </c>
      <c r="Q2" s="147" t="s">
        <v>267</v>
      </c>
      <c r="R2" s="147" t="s">
        <v>234</v>
      </c>
      <c r="S2" s="147" t="s">
        <v>235</v>
      </c>
      <c r="T2" s="84"/>
      <c r="U2" s="84"/>
      <c r="V2" s="84"/>
      <c r="W2" s="84"/>
      <c r="X2" s="84"/>
      <c r="Y2" s="84"/>
      <c r="Z2" s="84"/>
      <c r="AA2" s="84"/>
      <c r="AB2" s="84"/>
      <c r="AC2" s="84"/>
    </row>
    <row r="3" spans="1:29">
      <c r="A3" s="134"/>
      <c r="B3" s="134"/>
      <c r="C3" s="134"/>
      <c r="D3" s="134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84"/>
      <c r="U3" s="84"/>
      <c r="V3" s="84"/>
      <c r="W3" s="84"/>
      <c r="X3" s="84"/>
      <c r="Y3" s="84"/>
      <c r="Z3" s="84"/>
      <c r="AA3" s="84"/>
      <c r="AB3" s="84"/>
      <c r="AC3" s="84"/>
    </row>
    <row r="4" spans="1:2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8">
        <v>29.782064437866211</v>
      </c>
      <c r="F4" s="98">
        <v>31.241653442382812</v>
      </c>
      <c r="G4" s="103">
        <v>29.779933929443359</v>
      </c>
      <c r="H4" s="109">
        <f>(E4-$H$52)+$H$67</f>
        <v>29.627270574651213</v>
      </c>
      <c r="I4" s="109">
        <f>(F4-$H$52)+$H$67</f>
        <v>31.086859579167815</v>
      </c>
      <c r="J4" s="109">
        <f>(G4-$H$52)+$H$67</f>
        <v>29.625140066228361</v>
      </c>
      <c r="K4" s="103">
        <f>((H4-'CalibrationB. hydrogenotrophica'!$D$45)/('CalibrationB. hydrogenotrophica'!$D$44))+$C$24</f>
        <v>6.5659443628791729</v>
      </c>
      <c r="L4" s="103">
        <f>((I4-'CalibrationB. hydrogenotrophica'!$D$45)/('CalibrationB. hydrogenotrophica'!$D$44))+$C$24</f>
        <v>6.2000683935320193</v>
      </c>
      <c r="M4" s="103">
        <f>((J4-'CalibrationB. hydrogenotrophica'!$D$45)/('CalibrationB. hydrogenotrophica'!$D$44))+$C$24</f>
        <v>6.5664784185838965</v>
      </c>
      <c r="N4" s="104">
        <f>AVERAGE(K4:M4)</f>
        <v>6.4441637249983641</v>
      </c>
      <c r="O4" s="104">
        <f>STDEV(K4:M4)</f>
        <v>0.21139292664756321</v>
      </c>
      <c r="P4" s="105">
        <f>(AVERAGE(POWER(10,K4),POWER(10,L4),POWER(10,M4)))*Calculation!$I4/Calculation!$K3</f>
        <v>2983769.4138398902</v>
      </c>
      <c r="Q4" s="105">
        <f>(STDEV(POWER(10,K4),POWER(10,L4),POWER(10,M4)))*Calculation!$I4/Calculation!$K3</f>
        <v>1211248.2913210487</v>
      </c>
      <c r="R4" s="104">
        <f>LOG(P4)</f>
        <v>6.474765257752928</v>
      </c>
      <c r="S4" s="104">
        <f>O4*Calculation!$I4/Calculation!$K3</f>
        <v>0.21139292664756321</v>
      </c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spans="1:2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8">
        <v>28.471038818359375</v>
      </c>
      <c r="F5" s="98">
        <v>28.935018539428711</v>
      </c>
      <c r="G5" s="103">
        <v>27.099996566772461</v>
      </c>
      <c r="H5" s="109">
        <f>(E5-$H$52)+$H$67</f>
        <v>28.316244955144377</v>
      </c>
      <c r="I5" s="109">
        <f>(F5-$H$52)+$H$67</f>
        <v>28.780224676213713</v>
      </c>
      <c r="J5" s="109">
        <f>(G5-$H$52)+$H$67</f>
        <v>26.945202703557463</v>
      </c>
      <c r="K5" s="103">
        <f>((H5-'CalibrationB. hydrogenotrophica'!$D$45)/('CalibrationB. hydrogenotrophica'!$D$44))+$C$24</f>
        <v>6.8945798677313617</v>
      </c>
      <c r="L5" s="103">
        <f>((I5-'CalibrationB. hydrogenotrophica'!$D$45)/('CalibrationB. hydrogenotrophica'!$D$44))+$C$24</f>
        <v>6.7782738187830915</v>
      </c>
      <c r="M5" s="103">
        <f>((J5-'CalibrationB. hydrogenotrophica'!$D$45)/('CalibrationB. hydrogenotrophica'!$D$44))+$C$24</f>
        <v>7.2382597743783705</v>
      </c>
      <c r="N5" s="104">
        <f t="shared" ref="N5:N20" si="1">AVERAGE(K5:M5)</f>
        <v>6.9703711536309418</v>
      </c>
      <c r="O5" s="104">
        <f t="shared" ref="O5:O20" si="2">STDEV(K5:M5)</f>
        <v>0.23917568668232009</v>
      </c>
      <c r="P5" s="105">
        <f>(AVERAGE(POWER(10,K5),POWER(10,L5),POWER(10,M5)))*Calculation!$I5/Calculation!$K4</f>
        <v>10384990.312953046</v>
      </c>
      <c r="Q5" s="105">
        <f>(STDEV(POWER(10,K5),POWER(10,L5),POWER(10,M5)))*Calculation!$I5/Calculation!$K4</f>
        <v>6066350.4859175263</v>
      </c>
      <c r="R5" s="104">
        <f t="shared" ref="R5:R20" si="3">LOG(P5)</f>
        <v>7.0164060957644256</v>
      </c>
      <c r="S5" s="104">
        <f>O5*Calculation!$I5/Calculation!$K4</f>
        <v>0.23917568668232009</v>
      </c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2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8">
        <v>28.965185165405273</v>
      </c>
      <c r="F6" s="98">
        <v>27.956596374511719</v>
      </c>
      <c r="G6" s="103">
        <v>27.042755126953125</v>
      </c>
      <c r="H6" s="109">
        <f>(E6-$H$52)+$H$67</f>
        <v>28.810391302190276</v>
      </c>
      <c r="I6" s="109">
        <f>(F6-$H$52)+$H$67</f>
        <v>27.801802511296721</v>
      </c>
      <c r="J6" s="109">
        <f>(G6-$H$52)+$H$67</f>
        <v>26.887961263738127</v>
      </c>
      <c r="K6" s="103">
        <f>((H6-'CalibrationB. hydrogenotrophica'!$D$45)/('CalibrationB. hydrogenotrophica'!$D$44))+$C$24</f>
        <v>6.770711934247819</v>
      </c>
      <c r="L6" s="103">
        <f>((I6-'CalibrationB. hydrogenotrophica'!$D$45)/('CalibrationB. hydrogenotrophica'!$D$44))+$C$24</f>
        <v>7.0235354348352788</v>
      </c>
      <c r="M6" s="103">
        <f>((J6-'CalibrationB. hydrogenotrophica'!$D$45)/('CalibrationB. hydrogenotrophica'!$D$44))+$C$24</f>
        <v>7.252608517220307</v>
      </c>
      <c r="N6" s="104">
        <f t="shared" si="1"/>
        <v>7.0156186287678013</v>
      </c>
      <c r="O6" s="104">
        <f t="shared" si="2"/>
        <v>0.24104581729180144</v>
      </c>
      <c r="P6" s="105">
        <f>(AVERAGE(POWER(10,K6),POWER(10,L6),POWER(10,M6)))*Calculation!$I6/Calculation!$K5</f>
        <v>11448299.520493766</v>
      </c>
      <c r="Q6" s="105">
        <f>(STDEV(POWER(10,K6),POWER(10,L6),POWER(10,M6)))*Calculation!$I6/Calculation!$K5</f>
        <v>6045408.0565594826</v>
      </c>
      <c r="R6" s="104">
        <f t="shared" si="3"/>
        <v>7.0587409832950474</v>
      </c>
      <c r="S6" s="104">
        <f>O6*Calculation!$I6/Calculation!$K5</f>
        <v>0.24104581729180147</v>
      </c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 spans="1:2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8">
        <v>26.973926544189453</v>
      </c>
      <c r="F7" s="98">
        <v>27.657232284545898</v>
      </c>
      <c r="G7" s="103">
        <v>27.264602661132812</v>
      </c>
      <c r="H7" s="109">
        <f>(E7-$H$52)+$H$67</f>
        <v>26.819132680974455</v>
      </c>
      <c r="I7" s="109">
        <f>(F7-$H$52)+$H$67</f>
        <v>27.502438421330901</v>
      </c>
      <c r="J7" s="109">
        <f>(G7-$H$52)+$H$67</f>
        <v>27.109808797917815</v>
      </c>
      <c r="K7" s="103">
        <f>((H7-'CalibrationB. hydrogenotrophica'!$D$45)/('CalibrationB. hydrogenotrophica'!$D$44))+$C$24</f>
        <v>7.2698618154840808</v>
      </c>
      <c r="L7" s="103">
        <f>((I7-'CalibrationB. hydrogenotrophica'!$D$45)/('CalibrationB. hydrogenotrophica'!$D$44))+$C$24</f>
        <v>7.0985771940325861</v>
      </c>
      <c r="M7" s="103">
        <f>((J7-'CalibrationB. hydrogenotrophica'!$D$45)/('CalibrationB. hydrogenotrophica'!$D$44))+$C$24</f>
        <v>7.1969978752080017</v>
      </c>
      <c r="N7" s="104">
        <f t="shared" si="1"/>
        <v>7.1884789615748899</v>
      </c>
      <c r="O7" s="104">
        <f t="shared" si="2"/>
        <v>8.5959492224894962E-2</v>
      </c>
      <c r="P7" s="105">
        <f>(AVERAGE(POWER(10,K7),POWER(10,L7),POWER(10,M7)))*Calculation!$I7/Calculation!$K6</f>
        <v>15634258.892225234</v>
      </c>
      <c r="Q7" s="105">
        <f>(STDEV(POWER(10,K7),POWER(10,L7),POWER(10,M7)))*Calculation!$I7/Calculation!$K6</f>
        <v>3034810.4160476504</v>
      </c>
      <c r="R7" s="104">
        <f t="shared" si="3"/>
        <v>7.1940772992888675</v>
      </c>
      <c r="S7" s="104">
        <f>O7*Calculation!$I7/Calculation!$K6</f>
        <v>8.5959492224894962E-2</v>
      </c>
      <c r="T7" s="84"/>
      <c r="U7" s="84"/>
      <c r="V7" s="84"/>
      <c r="W7" s="84"/>
      <c r="X7" s="84"/>
      <c r="Y7" s="84"/>
      <c r="Z7" s="84"/>
      <c r="AA7" s="84"/>
      <c r="AB7" s="84"/>
      <c r="AC7" s="84"/>
    </row>
    <row r="8" spans="1:2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8">
        <v>26.554105758666992</v>
      </c>
      <c r="F8" s="98">
        <v>28.4969482421875</v>
      </c>
      <c r="G8" s="103">
        <v>25.133861541748047</v>
      </c>
      <c r="H8" s="109">
        <f>(E8-$H$52)+$H$67</f>
        <v>26.399311895451994</v>
      </c>
      <c r="I8" s="109">
        <f>(F8-$H$52)+$H$67</f>
        <v>28.342154378972502</v>
      </c>
      <c r="J8" s="109">
        <f>(G8-$H$52)+$H$67</f>
        <v>24.979067678533049</v>
      </c>
      <c r="K8" s="103">
        <f>((H8-'CalibrationB. hydrogenotrophica'!$D$45)/('CalibrationB. hydrogenotrophica'!$D$44))+$C$24</f>
        <v>7.3750985200494075</v>
      </c>
      <c r="L8" s="103">
        <f>((I8-'CalibrationB. hydrogenotrophica'!$D$45)/('CalibrationB. hydrogenotrophica'!$D$44))+$C$24</f>
        <v>6.8880851383732971</v>
      </c>
      <c r="M8" s="103">
        <f>((J8-'CalibrationB. hydrogenotrophica'!$D$45)/('CalibrationB. hydrogenotrophica'!$D$44))+$C$24</f>
        <v>7.731111910097523</v>
      </c>
      <c r="N8" s="104">
        <f t="shared" si="1"/>
        <v>7.3314318561734098</v>
      </c>
      <c r="O8" s="104">
        <f t="shared" si="2"/>
        <v>0.42320635346304419</v>
      </c>
      <c r="P8" s="105">
        <f>(AVERAGE(POWER(10,K8),POWER(10,L8),POWER(10,M8)))*Calculation!$I8/Calculation!$K7</f>
        <v>28429429.402353838</v>
      </c>
      <c r="Q8" s="105">
        <f>(STDEV(POWER(10,K8),POWER(10,L8),POWER(10,M8)))*Calculation!$I8/Calculation!$K7</f>
        <v>23414346.601562552</v>
      </c>
      <c r="R8" s="104">
        <f t="shared" si="3"/>
        <v>7.4537681431974443</v>
      </c>
      <c r="S8" s="104">
        <f>O8*Calculation!$I8/Calculation!$K7</f>
        <v>0.42320635346304419</v>
      </c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spans="1:2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8">
        <v>25.042749404907227</v>
      </c>
      <c r="F9" s="98">
        <v>26.483636856079102</v>
      </c>
      <c r="G9" s="103">
        <v>26.671237945556641</v>
      </c>
      <c r="H9" s="109">
        <f>(E9-$H$52)+$H$67</f>
        <v>24.887955541692229</v>
      </c>
      <c r="I9" s="109">
        <f>(F9-$H$52)+$H$67</f>
        <v>26.328842992864104</v>
      </c>
      <c r="J9" s="109">
        <f>(G9-$H$52)+$H$67</f>
        <v>26.516444082341643</v>
      </c>
      <c r="K9" s="103">
        <f>((H9-'CalibrationB. hydrogenotrophica'!$D$45)/('CalibrationB. hydrogenotrophica'!$D$44))+$C$24</f>
        <v>7.7539510389774815</v>
      </c>
      <c r="L9" s="103">
        <f>((I9-'CalibrationB. hydrogenotrophica'!$D$45)/('CalibrationB. hydrogenotrophica'!$D$44))+$C$24</f>
        <v>7.3927629981753675</v>
      </c>
      <c r="M9" s="103">
        <f>((J9-'CalibrationB. hydrogenotrophica'!$D$45)/('CalibrationB. hydrogenotrophica'!$D$44))+$C$24</f>
        <v>7.3457369310764928</v>
      </c>
      <c r="N9" s="104">
        <f t="shared" si="1"/>
        <v>7.4974836560764473</v>
      </c>
      <c r="O9" s="104">
        <f t="shared" si="2"/>
        <v>0.2233483861946986</v>
      </c>
      <c r="P9" s="105">
        <f>(AVERAGE(POWER(10,K9),POWER(10,L9),POWER(10,M9)))*Calculation!$I9/Calculation!$K8</f>
        <v>34567249.811782822</v>
      </c>
      <c r="Q9" s="105">
        <f>(STDEV(POWER(10,K9),POWER(10,L9),POWER(10,M9)))*Calculation!$I9/Calculation!$K8</f>
        <v>19289514.500395115</v>
      </c>
      <c r="R9" s="104">
        <f t="shared" si="3"/>
        <v>7.5386648282239559</v>
      </c>
      <c r="S9" s="104">
        <f>O9*Calculation!$I9/Calculation!$K8</f>
        <v>0.22352383661590416</v>
      </c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spans="1:2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8">
        <v>22.39396858215332</v>
      </c>
      <c r="F10" s="98">
        <v>22.487583160400391</v>
      </c>
      <c r="G10" s="103">
        <v>21.930219650268555</v>
      </c>
      <c r="H10" s="109">
        <f>(E10-$H$52)+$H$67</f>
        <v>22.239174718938322</v>
      </c>
      <c r="I10" s="109">
        <f>(F10-$H$52)+$H$67</f>
        <v>22.332789297185393</v>
      </c>
      <c r="J10" s="109">
        <f>(G10-$H$52)+$H$67</f>
        <v>21.775425787053557</v>
      </c>
      <c r="K10" s="103">
        <f>((H10-'CalibrationB. hydrogenotrophica'!$D$45)/('CalibrationB. hydrogenotrophica'!$D$44))+$B$24</f>
        <v>8.1391687670181874</v>
      </c>
      <c r="L10" s="103">
        <f>((I10-'CalibrationB. hydrogenotrophica'!$D$45)/('CalibrationB. hydrogenotrophica'!$D$44))+$B$24</f>
        <v>8.1157023497903342</v>
      </c>
      <c r="M10" s="103">
        <f>((J10-'CalibrationB. hydrogenotrophica'!$D$45)/('CalibrationB. hydrogenotrophica'!$D$44))+$B$24</f>
        <v>8.2554169639160797</v>
      </c>
      <c r="N10" s="104">
        <f t="shared" si="1"/>
        <v>8.170096026908201</v>
      </c>
      <c r="O10" s="104">
        <f t="shared" si="2"/>
        <v>7.4815873337847213E-2</v>
      </c>
      <c r="P10" s="105">
        <f>(AVERAGE(POWER(10,K10),POWER(10,L10),POWER(10,M10)))*Calculation!$I10/Calculation!$K9</f>
        <v>149816789.10142717</v>
      </c>
      <c r="Q10" s="105">
        <f>(STDEV(POWER(10,K10),POWER(10,L10),POWER(10,M10)))*Calculation!$I10/Calculation!$K9</f>
        <v>26816950.601699594</v>
      </c>
      <c r="R10" s="104">
        <f t="shared" si="3"/>
        <v>8.1755604849624959</v>
      </c>
      <c r="S10" s="104">
        <f>O10*Calculation!$I10/Calculation!$K9</f>
        <v>7.4997490657017732E-2</v>
      </c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spans="1:2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8">
        <v>21.052352905273438</v>
      </c>
      <c r="F11" s="98">
        <v>21.036483764648438</v>
      </c>
      <c r="G11" s="103">
        <v>20.656745910644531</v>
      </c>
      <c r="H11" s="109">
        <f>(E11-$H$52)+$H$67</f>
        <v>20.89755904205844</v>
      </c>
      <c r="I11" s="109">
        <f>(F11-$H$52)+$H$67</f>
        <v>20.88168990143344</v>
      </c>
      <c r="J11" s="109">
        <f>(G11-$H$52)+$H$67</f>
        <v>20.501952047429533</v>
      </c>
      <c r="K11" s="103">
        <f>((H11-'CalibrationB. hydrogenotrophica'!$D$45)/('CalibrationB. hydrogenotrophica'!$D$44))+$B$24</f>
        <v>8.4754722981840267</v>
      </c>
      <c r="L11" s="103">
        <f>((I11-'CalibrationB. hydrogenotrophica'!$D$45)/('CalibrationB. hydrogenotrophica'!$D$44))+$B$24</f>
        <v>8.4794502242926164</v>
      </c>
      <c r="M11" s="103">
        <f>((J11-'CalibrationB. hydrogenotrophica'!$D$45)/('CalibrationB. hydrogenotrophica'!$D$44))+$B$24</f>
        <v>8.5746393186209211</v>
      </c>
      <c r="N11" s="104">
        <f t="shared" si="1"/>
        <v>8.5098539470325214</v>
      </c>
      <c r="O11" s="104">
        <f t="shared" si="2"/>
        <v>5.614102112463417E-2</v>
      </c>
      <c r="P11" s="105">
        <f>(AVERAGE(POWER(10,K11),POWER(10,L11),POWER(10,M11)))*Calculation!$I11/Calculation!$K10</f>
        <v>327517319.31409806</v>
      </c>
      <c r="Q11" s="105">
        <f>(STDEV(POWER(10,K11),POWER(10,L11),POWER(10,M11)))*Calculation!$I11/Calculation!$K10</f>
        <v>43780752.423299968</v>
      </c>
      <c r="R11" s="104">
        <f t="shared" si="3"/>
        <v>8.5152342706901347</v>
      </c>
      <c r="S11" s="104">
        <f>O11*Calculation!$I11/Calculation!$K10</f>
        <v>5.6517806096630555E-2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spans="1:2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8">
        <v>18.618431091308594</v>
      </c>
      <c r="F12" s="98">
        <v>18.451236724853516</v>
      </c>
      <c r="G12" s="103">
        <v>18.804759979248047</v>
      </c>
      <c r="H12" s="109">
        <f>(E12-$H$52)+$H$67</f>
        <v>18.463637228093596</v>
      </c>
      <c r="I12" s="109">
        <f>(F12-$H$52)+$H$67</f>
        <v>18.296442861638518</v>
      </c>
      <c r="J12" s="109">
        <f>(G12-$H$52)+$H$67</f>
        <v>18.649966116033049</v>
      </c>
      <c r="K12" s="103">
        <f>((H12-'CalibrationB. hydrogenotrophica'!$D$45)/('CalibrationB. hydrogenotrophica'!$D$44))+$B$24</f>
        <v>9.0855848026246164</v>
      </c>
      <c r="L12" s="103">
        <f>((I12-'CalibrationB. hydrogenotrophica'!$D$45)/('CalibrationB. hydrogenotrophica'!$D$44))+$B$24</f>
        <v>9.1274955053682252</v>
      </c>
      <c r="M12" s="103">
        <f>((J12-'CalibrationB. hydrogenotrophica'!$D$45)/('CalibrationB. hydrogenotrophica'!$D$44))+$B$24</f>
        <v>9.0388776389769951</v>
      </c>
      <c r="N12" s="104">
        <f>AVERAGE(K12:M12)</f>
        <v>9.0839859823232789</v>
      </c>
      <c r="O12" s="104">
        <f>STDEV(K12:M12)</f>
        <v>4.4330562039076961E-2</v>
      </c>
      <c r="P12" s="105">
        <f>(AVERAGE(POWER(10,K12),POWER(10,L12),POWER(10,M12)))*Calculation!$I12/Calculation!$K11</f>
        <v>1235485033.3378716</v>
      </c>
      <c r="Q12" s="105">
        <f>(STDEV(POWER(10,K12),POWER(10,L12),POWER(10,M12)))*Calculation!$I12/Calculation!$K11</f>
        <v>125601466.91004761</v>
      </c>
      <c r="R12" s="104">
        <f t="shared" si="3"/>
        <v>9.0918374887278635</v>
      </c>
      <c r="S12" s="104">
        <f>O12*Calculation!$I12/Calculation!$K11</f>
        <v>4.4983212898272888E-2</v>
      </c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spans="1:2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8">
        <v>16.5491943359375</v>
      </c>
      <c r="F13" s="98">
        <v>16.672876358032227</v>
      </c>
      <c r="G13" s="103">
        <v>16.500299453735352</v>
      </c>
      <c r="H13" s="109">
        <f>(E13-$H$52)+$H$67</f>
        <v>16.394400472722502</v>
      </c>
      <c r="I13" s="109">
        <f>(F13-$H$52)+$H$67</f>
        <v>16.518082494817229</v>
      </c>
      <c r="J13" s="109">
        <f>(G13-$H$52)+$H$67</f>
        <v>16.345505590520354</v>
      </c>
      <c r="K13" s="103">
        <f>((H13-'CalibrationB. hydrogenotrophica'!$D$45)/('CalibrationB. hydrogenotrophica'!$D$44))+$B$24</f>
        <v>9.6042815051466359</v>
      </c>
      <c r="L13" s="103">
        <f>((I13-'CalibrationB. hydrogenotrophica'!$D$45)/('CalibrationB. hydrogenotrophica'!$D$44))+$B$24</f>
        <v>9.5732780654216896</v>
      </c>
      <c r="M13" s="103">
        <f>((J13-'CalibrationB. hydrogenotrophica'!$D$45)/('CalibrationB. hydrogenotrophica'!$D$44))+$B$24</f>
        <v>9.6165380118526116</v>
      </c>
      <c r="N13" s="104">
        <f t="shared" si="1"/>
        <v>9.5980325274736469</v>
      </c>
      <c r="O13" s="104">
        <f t="shared" si="2"/>
        <v>2.2296704527120331E-2</v>
      </c>
      <c r="P13" s="105">
        <f>(AVERAGE(POWER(10,K13),POWER(10,L13),POWER(10,M13)))*Calculation!$I13/Calculation!$K12</f>
        <v>4102265361.9852557</v>
      </c>
      <c r="Q13" s="105">
        <f>(STDEV(POWER(10,K13),POWER(10,L13),POWER(10,M13)))*Calculation!$I13/Calculation!$K12</f>
        <v>208438901.17341959</v>
      </c>
      <c r="R13" s="104">
        <f t="shared" si="3"/>
        <v>9.6130237500153815</v>
      </c>
      <c r="S13" s="104">
        <f>O13*Calculation!$I13/Calculation!$K12</f>
        <v>2.3059662224795344E-2</v>
      </c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spans="1:2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8">
        <v>16.90296745300293</v>
      </c>
      <c r="F14" s="98">
        <v>16.962255477905273</v>
      </c>
      <c r="G14" s="103">
        <v>16.813663482666016</v>
      </c>
      <c r="H14" s="109">
        <f>(E14-$H$52)+$H$67</f>
        <v>16.748173589787932</v>
      </c>
      <c r="I14" s="109">
        <f>(F14-$H$52)+$H$67</f>
        <v>16.807461614690276</v>
      </c>
      <c r="J14" s="109">
        <f>(G14-$H$52)+$H$67</f>
        <v>16.658869619451018</v>
      </c>
      <c r="K14" s="103">
        <f>((H14-'CalibrationB. hydrogenotrophica'!$D$45)/('CalibrationB. hydrogenotrophica'!$D$44))+$B$24</f>
        <v>9.5156010055438411</v>
      </c>
      <c r="L14" s="103">
        <f>((I14-'CalibrationB. hydrogenotrophica'!$D$45)/('CalibrationB. hydrogenotrophica'!$D$44))+$B$24</f>
        <v>9.5007392441064091</v>
      </c>
      <c r="M14" s="103">
        <f>((J14-'CalibrationB. hydrogenotrophica'!$D$45)/('CalibrationB. hydrogenotrophica'!$D$44))+$B$24</f>
        <v>9.5379868803431567</v>
      </c>
      <c r="N14" s="104">
        <f t="shared" si="1"/>
        <v>9.5181090433311351</v>
      </c>
      <c r="O14" s="104">
        <f t="shared" si="2"/>
        <v>1.875004777228954E-2</v>
      </c>
      <c r="P14" s="105">
        <f>(AVERAGE(POWER(10,K14),POWER(10,L14),POWER(10,M14)))*Calculation!$I14/Calculation!$K13</f>
        <v>3476240018.7820849</v>
      </c>
      <c r="Q14" s="105">
        <f>(STDEV(POWER(10,K14),POWER(10,L14),POWER(10,M14)))*Calculation!$I14/Calculation!$K13</f>
        <v>150683281.69895157</v>
      </c>
      <c r="R14" s="104">
        <f t="shared" si="3"/>
        <v>9.5411097548980095</v>
      </c>
      <c r="S14" s="104">
        <f>O14*Calculation!$I14/Calculation!$K13</f>
        <v>1.9757524613068737E-2</v>
      </c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spans="1:2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8">
        <v>16.741561889648438</v>
      </c>
      <c r="F15" s="98">
        <v>16.760105133056641</v>
      </c>
      <c r="G15" s="103">
        <v>16.933391571044922</v>
      </c>
      <c r="H15" s="109">
        <f>(E15-$H$52)+$H$67</f>
        <v>16.58676802643344</v>
      </c>
      <c r="I15" s="109">
        <f>(F15-$H$52)+$H$67</f>
        <v>16.605311269841643</v>
      </c>
      <c r="J15" s="109">
        <f>(G15-$H$52)+$H$67</f>
        <v>16.778597707829924</v>
      </c>
      <c r="K15" s="103">
        <f>((H15-'CalibrationB. hydrogenotrophica'!$D$45)/('CalibrationB. hydrogenotrophica'!$D$44))+$B$24</f>
        <v>9.5560606258668273</v>
      </c>
      <c r="L15" s="103">
        <f>((I15-'CalibrationB. hydrogenotrophica'!$D$45)/('CalibrationB. hydrogenotrophica'!$D$44))+$B$24</f>
        <v>9.5514123809596505</v>
      </c>
      <c r="M15" s="103">
        <f>((J15-'CalibrationB. hydrogenotrophica'!$D$45)/('CalibrationB. hydrogenotrophica'!$D$44))+$B$24</f>
        <v>9.5079745753325273</v>
      </c>
      <c r="N15" s="104">
        <f t="shared" si="1"/>
        <v>9.5384825273863356</v>
      </c>
      <c r="O15" s="104">
        <f t="shared" si="2"/>
        <v>2.6522686497927505E-2</v>
      </c>
      <c r="P15" s="105">
        <f>(AVERAGE(POWER(10,K15),POWER(10,L15),POWER(10,M15)))*Calculation!$I15/Calculation!$K14</f>
        <v>3655986041.4050884</v>
      </c>
      <c r="Q15" s="105">
        <f>(STDEV(POWER(10,K15),POWER(10,L15),POWER(10,M15)))*Calculation!$I15/Calculation!$K14</f>
        <v>219342690.79099655</v>
      </c>
      <c r="R15" s="104">
        <f t="shared" si="3"/>
        <v>9.5630045289238517</v>
      </c>
      <c r="S15" s="104">
        <f>O15*Calculation!$I15/Calculation!$K14</f>
        <v>2.8028888929196964E-2</v>
      </c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spans="1:2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8">
        <v>16.929880142211914</v>
      </c>
      <c r="F16" s="98">
        <v>16.80082893371582</v>
      </c>
      <c r="G16" s="103">
        <v>16.746767044067383</v>
      </c>
      <c r="H16" s="109">
        <f>(E16-$H$52)+$H$67</f>
        <v>16.775086278996916</v>
      </c>
      <c r="I16" s="109">
        <f>(F16-$H$52)+$H$67</f>
        <v>16.646035070500822</v>
      </c>
      <c r="J16" s="109">
        <f>(G16-$H$52)+$H$67</f>
        <v>16.591973180852385</v>
      </c>
      <c r="K16" s="103">
        <f>((H16-'CalibrationB. hydrogenotrophica'!$D$45)/('CalibrationB. hydrogenotrophica'!$D$44))+$B$24</f>
        <v>9.5088547871072766</v>
      </c>
      <c r="L16" s="103">
        <f>((I16-'CalibrationB. hydrogenotrophica'!$D$45)/('CalibrationB. hydrogenotrophica'!$D$44))+$B$24</f>
        <v>9.541204123706704</v>
      </c>
      <c r="M16" s="103">
        <f>((J16-'CalibrationB. hydrogenotrophica'!$D$45)/('CalibrationB. hydrogenotrophica'!$D$44))+$B$24</f>
        <v>9.5547558469785656</v>
      </c>
      <c r="N16" s="104">
        <f t="shared" si="1"/>
        <v>9.5349382525975148</v>
      </c>
      <c r="O16" s="104">
        <f t="shared" si="2"/>
        <v>2.3583313590219625E-2</v>
      </c>
      <c r="P16" s="105">
        <f>(AVERAGE(POWER(10,K16),POWER(10,L16),POWER(10,M16)))*Calculation!$I16/Calculation!$K15</f>
        <v>3632723583.0638576</v>
      </c>
      <c r="Q16" s="105">
        <f>(STDEV(POWER(10,K16),POWER(10,L16),POWER(10,M16)))*Calculation!$I16/Calculation!$K15</f>
        <v>195202322.76750663</v>
      </c>
      <c r="R16" s="104">
        <f t="shared" si="3"/>
        <v>9.5602323532942677</v>
      </c>
      <c r="S16" s="104">
        <f>O16*Calculation!$I16/Calculation!$K15</f>
        <v>2.4973247027657023E-2</v>
      </c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8">
        <v>16.791481018066406</v>
      </c>
      <c r="F17" s="98">
        <v>16.97315788269043</v>
      </c>
      <c r="G17" s="103">
        <v>16.681001663208008</v>
      </c>
      <c r="H17" s="109">
        <f>(E17-$H$52)+$H$67</f>
        <v>16.636687154851408</v>
      </c>
      <c r="I17" s="109">
        <f>(F17-$H$52)+$H$67</f>
        <v>16.818364019475432</v>
      </c>
      <c r="J17" s="109">
        <f>(G17-$H$52)+$H$67</f>
        <v>16.52620779999301</v>
      </c>
      <c r="K17" s="103">
        <f>((H17-'CalibrationB. hydrogenotrophica'!$D$45)/('CalibrationB. hydrogenotrophica'!$D$44))+$B$24</f>
        <v>9.5435473708050456</v>
      </c>
      <c r="L17" s="103">
        <f>((I17-'CalibrationB. hydrogenotrophica'!$D$45)/('CalibrationB. hydrogenotrophica'!$D$44))+$B$24</f>
        <v>9.4980063323712294</v>
      </c>
      <c r="M17" s="103">
        <f>((J17-'CalibrationB. hydrogenotrophica'!$D$45)/('CalibrationB. hydrogenotrophica'!$D$44))+$B$24</f>
        <v>9.5712412907555127</v>
      </c>
      <c r="N17" s="104">
        <f t="shared" si="1"/>
        <v>9.5375983313105959</v>
      </c>
      <c r="O17" s="104">
        <f t="shared" si="2"/>
        <v>3.6978143349373535E-2</v>
      </c>
      <c r="P17" s="105">
        <f>(AVERAGE(POWER(10,K17),POWER(10,L17),POWER(10,M17)))*Calculation!$I17/Calculation!$K16</f>
        <v>3660247063.9242792</v>
      </c>
      <c r="Q17" s="105">
        <f>(STDEV(POWER(10,K17),POWER(10,L17),POWER(10,M17)))*Calculation!$I17/Calculation!$K16</f>
        <v>308246484.34481186</v>
      </c>
      <c r="R17" s="104">
        <f t="shared" si="3"/>
        <v>9.5635104009347458</v>
      </c>
      <c r="S17" s="104">
        <f>O17*Calculation!$I17/Calculation!$K16</f>
        <v>3.9157529960971778E-2</v>
      </c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spans="1:2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8">
        <v>15.850700378417969</v>
      </c>
      <c r="F18" s="98">
        <v>15.795002937316895</v>
      </c>
      <c r="G18" s="103">
        <v>15.61528491973877</v>
      </c>
      <c r="H18" s="109">
        <f>(E18-$H$52)+$H$67</f>
        <v>15.695906515202971</v>
      </c>
      <c r="I18" s="109">
        <f>(F18-$H$52)+$H$67</f>
        <v>15.640209074101897</v>
      </c>
      <c r="J18" s="109">
        <f>(G18-$H$52)+$H$67</f>
        <v>15.460491056523772</v>
      </c>
      <c r="K18" s="103">
        <f>((H18-'CalibrationB. hydrogenotrophica'!$D$45)/('CalibrationB. hydrogenotrophica'!$D$44))+$B$24</f>
        <v>9.7793733652523009</v>
      </c>
      <c r="L18" s="103">
        <f>((I18-'CalibrationB. hydrogenotrophica'!$D$45)/('CalibrationB. hydrogenotrophica'!$D$44))+$B$24</f>
        <v>9.7933350730960509</v>
      </c>
      <c r="M18" s="103">
        <f>((J18-'CalibrationB. hydrogenotrophica'!$D$45)/('CalibrationB. hydrogenotrophica'!$D$44))+$B$24</f>
        <v>9.8383850862758386</v>
      </c>
      <c r="N18" s="104">
        <f t="shared" si="1"/>
        <v>9.8036978415413962</v>
      </c>
      <c r="O18" s="104">
        <f t="shared" si="2"/>
        <v>3.0840493380113961E-2</v>
      </c>
      <c r="P18" s="105">
        <f>(AVERAGE(POWER(10,K18),POWER(10,L18),POWER(10,M18)))*Calculation!$I18/Calculation!$K17</f>
        <v>6757696746.4855862</v>
      </c>
      <c r="Q18" s="105">
        <f>(STDEV(POWER(10,K18),POWER(10,L18),POWER(10,M18)))*Calculation!$I18/Calculation!$K17</f>
        <v>487122363.72393328</v>
      </c>
      <c r="R18" s="104">
        <f t="shared" si="3"/>
        <v>9.8297986987909116</v>
      </c>
      <c r="S18" s="104">
        <f>O18*Calculation!$I18/Calculation!$K17</f>
        <v>3.2695255884279989E-2</v>
      </c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spans="1:2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8">
        <v>14.894027709960938</v>
      </c>
      <c r="F19" s="98">
        <v>14.996644020080566</v>
      </c>
      <c r="G19" s="103">
        <v>14.788653373718262</v>
      </c>
      <c r="H19" s="109">
        <f>(E19-$H$52)+$H$67</f>
        <v>14.73923384674594</v>
      </c>
      <c r="I19" s="109">
        <f>(F19-$H$52)+$H$67</f>
        <v>14.841850156865569</v>
      </c>
      <c r="J19" s="109">
        <f>(G19-$H$52)+$H$67</f>
        <v>14.633859510503264</v>
      </c>
      <c r="K19" s="103">
        <f>((H19-'CalibrationB. hydrogenotrophica'!$D$45)/('CalibrationB. hydrogenotrophica'!$D$44))+$B$24</f>
        <v>10.019183023201574</v>
      </c>
      <c r="L19" s="103">
        <f>((I19-'CalibrationB. hydrogenotrophica'!$D$45)/('CalibrationB. hydrogenotrophica'!$D$44))+$B$24</f>
        <v>9.9934601369509455</v>
      </c>
      <c r="M19" s="103">
        <f>((J19-'CalibrationB. hydrogenotrophica'!$D$45)/('CalibrationB. hydrogenotrophica'!$D$44))+$B$24</f>
        <v>10.045597265360016</v>
      </c>
      <c r="N19" s="104">
        <f t="shared" si="1"/>
        <v>10.019413475170845</v>
      </c>
      <c r="O19" s="104">
        <f t="shared" si="2"/>
        <v>2.606932816105112E-2</v>
      </c>
      <c r="P19" s="105">
        <f>(AVERAGE(POWER(10,K19),POWER(10,L19),POWER(10,M19)))*Calculation!$I19/Calculation!$K18</f>
        <v>11099374376.81502</v>
      </c>
      <c r="Q19" s="105">
        <f>(STDEV(POWER(10,K19),POWER(10,L19),POWER(10,M19)))*Calculation!$I19/Calculation!$K18</f>
        <v>666225185.13740599</v>
      </c>
      <c r="R19" s="104">
        <f t="shared" si="3"/>
        <v>10.045298500196186</v>
      </c>
      <c r="S19" s="104">
        <f>O19*Calculation!$I19/Calculation!$K18</f>
        <v>2.763715043243848E-2</v>
      </c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spans="1:2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8">
        <v>14.504079818725586</v>
      </c>
      <c r="F20" s="98">
        <v>14.32706356048584</v>
      </c>
      <c r="G20" s="103">
        <v>14.414637565612793</v>
      </c>
      <c r="H20" s="109">
        <f>(E20-$H$52)+$H$67</f>
        <v>14.349285955510588</v>
      </c>
      <c r="I20" s="109">
        <f>(F20-$H$52)+$H$67</f>
        <v>14.172269697270842</v>
      </c>
      <c r="J20" s="109">
        <f>(G20-$H$52)+$H$67</f>
        <v>14.259843702397795</v>
      </c>
      <c r="K20" s="103">
        <f>((H20-'CalibrationB. hydrogenotrophica'!$D$45)/('CalibrationB. hydrogenotrophica'!$D$44))+$B$24</f>
        <v>10.116931473113926</v>
      </c>
      <c r="L20" s="103">
        <f>((I20-'CalibrationB. hydrogenotrophica'!$D$45)/('CalibrationB. hydrogenotrophica'!$D$44))+$B$24</f>
        <v>10.161304234811404</v>
      </c>
      <c r="M20" s="103">
        <f>((J20-'CalibrationB. hydrogenotrophica'!$D$45)/('CalibrationB. hydrogenotrophica'!$D$44))+$B$24</f>
        <v>10.139352011331857</v>
      </c>
      <c r="N20" s="104">
        <f t="shared" si="1"/>
        <v>10.139195906419062</v>
      </c>
      <c r="O20" s="104">
        <f t="shared" si="2"/>
        <v>2.2186792731783769E-2</v>
      </c>
      <c r="P20" s="105">
        <f>(AVERAGE(POWER(10,K20),POWER(10,L20),POWER(10,M20)))*Calculation!$I20/Calculation!$K19</f>
        <v>14619650775.689678</v>
      </c>
      <c r="Q20" s="105">
        <f>(STDEV(POWER(10,K20),POWER(10,L20),POWER(10,M20)))*Calculation!$I20/Calculation!$K19</f>
        <v>746429111.34082568</v>
      </c>
      <c r="R20" s="104">
        <f t="shared" si="3"/>
        <v>10.164936998613472</v>
      </c>
      <c r="S20" s="104">
        <f>O20*Calculation!$I20/Calculation!$K19</f>
        <v>2.3521117404849808E-2</v>
      </c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spans="1:29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spans="1:29">
      <c r="A22" s="121"/>
      <c r="B22" s="122"/>
      <c r="C22" s="121"/>
      <c r="D22" s="122"/>
      <c r="E22" s="114"/>
      <c r="F22" s="114"/>
      <c r="G22" s="115"/>
      <c r="H22" s="111"/>
      <c r="I22" s="111"/>
      <c r="J22" s="111"/>
      <c r="K22" s="115"/>
      <c r="L22" s="115"/>
      <c r="M22" s="115"/>
      <c r="N22" s="116"/>
      <c r="O22" s="116"/>
      <c r="P22" s="117"/>
      <c r="Q22" s="117"/>
      <c r="R22" s="116"/>
      <c r="S22" s="116"/>
    </row>
    <row r="23" spans="1:29">
      <c r="A23" s="121"/>
      <c r="B23" s="122"/>
      <c r="C23" s="121"/>
      <c r="D23" s="122"/>
      <c r="E23" s="114"/>
      <c r="F23" s="114"/>
      <c r="G23" s="115"/>
      <c r="H23" s="111"/>
      <c r="I23" s="111"/>
      <c r="J23" s="111"/>
      <c r="K23" s="115"/>
      <c r="L23" s="115"/>
      <c r="M23" s="115"/>
      <c r="N23" s="116"/>
      <c r="O23" s="116"/>
      <c r="P23" s="117"/>
      <c r="Q23" s="117"/>
      <c r="R23" s="116"/>
      <c r="S23" s="116"/>
    </row>
    <row r="24" spans="1:29">
      <c r="A24" s="101" t="s">
        <v>236</v>
      </c>
      <c r="B24" s="108">
        <f>LOG(B25)</f>
        <v>3.6532125137753435</v>
      </c>
      <c r="C24" s="108">
        <f>LOG(C25)</f>
        <v>3.9319661147281728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</row>
    <row r="25" spans="1:29">
      <c r="A25" s="97" t="s">
        <v>289</v>
      </c>
      <c r="B25" s="84">
        <f>20*1800/4/2</f>
        <v>4500</v>
      </c>
      <c r="C25" s="84">
        <f>2*19*1800/4/2</f>
        <v>8550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</row>
    <row r="26" spans="1:29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29">
      <c r="A27" s="59" t="s">
        <v>290</v>
      </c>
      <c r="B27" s="59"/>
      <c r="C27" s="59"/>
      <c r="D27" s="59"/>
      <c r="E27" s="110">
        <v>11.1</v>
      </c>
      <c r="F27" s="109">
        <v>11.4</v>
      </c>
      <c r="G27" s="109"/>
      <c r="H27" s="109">
        <v>11.2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29">
      <c r="A28" s="59" t="s">
        <v>291</v>
      </c>
      <c r="B28" s="59"/>
      <c r="C28" s="59"/>
      <c r="D28" s="59"/>
      <c r="E28" s="126">
        <v>10.7</v>
      </c>
      <c r="F28" s="127">
        <v>10.8</v>
      </c>
      <c r="G28" s="127">
        <v>10.7</v>
      </c>
      <c r="H28" s="127">
        <v>10.8</v>
      </c>
    </row>
    <row r="29" spans="1:29">
      <c r="A29" s="59" t="s">
        <v>292</v>
      </c>
      <c r="B29" s="59"/>
      <c r="C29" s="59"/>
      <c r="D29" s="59"/>
      <c r="E29" s="126">
        <v>11.5</v>
      </c>
      <c r="F29" s="127">
        <v>11.5</v>
      </c>
      <c r="G29" s="127">
        <v>11.5</v>
      </c>
      <c r="H29" s="127">
        <v>11.5</v>
      </c>
    </row>
    <row r="30" spans="1:29">
      <c r="A30" s="59" t="s">
        <v>293</v>
      </c>
      <c r="B30" s="59"/>
      <c r="C30" s="59"/>
      <c r="D30" s="59"/>
      <c r="E30" s="126">
        <v>11.3</v>
      </c>
      <c r="F30" s="127">
        <v>11.6</v>
      </c>
      <c r="G30" s="127">
        <v>11.7</v>
      </c>
      <c r="H30" s="127">
        <v>11.5</v>
      </c>
    </row>
    <row r="31" spans="1:29">
      <c r="A31" s="59" t="s">
        <v>294</v>
      </c>
      <c r="B31" s="59"/>
      <c r="C31" s="59"/>
      <c r="D31" s="59"/>
      <c r="E31" s="126">
        <v>11.5</v>
      </c>
      <c r="F31" s="127">
        <v>11.5</v>
      </c>
      <c r="G31" s="127">
        <v>11.5</v>
      </c>
      <c r="H31" s="127">
        <v>11.5</v>
      </c>
    </row>
    <row r="32" spans="1:29">
      <c r="A32" s="59" t="s">
        <v>295</v>
      </c>
      <c r="B32" s="59"/>
      <c r="C32" s="59"/>
      <c r="D32" s="59"/>
      <c r="E32" s="126">
        <v>11.5</v>
      </c>
      <c r="F32" s="127">
        <v>11.5</v>
      </c>
      <c r="G32" s="127">
        <v>11.5</v>
      </c>
      <c r="H32" s="127">
        <v>11.5</v>
      </c>
    </row>
    <row r="33" spans="1:8">
      <c r="A33" s="59" t="s">
        <v>296</v>
      </c>
      <c r="B33" s="59"/>
      <c r="C33" s="59"/>
      <c r="D33" s="59"/>
      <c r="E33" s="126">
        <v>11.6</v>
      </c>
      <c r="F33" s="127">
        <v>11.6</v>
      </c>
      <c r="G33" s="127">
        <v>11.6</v>
      </c>
      <c r="H33" s="127">
        <v>11.6</v>
      </c>
    </row>
    <row r="34" spans="1:8">
      <c r="A34" s="59" t="s">
        <v>297</v>
      </c>
      <c r="B34" s="59"/>
      <c r="C34" s="59"/>
      <c r="D34" s="59"/>
      <c r="E34" s="126">
        <v>11.2</v>
      </c>
      <c r="F34" s="127">
        <v>11.2</v>
      </c>
      <c r="G34" s="127">
        <v>11.2</v>
      </c>
      <c r="H34" s="127">
        <v>11.2</v>
      </c>
    </row>
    <row r="35" spans="1:8">
      <c r="A35" s="59" t="s">
        <v>298</v>
      </c>
      <c r="B35" s="59"/>
      <c r="C35" s="59"/>
      <c r="D35" s="59"/>
      <c r="E35" s="126">
        <v>10.4</v>
      </c>
      <c r="F35" s="127">
        <v>11.2</v>
      </c>
      <c r="G35" s="127">
        <v>11.4</v>
      </c>
      <c r="H35" s="127">
        <v>11</v>
      </c>
    </row>
    <row r="36" spans="1:8">
      <c r="A36" s="59" t="s">
        <v>298</v>
      </c>
      <c r="B36" s="59"/>
      <c r="C36" s="59"/>
      <c r="D36" s="59"/>
      <c r="E36" s="126">
        <v>11.3</v>
      </c>
      <c r="F36" s="127">
        <v>11.5</v>
      </c>
      <c r="G36" s="127">
        <v>11.6</v>
      </c>
      <c r="H36" s="127">
        <v>11.5</v>
      </c>
    </row>
    <row r="37" spans="1:8">
      <c r="A37" s="59" t="s">
        <v>302</v>
      </c>
      <c r="B37" s="59"/>
      <c r="C37" s="59"/>
      <c r="D37" s="59"/>
      <c r="E37" s="126">
        <v>11.7</v>
      </c>
      <c r="F37" s="127">
        <v>11.7</v>
      </c>
      <c r="G37" s="127">
        <v>11.7</v>
      </c>
      <c r="H37" s="127">
        <v>11.7</v>
      </c>
    </row>
    <row r="38" spans="1:8">
      <c r="A38" s="59" t="s">
        <v>302</v>
      </c>
      <c r="B38" s="59"/>
      <c r="C38" s="59"/>
      <c r="D38" s="59"/>
      <c r="E38" s="126">
        <v>11.3</v>
      </c>
      <c r="F38" s="127">
        <v>11.5</v>
      </c>
      <c r="G38" s="127">
        <v>11</v>
      </c>
      <c r="H38" s="127">
        <v>11.3</v>
      </c>
    </row>
    <row r="39" spans="1:8">
      <c r="A39" s="59" t="s">
        <v>303</v>
      </c>
      <c r="B39" s="59"/>
      <c r="C39" s="59"/>
      <c r="D39" s="59"/>
      <c r="E39" s="126">
        <v>11.2</v>
      </c>
      <c r="F39" s="127">
        <v>11.3</v>
      </c>
      <c r="G39" s="127">
        <v>11.4</v>
      </c>
      <c r="H39" s="127">
        <v>11.3</v>
      </c>
    </row>
    <row r="40" spans="1:8">
      <c r="A40" s="59" t="s">
        <v>322</v>
      </c>
      <c r="B40" s="59"/>
      <c r="C40" s="59"/>
      <c r="D40" s="59"/>
      <c r="E40" s="126">
        <v>11.5</v>
      </c>
      <c r="F40" s="127">
        <v>11.5</v>
      </c>
      <c r="G40" s="127">
        <v>11.5</v>
      </c>
      <c r="H40" s="127">
        <v>11.5</v>
      </c>
    </row>
    <row r="41" spans="1:8">
      <c r="A41" s="59" t="s">
        <v>323</v>
      </c>
      <c r="B41" s="59"/>
      <c r="C41" s="59"/>
      <c r="D41" s="59"/>
      <c r="E41" s="126">
        <v>11.3</v>
      </c>
      <c r="F41" s="127">
        <v>11.3</v>
      </c>
      <c r="G41" s="127">
        <v>11.3</v>
      </c>
      <c r="H41" s="127">
        <v>11.3</v>
      </c>
    </row>
    <row r="42" spans="1:8">
      <c r="A42" s="59" t="s">
        <v>324</v>
      </c>
      <c r="B42" s="59"/>
      <c r="C42" s="59"/>
      <c r="D42" s="59"/>
      <c r="E42" s="126">
        <v>11.3</v>
      </c>
      <c r="F42" s="127">
        <v>11.3</v>
      </c>
      <c r="G42" s="127">
        <v>11.4</v>
      </c>
      <c r="H42" s="127">
        <v>11.3</v>
      </c>
    </row>
    <row r="43" spans="1:8">
      <c r="A43" s="59" t="s">
        <v>325</v>
      </c>
      <c r="B43" s="59"/>
      <c r="C43" s="59"/>
      <c r="D43" s="59"/>
      <c r="E43" s="126">
        <v>11.1</v>
      </c>
      <c r="F43" s="127">
        <v>11.2</v>
      </c>
      <c r="G43" s="127">
        <v>11.2</v>
      </c>
      <c r="H43" s="127">
        <v>11.2</v>
      </c>
    </row>
    <row r="44" spans="1:8">
      <c r="A44" s="59" t="s">
        <v>325</v>
      </c>
      <c r="B44" s="59"/>
      <c r="C44" s="59"/>
      <c r="D44" s="59"/>
      <c r="E44" s="126">
        <v>11.3</v>
      </c>
      <c r="F44" s="127">
        <v>11.3</v>
      </c>
      <c r="G44" s="127">
        <v>11.4</v>
      </c>
      <c r="H44" s="127">
        <v>11.3</v>
      </c>
    </row>
    <row r="45" spans="1:8">
      <c r="A45" s="59" t="s">
        <v>326</v>
      </c>
      <c r="B45" s="59"/>
      <c r="C45" s="59"/>
      <c r="D45" s="59"/>
      <c r="E45" s="126">
        <v>11.3</v>
      </c>
      <c r="F45" s="127">
        <v>11.4</v>
      </c>
      <c r="G45" s="127">
        <v>11.3</v>
      </c>
      <c r="H45" s="127">
        <v>11.3</v>
      </c>
    </row>
    <row r="46" spans="1:8">
      <c r="A46" s="59" t="s">
        <v>333</v>
      </c>
      <c r="B46" s="59"/>
      <c r="C46" s="59"/>
      <c r="D46" s="59"/>
      <c r="E46" s="126">
        <v>11.1</v>
      </c>
      <c r="F46" s="127">
        <v>11.4</v>
      </c>
      <c r="G46" s="127">
        <v>11.2</v>
      </c>
      <c r="H46" s="127">
        <v>11.2</v>
      </c>
    </row>
    <row r="47" spans="1:8">
      <c r="A47" s="59" t="s">
        <v>333</v>
      </c>
      <c r="B47" s="59"/>
      <c r="C47" s="59"/>
      <c r="D47" s="59"/>
      <c r="E47" s="126">
        <v>11.4</v>
      </c>
      <c r="F47" s="127">
        <v>11.4</v>
      </c>
      <c r="G47" s="127">
        <v>11.4</v>
      </c>
      <c r="H47" s="127">
        <v>11.4</v>
      </c>
    </row>
    <row r="48" spans="1:8">
      <c r="A48" s="59" t="s">
        <v>334</v>
      </c>
      <c r="B48" s="59"/>
      <c r="C48" s="59"/>
      <c r="D48" s="59"/>
      <c r="E48" s="126">
        <v>11.4</v>
      </c>
      <c r="F48" s="127">
        <v>11.4</v>
      </c>
      <c r="G48" s="127">
        <v>11.3</v>
      </c>
      <c r="H48" s="127">
        <v>11.4</v>
      </c>
    </row>
    <row r="49" spans="1:8">
      <c r="A49" s="59" t="s">
        <v>335</v>
      </c>
      <c r="B49" s="59"/>
      <c r="C49" s="59"/>
      <c r="D49" s="59"/>
      <c r="E49" s="126">
        <v>11.4</v>
      </c>
      <c r="F49" s="127">
        <v>11.3</v>
      </c>
      <c r="G49" s="127">
        <v>11.3</v>
      </c>
      <c r="H49" s="127">
        <v>11.3</v>
      </c>
    </row>
    <row r="50" spans="1:8">
      <c r="A50" s="59" t="s">
        <v>336</v>
      </c>
      <c r="B50" s="59"/>
      <c r="C50" s="59"/>
      <c r="D50" s="59"/>
      <c r="E50" s="126">
        <v>11.4</v>
      </c>
      <c r="F50" s="127">
        <v>11.4</v>
      </c>
      <c r="G50" s="127">
        <v>11.3</v>
      </c>
      <c r="H50" s="127">
        <v>11.3</v>
      </c>
    </row>
    <row r="51" spans="1:8">
      <c r="A51" s="59" t="s">
        <v>348</v>
      </c>
      <c r="E51" s="110">
        <v>10.961522102355957</v>
      </c>
      <c r="F51" s="109">
        <v>10.991280555725098</v>
      </c>
      <c r="G51" s="109">
        <v>10.988773345947266</v>
      </c>
      <c r="H51" s="109">
        <f t="shared" ref="H51:H59" si="5">AVERAGE(E51:G51)</f>
        <v>10.980525334676107</v>
      </c>
    </row>
    <row r="52" spans="1:8">
      <c r="A52" s="59" t="s">
        <v>349</v>
      </c>
      <c r="E52" s="110">
        <v>11.455920219421387</v>
      </c>
      <c r="F52" s="109">
        <v>11.47702693939209</v>
      </c>
      <c r="G52" s="109">
        <v>11.41429615020752</v>
      </c>
      <c r="H52" s="109">
        <f t="shared" si="5"/>
        <v>11.449081103006998</v>
      </c>
    </row>
    <row r="53" spans="1:8">
      <c r="A53" s="59" t="s">
        <v>350</v>
      </c>
      <c r="E53" s="110">
        <v>11.481462478637695</v>
      </c>
      <c r="F53" s="109">
        <v>11.294193267822266</v>
      </c>
      <c r="G53" s="109">
        <v>11.30172061920166</v>
      </c>
      <c r="H53" s="109">
        <f t="shared" si="5"/>
        <v>11.359125455220541</v>
      </c>
    </row>
    <row r="54" spans="1:8">
      <c r="A54" s="59" t="s">
        <v>350</v>
      </c>
      <c r="E54" s="110">
        <v>11.333268165588301</v>
      </c>
      <c r="F54" s="109">
        <v>11.3499765396118</v>
      </c>
      <c r="G54" s="109">
        <v>11.688117980956999</v>
      </c>
      <c r="H54" s="109">
        <f t="shared" si="5"/>
        <v>11.4571208953857</v>
      </c>
    </row>
    <row r="55" spans="1:8">
      <c r="A55" s="59" t="s">
        <v>361</v>
      </c>
      <c r="E55" s="110">
        <v>11.225685119628906</v>
      </c>
      <c r="F55" s="109">
        <v>11.295048713684082</v>
      </c>
      <c r="G55" s="109">
        <v>11.326059341430664</v>
      </c>
      <c r="H55" s="109">
        <f t="shared" si="5"/>
        <v>11.282264391581217</v>
      </c>
    </row>
    <row r="56" spans="1:8">
      <c r="A56" s="59" t="s">
        <v>362</v>
      </c>
      <c r="E56" s="110">
        <v>11.361672401428223</v>
      </c>
      <c r="F56" s="109">
        <v>11.304685592651367</v>
      </c>
      <c r="G56" s="109">
        <v>11.405701637268066</v>
      </c>
      <c r="H56" s="109">
        <f t="shared" si="5"/>
        <v>11.357353210449219</v>
      </c>
    </row>
    <row r="57" spans="1:8">
      <c r="A57" s="59" t="s">
        <v>363</v>
      </c>
      <c r="E57" s="110">
        <v>10.911848068237305</v>
      </c>
      <c r="F57" s="109">
        <v>10.950149536132812</v>
      </c>
      <c r="G57" s="109">
        <v>10.982019424438477</v>
      </c>
      <c r="H57" s="109">
        <f t="shared" si="5"/>
        <v>10.948005676269531</v>
      </c>
    </row>
    <row r="58" spans="1:8">
      <c r="A58" s="59" t="s">
        <v>364</v>
      </c>
      <c r="B58" s="59"/>
      <c r="C58" s="59"/>
      <c r="D58" s="84"/>
      <c r="E58" s="110">
        <v>11.097690582275391</v>
      </c>
      <c r="F58" s="109">
        <v>11.199633598327637</v>
      </c>
      <c r="G58" s="109">
        <v>11.211821556091309</v>
      </c>
      <c r="H58" s="109">
        <f t="shared" si="5"/>
        <v>11.169715245564779</v>
      </c>
    </row>
    <row r="59" spans="1:8">
      <c r="A59" s="59" t="s">
        <v>365</v>
      </c>
      <c r="B59" s="59"/>
      <c r="C59" s="59"/>
      <c r="D59" s="84"/>
      <c r="E59" s="110">
        <v>11.383224487304688</v>
      </c>
      <c r="F59" s="109">
        <v>11.329494476318359</v>
      </c>
      <c r="G59" s="109">
        <v>11.243021011352539</v>
      </c>
      <c r="H59" s="109">
        <f t="shared" si="5"/>
        <v>11.318579991658529</v>
      </c>
    </row>
    <row r="60" spans="1:8">
      <c r="A60" s="59" t="s">
        <v>365</v>
      </c>
      <c r="B60" s="59"/>
      <c r="C60" s="59"/>
      <c r="D60" s="84"/>
      <c r="E60" s="110">
        <v>11.171065330505371</v>
      </c>
      <c r="F60" s="109">
        <v>11.234642028808594</v>
      </c>
      <c r="G60" s="109">
        <v>11.325413703918457</v>
      </c>
      <c r="H60" s="109">
        <f>AVERAGE(E60:G60)</f>
        <v>11.243707021077475</v>
      </c>
    </row>
    <row r="61" spans="1:8">
      <c r="A61" s="59" t="s">
        <v>366</v>
      </c>
      <c r="B61" s="169"/>
      <c r="C61" s="84"/>
      <c r="D61" s="84"/>
      <c r="E61" s="110">
        <v>11.431556701660156</v>
      </c>
      <c r="F61" s="109">
        <v>11.393752098083496</v>
      </c>
      <c r="G61" s="109">
        <v>11.470895767211914</v>
      </c>
      <c r="H61" s="109">
        <f t="shared" ref="H61:H63" si="6">AVERAGE(E61:G61)</f>
        <v>11.432068188985189</v>
      </c>
    </row>
    <row r="62" spans="1:8">
      <c r="A62" s="59" t="s">
        <v>366</v>
      </c>
      <c r="B62" s="169"/>
      <c r="C62" s="84"/>
      <c r="D62" s="84"/>
      <c r="E62" s="110">
        <v>11.38902759552002</v>
      </c>
      <c r="F62" s="109">
        <v>11.318164825439453</v>
      </c>
      <c r="G62" s="109">
        <v>11.357851982116699</v>
      </c>
      <c r="H62" s="109">
        <f t="shared" si="6"/>
        <v>11.355014801025391</v>
      </c>
    </row>
    <row r="63" spans="1:8">
      <c r="A63" s="59" t="s">
        <v>367</v>
      </c>
      <c r="B63" s="169"/>
      <c r="C63" s="84"/>
      <c r="D63" s="84"/>
      <c r="E63" s="110">
        <v>10.827228546142578</v>
      </c>
      <c r="F63" s="109">
        <v>10.980537414550781</v>
      </c>
      <c r="G63" s="109">
        <v>10.733705520629883</v>
      </c>
      <c r="H63" s="109">
        <f t="shared" si="6"/>
        <v>10.84715716044108</v>
      </c>
    </row>
    <row r="64" spans="1:8">
      <c r="A64" s="59" t="s">
        <v>368</v>
      </c>
      <c r="B64" s="169"/>
      <c r="C64" s="84"/>
      <c r="D64" s="84"/>
      <c r="E64" s="110">
        <v>11.185029029846191</v>
      </c>
      <c r="F64" s="109">
        <v>11.096076965332031</v>
      </c>
      <c r="G64" s="109">
        <v>11.32984447479248</v>
      </c>
      <c r="H64" s="109">
        <f>AVERAGE(E64:G64)</f>
        <v>11.2036501566569</v>
      </c>
    </row>
    <row r="65" spans="1:8">
      <c r="A65" s="59" t="s">
        <v>368</v>
      </c>
      <c r="B65" s="169"/>
      <c r="C65" s="84"/>
      <c r="D65" s="84"/>
      <c r="E65" s="110">
        <v>11.051477432250977</v>
      </c>
      <c r="F65" s="109">
        <v>10.973122596740723</v>
      </c>
      <c r="G65" s="109">
        <v>10.89690113067627</v>
      </c>
      <c r="H65" s="109">
        <f>AVERAGE(E65:G65)</f>
        <v>10.973833719889322</v>
      </c>
    </row>
    <row r="66" spans="1:8">
      <c r="A66" s="59"/>
      <c r="B66" s="59"/>
      <c r="C66" s="59"/>
      <c r="D66" s="59"/>
      <c r="E66" s="59"/>
      <c r="F66" s="59"/>
      <c r="G66" s="59"/>
      <c r="H66" s="59"/>
    </row>
    <row r="67" spans="1:8">
      <c r="A67" s="59"/>
      <c r="B67" s="59"/>
      <c r="C67" s="59"/>
      <c r="D67" s="59"/>
      <c r="E67" s="59"/>
      <c r="F67" s="59"/>
      <c r="G67" s="59" t="s">
        <v>337</v>
      </c>
      <c r="H67" s="128">
        <f>AVERAGE(H27:H65)</f>
        <v>11.294287239792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H1" workbookViewId="0">
      <selection activeCell="O15" sqref="O15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</cols>
  <sheetData>
    <row r="2" spans="1:17">
      <c r="A2" s="102" t="s">
        <v>220</v>
      </c>
      <c r="B2" s="84"/>
      <c r="C2" s="84"/>
      <c r="D2" s="84"/>
      <c r="H2" s="102" t="s">
        <v>288</v>
      </c>
      <c r="I2" s="84"/>
      <c r="J2" s="84"/>
      <c r="K2" s="84"/>
      <c r="O2" s="102" t="s">
        <v>299</v>
      </c>
    </row>
    <row r="3" spans="1:17">
      <c r="A3" s="133" t="s">
        <v>4</v>
      </c>
      <c r="B3" s="133" t="s">
        <v>117</v>
      </c>
      <c r="C3" s="133" t="s">
        <v>117</v>
      </c>
      <c r="D3" s="133" t="s">
        <v>5</v>
      </c>
      <c r="E3" s="150" t="s">
        <v>234</v>
      </c>
      <c r="F3" s="147" t="s">
        <v>235</v>
      </c>
      <c r="H3" s="133" t="s">
        <v>4</v>
      </c>
      <c r="I3" s="133" t="s">
        <v>117</v>
      </c>
      <c r="J3" s="133" t="s">
        <v>117</v>
      </c>
      <c r="K3" s="133" t="s">
        <v>5</v>
      </c>
      <c r="L3" s="150" t="s">
        <v>234</v>
      </c>
      <c r="M3" s="147" t="s">
        <v>235</v>
      </c>
      <c r="O3" s="150" t="s">
        <v>234</v>
      </c>
      <c r="P3" s="150" t="s">
        <v>234</v>
      </c>
      <c r="Q3" s="147" t="s">
        <v>235</v>
      </c>
    </row>
    <row r="4" spans="1:17">
      <c r="A4" s="134"/>
      <c r="B4" s="134"/>
      <c r="C4" s="134"/>
      <c r="D4" s="134"/>
      <c r="E4" s="154"/>
      <c r="F4" s="155"/>
      <c r="H4" s="134"/>
      <c r="I4" s="134"/>
      <c r="J4" s="134"/>
      <c r="K4" s="134"/>
      <c r="L4" s="154"/>
      <c r="M4" s="155"/>
      <c r="O4" s="154"/>
      <c r="P4" s="154"/>
      <c r="Q4" s="155"/>
    </row>
    <row r="5" spans="1:17">
      <c r="A5" s="40">
        <v>0</v>
      </c>
      <c r="B5" s="32">
        <v>10</v>
      </c>
      <c r="C5" s="32">
        <f>B5</f>
        <v>10</v>
      </c>
      <c r="D5" s="13">
        <f t="shared" ref="D5:D21" si="0">C5/60</f>
        <v>0.16666666666666666</v>
      </c>
      <c r="E5" s="104">
        <f>'Determination cell counts RI'!R4</f>
        <v>5.8694161482074207</v>
      </c>
      <c r="F5" s="104">
        <f>'Determination cell counts RI'!S4:S20</f>
        <v>0.16049748801794084</v>
      </c>
      <c r="H5" s="40">
        <v>0</v>
      </c>
      <c r="I5" s="32">
        <v>10</v>
      </c>
      <c r="J5" s="32">
        <f>I5</f>
        <v>10</v>
      </c>
      <c r="K5" s="13">
        <f t="shared" ref="K5:K21" si="1">J5/60</f>
        <v>0.16666666666666666</v>
      </c>
      <c r="L5" s="104">
        <f>'Determination cell counts BH'!R4</f>
        <v>6.474765257752928</v>
      </c>
      <c r="M5" s="104">
        <f>'Determination cell counts BH'!S4</f>
        <v>0.21139292664756321</v>
      </c>
      <c r="O5" s="31">
        <f>POWER(10,E5)+POWER(10,L5)+POWER(10,E26)</f>
        <v>3910516.3455221178</v>
      </c>
      <c r="P5" s="123">
        <f>LOG(O5)</f>
        <v>6.5922341055302942</v>
      </c>
      <c r="Q5" s="123">
        <f>F5+M5+F26</f>
        <v>0.63571116187721544</v>
      </c>
    </row>
    <row r="6" spans="1:17">
      <c r="A6" s="40">
        <v>1</v>
      </c>
      <c r="B6" s="32">
        <v>110</v>
      </c>
      <c r="C6" s="32">
        <f>C5+B6</f>
        <v>120</v>
      </c>
      <c r="D6" s="13">
        <f t="shared" si="0"/>
        <v>2</v>
      </c>
      <c r="E6" s="104">
        <f>'Determination cell counts RI'!R5</f>
        <v>6.3363455788028391</v>
      </c>
      <c r="F6" s="104">
        <f>'Determination cell counts RI'!S5:S21</f>
        <v>0.24091826362685903</v>
      </c>
      <c r="H6" s="40">
        <v>1</v>
      </c>
      <c r="I6" s="32">
        <v>110</v>
      </c>
      <c r="J6" s="32">
        <f>J5+I6</f>
        <v>120</v>
      </c>
      <c r="K6" s="13">
        <f t="shared" si="1"/>
        <v>2</v>
      </c>
      <c r="L6" s="104">
        <f>'Determination cell counts BH'!R5</f>
        <v>7.0164060957644256</v>
      </c>
      <c r="M6" s="104">
        <f>'Determination cell counts BH'!S5</f>
        <v>0.23917568668232009</v>
      </c>
      <c r="O6" s="31">
        <f t="shared" ref="O6:O20" si="2">POWER(10,E6)+POWER(10,L6)+POWER(10,E27)</f>
        <v>13233014.776533125</v>
      </c>
      <c r="P6" s="123">
        <f t="shared" ref="P6:P21" si="3">LOG(O6)</f>
        <v>7.1216587974495713</v>
      </c>
      <c r="Q6" s="123">
        <f t="shared" ref="Q6:Q21" si="4">F6+M6+F27</f>
        <v>0.61164243199946711</v>
      </c>
    </row>
    <row r="7" spans="1:17">
      <c r="A7" s="40">
        <v>2</v>
      </c>
      <c r="B7" s="32">
        <v>80</v>
      </c>
      <c r="C7" s="32">
        <f>C6+B7</f>
        <v>200</v>
      </c>
      <c r="D7" s="13">
        <f t="shared" si="0"/>
        <v>3.3333333333333335</v>
      </c>
      <c r="E7" s="104">
        <f>'Determination cell counts RI'!R6</f>
        <v>6.0271947687256722</v>
      </c>
      <c r="F7" s="104">
        <f>'Determination cell counts RI'!S6:S22</f>
        <v>9.5685193559320897E-2</v>
      </c>
      <c r="H7" s="40">
        <v>2</v>
      </c>
      <c r="I7" s="32">
        <v>80</v>
      </c>
      <c r="J7" s="32">
        <f>J6+I7</f>
        <v>200</v>
      </c>
      <c r="K7" s="13">
        <f t="shared" si="1"/>
        <v>3.3333333333333335</v>
      </c>
      <c r="L7" s="104">
        <f>'Determination cell counts BH'!R6</f>
        <v>7.0587409832950474</v>
      </c>
      <c r="M7" s="104">
        <f>'Determination cell counts BH'!S6</f>
        <v>0.24104581729180147</v>
      </c>
      <c r="O7" s="31">
        <f t="shared" si="2"/>
        <v>14020391.819085643</v>
      </c>
      <c r="P7" s="123">
        <f t="shared" si="3"/>
        <v>7.1467601507553926</v>
      </c>
      <c r="Q7" s="123">
        <f t="shared" si="4"/>
        <v>0.62592475159623873</v>
      </c>
    </row>
    <row r="8" spans="1:17">
      <c r="A8" s="40">
        <v>3</v>
      </c>
      <c r="B8" s="32">
        <v>80</v>
      </c>
      <c r="C8" s="32">
        <f>C7+B8</f>
        <v>280</v>
      </c>
      <c r="D8" s="13">
        <f t="shared" si="0"/>
        <v>4.666666666666667</v>
      </c>
      <c r="E8" s="104">
        <f>'Determination cell counts RI'!R7</f>
        <v>5.5621390508221635</v>
      </c>
      <c r="F8" s="104">
        <f>'Determination cell counts RI'!S7:S23</f>
        <v>0.22708796834741077</v>
      </c>
      <c r="H8" s="40">
        <v>3</v>
      </c>
      <c r="I8" s="32">
        <v>80</v>
      </c>
      <c r="J8" s="32">
        <f>J7+I8</f>
        <v>280</v>
      </c>
      <c r="K8" s="13">
        <f t="shared" si="1"/>
        <v>4.666666666666667</v>
      </c>
      <c r="L8" s="104">
        <f>'Determination cell counts BH'!R7</f>
        <v>7.1940772992888675</v>
      </c>
      <c r="M8" s="104">
        <f>'Determination cell counts BH'!S7</f>
        <v>8.5959492224894962E-2</v>
      </c>
      <c r="O8" s="31">
        <f t="shared" si="2"/>
        <v>23524719.473989554</v>
      </c>
      <c r="P8" s="123">
        <f t="shared" si="3"/>
        <v>7.3715244532842146</v>
      </c>
      <c r="Q8" s="123">
        <f t="shared" si="4"/>
        <v>0.40031211558294894</v>
      </c>
    </row>
    <row r="9" spans="1:17">
      <c r="A9" s="40">
        <v>4</v>
      </c>
      <c r="B9" s="32">
        <v>80</v>
      </c>
      <c r="C9" s="32">
        <f t="shared" ref="C9:C19" si="5">C8+B9</f>
        <v>360</v>
      </c>
      <c r="D9" s="13">
        <f t="shared" si="0"/>
        <v>6</v>
      </c>
      <c r="E9" s="104">
        <f>'Determination cell counts RI'!R8</f>
        <v>5.5103505835489548</v>
      </c>
      <c r="F9" s="104">
        <f>'Determination cell counts RI'!S8:S24</f>
        <v>0.19741227895843794</v>
      </c>
      <c r="H9" s="40">
        <v>4</v>
      </c>
      <c r="I9" s="32">
        <v>80</v>
      </c>
      <c r="J9" s="32">
        <f t="shared" ref="J9:J19" si="6">J8+I9</f>
        <v>360</v>
      </c>
      <c r="K9" s="13">
        <f t="shared" si="1"/>
        <v>6</v>
      </c>
      <c r="L9" s="104">
        <f>'Determination cell counts BH'!R8</f>
        <v>7.4537681431974443</v>
      </c>
      <c r="M9" s="104">
        <f>'Determination cell counts BH'!S8</f>
        <v>0.42320635346304419</v>
      </c>
      <c r="O9" s="31">
        <f t="shared" si="2"/>
        <v>43608426.789269917</v>
      </c>
      <c r="P9" s="123">
        <f t="shared" si="3"/>
        <v>7.6395704194167662</v>
      </c>
      <c r="Q9" s="123">
        <f t="shared" si="4"/>
        <v>1.1309270869094545</v>
      </c>
    </row>
    <row r="10" spans="1:17">
      <c r="A10" s="40">
        <v>5</v>
      </c>
      <c r="B10" s="32">
        <v>80</v>
      </c>
      <c r="C10" s="32">
        <f t="shared" si="5"/>
        <v>440</v>
      </c>
      <c r="D10" s="13">
        <f t="shared" si="0"/>
        <v>7.333333333333333</v>
      </c>
      <c r="E10" s="104">
        <f>'Determination cell counts RI'!R9</f>
        <v>5.2041886216223965</v>
      </c>
      <c r="F10" s="104">
        <f>'Determination cell counts RI'!S9:S25</f>
        <v>0.16534606951293929</v>
      </c>
      <c r="H10" s="40">
        <v>5</v>
      </c>
      <c r="I10" s="32">
        <v>80</v>
      </c>
      <c r="J10" s="32">
        <f t="shared" si="6"/>
        <v>440</v>
      </c>
      <c r="K10" s="13">
        <f t="shared" si="1"/>
        <v>7.333333333333333</v>
      </c>
      <c r="L10" s="104">
        <f>'Determination cell counts BH'!R9</f>
        <v>7.5386648282239559</v>
      </c>
      <c r="M10" s="104">
        <f>'Determination cell counts BH'!S9</f>
        <v>0.22352383661590416</v>
      </c>
      <c r="O10" s="31">
        <f t="shared" si="2"/>
        <v>51290338.24364379</v>
      </c>
      <c r="P10" s="123">
        <f t="shared" si="3"/>
        <v>7.7100355631106678</v>
      </c>
      <c r="Q10" s="123">
        <f t="shared" si="4"/>
        <v>0.78215853848671824</v>
      </c>
    </row>
    <row r="11" spans="1:17">
      <c r="A11" s="40">
        <v>6</v>
      </c>
      <c r="B11" s="32">
        <v>80</v>
      </c>
      <c r="C11" s="32">
        <f t="shared" si="5"/>
        <v>520</v>
      </c>
      <c r="D11" s="13">
        <f t="shared" si="0"/>
        <v>8.6666666666666661</v>
      </c>
      <c r="E11" s="104">
        <f>'Determination cell counts RI'!R10</f>
        <v>5.2032864158725101</v>
      </c>
      <c r="F11" s="104">
        <f>'Determination cell counts RI'!S10:S26</f>
        <v>5.9965003143077289E-2</v>
      </c>
      <c r="H11" s="40">
        <v>6</v>
      </c>
      <c r="I11" s="32">
        <v>80</v>
      </c>
      <c r="J11" s="32">
        <f t="shared" si="6"/>
        <v>520</v>
      </c>
      <c r="K11" s="13">
        <f t="shared" si="1"/>
        <v>8.6666666666666661</v>
      </c>
      <c r="L11" s="104">
        <f>'Determination cell counts BH'!R10</f>
        <v>8.1755604849624959</v>
      </c>
      <c r="M11" s="104">
        <f>'Determination cell counts BH'!S10</f>
        <v>7.4997490657017732E-2</v>
      </c>
      <c r="O11" s="31">
        <f t="shared" si="2"/>
        <v>362885141.72571242</v>
      </c>
      <c r="P11" s="123">
        <f t="shared" si="3"/>
        <v>8.5597691864462497</v>
      </c>
      <c r="Q11" s="123">
        <f t="shared" si="4"/>
        <v>0.13971698792200962</v>
      </c>
    </row>
    <row r="12" spans="1:17">
      <c r="A12" s="40">
        <v>7</v>
      </c>
      <c r="B12" s="32">
        <v>80</v>
      </c>
      <c r="C12" s="32">
        <f t="shared" si="5"/>
        <v>600</v>
      </c>
      <c r="D12" s="13">
        <f t="shared" si="0"/>
        <v>10</v>
      </c>
      <c r="E12" s="104">
        <f>'Determination cell counts RI'!R11</f>
        <v>5.39314686528237</v>
      </c>
      <c r="F12" s="104">
        <f>'Determination cell counts RI'!S11:S27</f>
        <v>0.22989408139101089</v>
      </c>
      <c r="H12" s="40">
        <v>7</v>
      </c>
      <c r="I12" s="32">
        <v>80</v>
      </c>
      <c r="J12" s="32">
        <f t="shared" si="6"/>
        <v>600</v>
      </c>
      <c r="K12" s="13">
        <f t="shared" si="1"/>
        <v>10</v>
      </c>
      <c r="L12" s="104">
        <f>'Determination cell counts BH'!R11</f>
        <v>8.5152342706901347</v>
      </c>
      <c r="M12" s="104">
        <f>'Determination cell counts BH'!S11</f>
        <v>5.6517806096630555E-2</v>
      </c>
      <c r="O12" s="31">
        <f t="shared" si="2"/>
        <v>855504674.26805234</v>
      </c>
      <c r="P12" s="123">
        <f t="shared" si="3"/>
        <v>8.9322223867623052</v>
      </c>
      <c r="Q12" s="123">
        <f t="shared" si="4"/>
        <v>0.30529349697886737</v>
      </c>
    </row>
    <row r="13" spans="1:17">
      <c r="A13" s="40">
        <v>8</v>
      </c>
      <c r="B13" s="32">
        <v>80</v>
      </c>
      <c r="C13" s="32">
        <f t="shared" si="5"/>
        <v>680</v>
      </c>
      <c r="D13" s="13">
        <f t="shared" si="0"/>
        <v>11.333333333333334</v>
      </c>
      <c r="E13" s="104">
        <f>'Determination cell counts RI'!R12</f>
        <v>5.2403215091830786</v>
      </c>
      <c r="F13" s="104">
        <f>'Determination cell counts RI'!S12:S28</f>
        <v>0.10028773021826748</v>
      </c>
      <c r="H13" s="40">
        <v>8</v>
      </c>
      <c r="I13" s="32">
        <v>80</v>
      </c>
      <c r="J13" s="32">
        <f t="shared" si="6"/>
        <v>680</v>
      </c>
      <c r="K13" s="13">
        <f t="shared" si="1"/>
        <v>11.333333333333334</v>
      </c>
      <c r="L13" s="104">
        <f>'Determination cell counts BH'!R12</f>
        <v>9.0918374887278635</v>
      </c>
      <c r="M13" s="104">
        <f>'Determination cell counts BH'!S12</f>
        <v>4.4983212898272888E-2</v>
      </c>
      <c r="O13" s="31">
        <f t="shared" si="2"/>
        <v>2082265888.9652791</v>
      </c>
      <c r="P13" s="123">
        <f t="shared" si="3"/>
        <v>9.3185361847026336</v>
      </c>
      <c r="Q13" s="123">
        <f t="shared" si="4"/>
        <v>0.17915275005461417</v>
      </c>
    </row>
    <row r="14" spans="1:17">
      <c r="A14" s="40">
        <v>9</v>
      </c>
      <c r="B14" s="32">
        <v>80</v>
      </c>
      <c r="C14" s="32">
        <f t="shared" si="5"/>
        <v>760</v>
      </c>
      <c r="D14" s="13">
        <f t="shared" si="0"/>
        <v>12.666666666666666</v>
      </c>
      <c r="E14" s="104">
        <f>'Determination cell counts RI'!R13</f>
        <v>5.2672764214389005</v>
      </c>
      <c r="F14" s="104">
        <f>'Determination cell counts RI'!S13:S29</f>
        <v>0.21140418104829717</v>
      </c>
      <c r="H14" s="40">
        <v>9</v>
      </c>
      <c r="I14" s="32">
        <v>80</v>
      </c>
      <c r="J14" s="32">
        <f t="shared" si="6"/>
        <v>760</v>
      </c>
      <c r="K14" s="13">
        <f t="shared" si="1"/>
        <v>12.666666666666666</v>
      </c>
      <c r="L14" s="104">
        <f>'Determination cell counts BH'!R13</f>
        <v>9.6130237500153815</v>
      </c>
      <c r="M14" s="104">
        <f>'Determination cell counts BH'!S13</f>
        <v>2.3059662224795344E-2</v>
      </c>
      <c r="O14" s="31">
        <f t="shared" si="2"/>
        <v>5380677724.4102745</v>
      </c>
      <c r="P14" s="123">
        <f t="shared" si="3"/>
        <v>9.7308369807657442</v>
      </c>
      <c r="Q14" s="123">
        <f t="shared" si="4"/>
        <v>0.25015591030944989</v>
      </c>
    </row>
    <row r="15" spans="1:17">
      <c r="A15" s="40">
        <v>10</v>
      </c>
      <c r="B15" s="32">
        <v>80</v>
      </c>
      <c r="C15" s="32">
        <f t="shared" si="5"/>
        <v>840</v>
      </c>
      <c r="D15" s="13">
        <f t="shared" si="0"/>
        <v>14</v>
      </c>
      <c r="E15" s="104">
        <f>'Determination cell counts RI'!R14</f>
        <v>5.3617002890840091</v>
      </c>
      <c r="F15" s="104">
        <f>'Determination cell counts RI'!S14:S30</f>
        <v>0.21257100908402166</v>
      </c>
      <c r="H15" s="40">
        <v>10</v>
      </c>
      <c r="I15" s="32">
        <v>80</v>
      </c>
      <c r="J15" s="32">
        <f t="shared" si="6"/>
        <v>840</v>
      </c>
      <c r="K15" s="13">
        <f t="shared" si="1"/>
        <v>14</v>
      </c>
      <c r="L15" s="104">
        <f>'Determination cell counts BH'!R14</f>
        <v>9.5411097548980095</v>
      </c>
      <c r="M15" s="104">
        <f>'Determination cell counts BH'!S14</f>
        <v>1.9757524613068737E-2</v>
      </c>
      <c r="O15" s="31">
        <f t="shared" si="2"/>
        <v>4959934861.2090349</v>
      </c>
      <c r="P15" s="123">
        <f t="shared" si="3"/>
        <v>9.6954759729411588</v>
      </c>
      <c r="Q15" s="123">
        <f t="shared" si="4"/>
        <v>0.24099322101639276</v>
      </c>
    </row>
    <row r="16" spans="1:17">
      <c r="A16" s="40">
        <v>11</v>
      </c>
      <c r="B16" s="32">
        <v>80</v>
      </c>
      <c r="C16" s="32">
        <f t="shared" si="5"/>
        <v>920</v>
      </c>
      <c r="D16" s="13">
        <f t="shared" si="0"/>
        <v>15.333333333333334</v>
      </c>
      <c r="E16" s="104">
        <f>'Determination cell counts RI'!R15</f>
        <v>5.3079020089714666</v>
      </c>
      <c r="F16" s="104">
        <f>'Determination cell counts RI'!S15:S31</f>
        <v>0.31145000061935585</v>
      </c>
      <c r="H16" s="40">
        <v>11</v>
      </c>
      <c r="I16" s="32">
        <v>80</v>
      </c>
      <c r="J16" s="32">
        <f t="shared" si="6"/>
        <v>920</v>
      </c>
      <c r="K16" s="13">
        <f t="shared" si="1"/>
        <v>15.333333333333334</v>
      </c>
      <c r="L16" s="104">
        <f>'Determination cell counts BH'!R15</f>
        <v>9.5630045289238517</v>
      </c>
      <c r="M16" s="104">
        <f>'Determination cell counts BH'!S15</f>
        <v>2.8028888929196964E-2</v>
      </c>
      <c r="O16" s="31">
        <f t="shared" si="2"/>
        <v>4900144514.0473423</v>
      </c>
      <c r="P16" s="123">
        <f t="shared" si="3"/>
        <v>9.690208888340317</v>
      </c>
      <c r="Q16" s="123">
        <f t="shared" si="4"/>
        <v>0.35972122886504504</v>
      </c>
    </row>
    <row r="17" spans="1:17">
      <c r="A17" s="40">
        <v>12</v>
      </c>
      <c r="B17" s="32">
        <v>80</v>
      </c>
      <c r="C17" s="32">
        <f t="shared" si="5"/>
        <v>1000</v>
      </c>
      <c r="D17" s="13">
        <f t="shared" si="0"/>
        <v>16.666666666666668</v>
      </c>
      <c r="E17" s="104">
        <f>'Determination cell counts RI'!R16</f>
        <v>5.231934713274752</v>
      </c>
      <c r="F17" s="104">
        <f>'Determination cell counts RI'!S16:S32</f>
        <v>0.13123934422495398</v>
      </c>
      <c r="H17" s="40">
        <v>12</v>
      </c>
      <c r="I17" s="32">
        <v>80</v>
      </c>
      <c r="J17" s="32">
        <f t="shared" si="6"/>
        <v>1000</v>
      </c>
      <c r="K17" s="13">
        <f t="shared" si="1"/>
        <v>16.666666666666668</v>
      </c>
      <c r="L17" s="104">
        <f>'Determination cell counts BH'!R16</f>
        <v>9.5602323532942677</v>
      </c>
      <c r="M17" s="104">
        <f>'Determination cell counts BH'!S16</f>
        <v>2.4973247027657023E-2</v>
      </c>
      <c r="O17" s="31">
        <f t="shared" si="2"/>
        <v>4568349753.9612274</v>
      </c>
      <c r="P17" s="123">
        <f t="shared" si="3"/>
        <v>9.6597593462011524</v>
      </c>
      <c r="Q17" s="123">
        <f t="shared" si="4"/>
        <v>0.23197831977885069</v>
      </c>
    </row>
    <row r="18" spans="1:17">
      <c r="A18" s="40">
        <v>13</v>
      </c>
      <c r="B18" s="32">
        <v>80</v>
      </c>
      <c r="C18" s="32">
        <f t="shared" si="5"/>
        <v>1080</v>
      </c>
      <c r="D18" s="13">
        <f t="shared" si="0"/>
        <v>18</v>
      </c>
      <c r="E18" s="104">
        <f>'Determination cell counts RI'!R17</f>
        <v>5.0949693523977029</v>
      </c>
      <c r="F18" s="104">
        <f>'Determination cell counts RI'!S17:S33</f>
        <v>0.1187780654807139</v>
      </c>
      <c r="H18" s="40">
        <v>13</v>
      </c>
      <c r="I18" s="32">
        <v>80</v>
      </c>
      <c r="J18" s="32">
        <f t="shared" si="6"/>
        <v>1080</v>
      </c>
      <c r="K18" s="13">
        <f t="shared" si="1"/>
        <v>18</v>
      </c>
      <c r="L18" s="104">
        <f>'Determination cell counts BH'!R17</f>
        <v>9.5635104009347458</v>
      </c>
      <c r="M18" s="104">
        <f>'Determination cell counts BH'!S17</f>
        <v>3.9157529960971778E-2</v>
      </c>
      <c r="O18" s="31">
        <f t="shared" si="2"/>
        <v>4237889743.4634018</v>
      </c>
      <c r="P18" s="123">
        <f t="shared" si="3"/>
        <v>9.6271496535478942</v>
      </c>
      <c r="Q18" s="123">
        <f t="shared" si="4"/>
        <v>0.23344591657752134</v>
      </c>
    </row>
    <row r="19" spans="1:17">
      <c r="A19" s="40">
        <v>14</v>
      </c>
      <c r="B19" s="32">
        <v>360</v>
      </c>
      <c r="C19" s="32">
        <f t="shared" si="5"/>
        <v>1440</v>
      </c>
      <c r="D19" s="13">
        <f t="shared" si="0"/>
        <v>24</v>
      </c>
      <c r="E19" s="104">
        <f>'Determination cell counts RI'!R18</f>
        <v>5.2327494835007595</v>
      </c>
      <c r="F19" s="104">
        <f>'Determination cell counts RI'!S18:S34</f>
        <v>0.16756646801545505</v>
      </c>
      <c r="H19" s="40">
        <v>14</v>
      </c>
      <c r="I19" s="32">
        <v>360</v>
      </c>
      <c r="J19" s="32">
        <f t="shared" si="6"/>
        <v>1440</v>
      </c>
      <c r="K19" s="13">
        <f t="shared" si="1"/>
        <v>24</v>
      </c>
      <c r="L19" s="104">
        <f>'Determination cell counts BH'!R18</f>
        <v>9.8297986987909116</v>
      </c>
      <c r="M19" s="104">
        <f>'Determination cell counts BH'!S18</f>
        <v>3.2695255884279989E-2</v>
      </c>
      <c r="O19" s="31">
        <f t="shared" si="2"/>
        <v>6886542445.9439373</v>
      </c>
      <c r="P19" s="123">
        <f t="shared" si="3"/>
        <v>9.8380012286506311</v>
      </c>
      <c r="Q19" s="123">
        <f t="shared" si="4"/>
        <v>0.22145121488423003</v>
      </c>
    </row>
    <row r="20" spans="1:17">
      <c r="A20" s="40">
        <v>15</v>
      </c>
      <c r="B20" s="32">
        <v>360</v>
      </c>
      <c r="C20" s="32">
        <f>C19+B20</f>
        <v>1800</v>
      </c>
      <c r="D20" s="13">
        <f t="shared" si="0"/>
        <v>30</v>
      </c>
      <c r="E20" s="104">
        <f>'Determination cell counts RI'!R19</f>
        <v>5.0656864746472143</v>
      </c>
      <c r="F20" s="104">
        <f>'Determination cell counts RI'!S19:S35</f>
        <v>0.28846411711215614</v>
      </c>
      <c r="H20" s="40">
        <v>15</v>
      </c>
      <c r="I20" s="32">
        <v>360</v>
      </c>
      <c r="J20" s="32">
        <f>J19+I20</f>
        <v>1800</v>
      </c>
      <c r="K20" s="13">
        <f t="shared" si="1"/>
        <v>30</v>
      </c>
      <c r="L20" s="104">
        <f>'Determination cell counts BH'!R19</f>
        <v>10.045298500196186</v>
      </c>
      <c r="M20" s="104">
        <f>'Determination cell counts BH'!S19</f>
        <v>2.763715043243848E-2</v>
      </c>
      <c r="O20" s="31">
        <f t="shared" si="2"/>
        <v>11192518787.292236</v>
      </c>
      <c r="P20" s="123">
        <f t="shared" si="3"/>
        <v>10.048927832044583</v>
      </c>
      <c r="Q20" s="123">
        <f t="shared" si="4"/>
        <v>0.39883057162317248</v>
      </c>
    </row>
    <row r="21" spans="1:17">
      <c r="A21" s="40">
        <v>16</v>
      </c>
      <c r="B21" s="32">
        <v>1080</v>
      </c>
      <c r="C21" s="32">
        <f>C20+B21</f>
        <v>2880</v>
      </c>
      <c r="D21" s="13">
        <f t="shared" si="0"/>
        <v>48</v>
      </c>
      <c r="E21" s="104">
        <f>'Determination cell counts RI'!R20</f>
        <v>4.9514628710737991</v>
      </c>
      <c r="F21" s="104">
        <f>'Determination cell counts RI'!S20:S36</f>
        <v>0</v>
      </c>
      <c r="H21" s="40">
        <v>16</v>
      </c>
      <c r="I21" s="32">
        <v>1080</v>
      </c>
      <c r="J21" s="32">
        <f>J20+I21</f>
        <v>2880</v>
      </c>
      <c r="K21" s="13">
        <f t="shared" si="1"/>
        <v>48</v>
      </c>
      <c r="L21" s="104">
        <f>'Determination cell counts BH'!R20</f>
        <v>10.164936998613472</v>
      </c>
      <c r="M21" s="104">
        <f>'Determination cell counts BH'!S20</f>
        <v>2.3521117404849808E-2</v>
      </c>
      <c r="O21" s="31">
        <f>POWER(10,E21)+POWER(10,L21)+POWER(10,E42)</f>
        <v>14681997364.536684</v>
      </c>
      <c r="P21" s="123">
        <f t="shared" si="3"/>
        <v>10.166785141778256</v>
      </c>
      <c r="Q21" s="123">
        <f t="shared" si="4"/>
        <v>4.5196269345629564E-2</v>
      </c>
    </row>
    <row r="23" spans="1:17">
      <c r="A23" s="102" t="s">
        <v>266</v>
      </c>
      <c r="B23" s="84"/>
      <c r="C23" s="84"/>
      <c r="D23" s="84"/>
    </row>
    <row r="24" spans="1:17">
      <c r="A24" s="133" t="s">
        <v>4</v>
      </c>
      <c r="B24" s="133" t="s">
        <v>117</v>
      </c>
      <c r="C24" s="133" t="s">
        <v>117</v>
      </c>
      <c r="D24" s="133" t="s">
        <v>5</v>
      </c>
      <c r="E24" s="150" t="s">
        <v>234</v>
      </c>
      <c r="F24" s="147" t="s">
        <v>235</v>
      </c>
    </row>
    <row r="25" spans="1:17">
      <c r="A25" s="134"/>
      <c r="B25" s="134"/>
      <c r="C25" s="134"/>
      <c r="D25" s="134"/>
      <c r="E25" s="154"/>
      <c r="F25" s="155"/>
    </row>
    <row r="26" spans="1:17">
      <c r="A26" s="40">
        <v>0</v>
      </c>
      <c r="B26" s="32">
        <v>10</v>
      </c>
      <c r="C26" s="32">
        <f>B26</f>
        <v>10</v>
      </c>
      <c r="D26" s="13">
        <f t="shared" ref="D26:D42" si="7">C26/60</f>
        <v>0.16666666666666666</v>
      </c>
      <c r="E26" s="104">
        <f>'Determination cell counts FP'!R4</f>
        <v>5.2705218909639635</v>
      </c>
      <c r="F26" s="104">
        <f>'Determination cell counts FP'!S4</f>
        <v>0.26382074721171139</v>
      </c>
    </row>
    <row r="27" spans="1:17">
      <c r="A27" s="40">
        <v>1</v>
      </c>
      <c r="B27" s="32">
        <v>110</v>
      </c>
      <c r="C27" s="32">
        <f>C26+B27</f>
        <v>120</v>
      </c>
      <c r="D27" s="13">
        <f t="shared" si="7"/>
        <v>2</v>
      </c>
      <c r="E27" s="104">
        <f>'Determination cell counts FP'!R5</f>
        <v>5.8316105125381199</v>
      </c>
      <c r="F27" s="104">
        <f>'Determination cell counts FP'!S5</f>
        <v>0.13154848169028793</v>
      </c>
    </row>
    <row r="28" spans="1:17">
      <c r="A28" s="40">
        <v>2</v>
      </c>
      <c r="B28" s="32">
        <v>80</v>
      </c>
      <c r="C28" s="32">
        <f>C27+B28</f>
        <v>200</v>
      </c>
      <c r="D28" s="13">
        <f t="shared" si="7"/>
        <v>3.3333333333333335</v>
      </c>
      <c r="E28" s="104">
        <f>'Determination cell counts FP'!R6</f>
        <v>6.178249235643996</v>
      </c>
      <c r="F28" s="104">
        <f>'Determination cell counts FP'!S6</f>
        <v>0.28919374074511633</v>
      </c>
    </row>
    <row r="29" spans="1:17">
      <c r="A29" s="40">
        <v>3</v>
      </c>
      <c r="B29" s="32">
        <v>80</v>
      </c>
      <c r="C29" s="32">
        <f>C28+B29</f>
        <v>280</v>
      </c>
      <c r="D29" s="13">
        <f t="shared" si="7"/>
        <v>4.666666666666667</v>
      </c>
      <c r="E29" s="104">
        <f>'Determination cell counts FP'!R7</f>
        <v>6.8765405441483756</v>
      </c>
      <c r="F29" s="104">
        <f>'Determination cell counts FP'!S7</f>
        <v>8.7264655010643233E-2</v>
      </c>
    </row>
    <row r="30" spans="1:17">
      <c r="A30" s="40">
        <v>4</v>
      </c>
      <c r="B30" s="32">
        <v>80</v>
      </c>
      <c r="C30" s="32">
        <f t="shared" ref="C30:C40" si="8">C29+B30</f>
        <v>360</v>
      </c>
      <c r="D30" s="13">
        <f t="shared" si="7"/>
        <v>6</v>
      </c>
      <c r="E30" s="104">
        <f>'Determination cell counts FP'!R8</f>
        <v>7.1718768193839804</v>
      </c>
      <c r="F30" s="104">
        <f>'Determination cell counts FP'!S8</f>
        <v>0.51030845448797246</v>
      </c>
    </row>
    <row r="31" spans="1:17">
      <c r="A31" s="40">
        <v>5</v>
      </c>
      <c r="B31" s="32">
        <v>80</v>
      </c>
      <c r="C31" s="32">
        <f t="shared" si="8"/>
        <v>440</v>
      </c>
      <c r="D31" s="13">
        <f t="shared" si="7"/>
        <v>7.333333333333333</v>
      </c>
      <c r="E31" s="104">
        <f>'Determination cell counts FP'!R9</f>
        <v>7.2191406574967267</v>
      </c>
      <c r="F31" s="104">
        <f>'Determination cell counts FP'!S9</f>
        <v>0.39328863235787481</v>
      </c>
    </row>
    <row r="32" spans="1:17">
      <c r="A32" s="40">
        <v>6</v>
      </c>
      <c r="B32" s="32">
        <v>80</v>
      </c>
      <c r="C32" s="32">
        <f t="shared" si="8"/>
        <v>520</v>
      </c>
      <c r="D32" s="13">
        <f t="shared" si="7"/>
        <v>8.6666666666666661</v>
      </c>
      <c r="E32" s="104">
        <f>'Determination cell counts FP'!R10</f>
        <v>8.3281933254351781</v>
      </c>
      <c r="F32" s="104">
        <f>'Determination cell counts FP'!S10</f>
        <v>4.7544941219146266E-3</v>
      </c>
    </row>
    <row r="33" spans="1:6">
      <c r="A33" s="40">
        <v>7</v>
      </c>
      <c r="B33" s="32">
        <v>80</v>
      </c>
      <c r="C33" s="32">
        <f t="shared" si="8"/>
        <v>600</v>
      </c>
      <c r="D33" s="13">
        <f t="shared" si="7"/>
        <v>10</v>
      </c>
      <c r="E33" s="104">
        <f>'Determination cell counts FP'!R11</f>
        <v>8.7224200941512446</v>
      </c>
      <c r="F33" s="104">
        <f>'Determination cell counts FP'!S11</f>
        <v>1.8881609491225918E-2</v>
      </c>
    </row>
    <row r="34" spans="1:6">
      <c r="A34" s="40">
        <v>8</v>
      </c>
      <c r="B34" s="32">
        <v>80</v>
      </c>
      <c r="C34" s="32">
        <f t="shared" si="8"/>
        <v>680</v>
      </c>
      <c r="D34" s="13">
        <f t="shared" si="7"/>
        <v>11.333333333333334</v>
      </c>
      <c r="E34" s="104">
        <f>'Determination cell counts FP'!R12</f>
        <v>8.9276818277630667</v>
      </c>
      <c r="F34" s="104">
        <f>'Determination cell counts FP'!S12</f>
        <v>3.3881806938073813E-2</v>
      </c>
    </row>
    <row r="35" spans="1:6">
      <c r="A35" s="40">
        <v>9</v>
      </c>
      <c r="B35" s="32">
        <v>80</v>
      </c>
      <c r="C35" s="32">
        <f t="shared" si="8"/>
        <v>760</v>
      </c>
      <c r="D35" s="13">
        <f t="shared" si="7"/>
        <v>12.666666666666666</v>
      </c>
      <c r="E35" s="104">
        <f>'Determination cell counts FP'!R13</f>
        <v>9.106608094899963</v>
      </c>
      <c r="F35" s="104">
        <f>'Determination cell counts FP'!S13</f>
        <v>1.5692067036357386E-2</v>
      </c>
    </row>
    <row r="36" spans="1:6">
      <c r="A36" s="40">
        <v>10</v>
      </c>
      <c r="B36" s="32">
        <v>80</v>
      </c>
      <c r="C36" s="32">
        <f t="shared" si="8"/>
        <v>840</v>
      </c>
      <c r="D36" s="13">
        <f t="shared" si="7"/>
        <v>14</v>
      </c>
      <c r="E36" s="104">
        <f>'Determination cell counts FP'!R14</f>
        <v>9.1712772624255834</v>
      </c>
      <c r="F36" s="104">
        <f>'Determination cell counts FP'!S14</f>
        <v>8.66468731930237E-3</v>
      </c>
    </row>
    <row r="37" spans="1:6">
      <c r="A37" s="40">
        <v>11</v>
      </c>
      <c r="B37" s="32">
        <v>80</v>
      </c>
      <c r="C37" s="32">
        <f t="shared" si="8"/>
        <v>920</v>
      </c>
      <c r="D37" s="13">
        <f t="shared" si="7"/>
        <v>15.333333333333334</v>
      </c>
      <c r="E37" s="104">
        <f>'Determination cell counts FP'!R15</f>
        <v>9.0948047687909117</v>
      </c>
      <c r="F37" s="104">
        <f>'Determination cell counts FP'!S15</f>
        <v>2.024233931649224E-2</v>
      </c>
    </row>
    <row r="38" spans="1:6">
      <c r="A38" s="40">
        <v>12</v>
      </c>
      <c r="B38" s="32">
        <v>80</v>
      </c>
      <c r="C38" s="32">
        <f t="shared" si="8"/>
        <v>1000</v>
      </c>
      <c r="D38" s="13">
        <f t="shared" si="7"/>
        <v>16.666666666666668</v>
      </c>
      <c r="E38" s="104">
        <f>'Determination cell counts FP'!R16</f>
        <v>8.9710231737575121</v>
      </c>
      <c r="F38" s="104">
        <f>'Determination cell counts FP'!S16</f>
        <v>7.5765728526239681E-2</v>
      </c>
    </row>
    <row r="39" spans="1:6">
      <c r="A39" s="40">
        <v>13</v>
      </c>
      <c r="B39" s="32">
        <v>80</v>
      </c>
      <c r="C39" s="32">
        <f t="shared" si="8"/>
        <v>1080</v>
      </c>
      <c r="D39" s="13">
        <f t="shared" si="7"/>
        <v>18</v>
      </c>
      <c r="E39" s="104">
        <f>'Determination cell counts FP'!R17</f>
        <v>8.7615657029236882</v>
      </c>
      <c r="F39" s="104">
        <f>'Determination cell counts FP'!S17</f>
        <v>7.5510321135835667E-2</v>
      </c>
    </row>
    <row r="40" spans="1:6">
      <c r="A40" s="40">
        <v>14</v>
      </c>
      <c r="B40" s="32">
        <v>360</v>
      </c>
      <c r="C40" s="32">
        <f t="shared" si="8"/>
        <v>1440</v>
      </c>
      <c r="D40" s="13">
        <f t="shared" si="7"/>
        <v>24</v>
      </c>
      <c r="E40" s="104">
        <f>'Determination cell counts FP'!R18</f>
        <v>8.1094934902120315</v>
      </c>
      <c r="F40" s="104">
        <f>'Determination cell counts FP'!S18</f>
        <v>2.1189490984494998E-2</v>
      </c>
    </row>
    <row r="41" spans="1:6">
      <c r="A41" s="40">
        <v>15</v>
      </c>
      <c r="B41" s="32">
        <v>360</v>
      </c>
      <c r="C41" s="32">
        <f>C40+B41</f>
        <v>1800</v>
      </c>
      <c r="D41" s="13">
        <f t="shared" si="7"/>
        <v>30</v>
      </c>
      <c r="E41" s="104">
        <f>'Determination cell counts FP'!R19</f>
        <v>7.9686140664731182</v>
      </c>
      <c r="F41" s="104">
        <f>'Determination cell counts FP'!S19</f>
        <v>8.2729304078577884E-2</v>
      </c>
    </row>
    <row r="42" spans="1:6">
      <c r="A42" s="40">
        <v>16</v>
      </c>
      <c r="B42" s="32">
        <v>1080</v>
      </c>
      <c r="C42" s="32">
        <f>C41+B42</f>
        <v>2880</v>
      </c>
      <c r="D42" s="13">
        <f t="shared" si="7"/>
        <v>48</v>
      </c>
      <c r="E42" s="104">
        <f>'Determination cell counts FP'!R20</f>
        <v>7.7941893266836804</v>
      </c>
      <c r="F42" s="104">
        <f>'Determination cell counts FP'!S20</f>
        <v>2.167515194077976E-2</v>
      </c>
    </row>
  </sheetData>
  <mergeCells count="21">
    <mergeCell ref="B3:B4"/>
    <mergeCell ref="C3:C4"/>
    <mergeCell ref="D3:D4"/>
    <mergeCell ref="E3:E4"/>
    <mergeCell ref="F3:F4"/>
    <mergeCell ref="O3:O4"/>
    <mergeCell ref="P3:P4"/>
    <mergeCell ref="Q3:Q4"/>
    <mergeCell ref="A24:A25"/>
    <mergeCell ref="B24:B25"/>
    <mergeCell ref="C24:C25"/>
    <mergeCell ref="D24:D25"/>
    <mergeCell ref="E24:E25"/>
    <mergeCell ref="F24:F25"/>
    <mergeCell ref="H3:H4"/>
    <mergeCell ref="I3:I4"/>
    <mergeCell ref="J3:J4"/>
    <mergeCell ref="K3:K4"/>
    <mergeCell ref="L3:L4"/>
    <mergeCell ref="M3:M4"/>
    <mergeCell ref="A3:A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22" sqref="I2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3" t="s">
        <v>4</v>
      </c>
      <c r="B1" s="133" t="s">
        <v>117</v>
      </c>
      <c r="C1" s="133" t="s">
        <v>117</v>
      </c>
      <c r="D1" s="133" t="s">
        <v>5</v>
      </c>
      <c r="E1" s="133" t="s">
        <v>19</v>
      </c>
      <c r="F1" s="133" t="s">
        <v>24</v>
      </c>
      <c r="G1" s="132" t="s">
        <v>25</v>
      </c>
      <c r="H1" s="129" t="s">
        <v>26</v>
      </c>
      <c r="I1" s="4" t="s">
        <v>27</v>
      </c>
      <c r="J1" s="53" t="s">
        <v>27</v>
      </c>
    </row>
    <row r="2" spans="1:10">
      <c r="A2" s="134"/>
      <c r="B2" s="134"/>
      <c r="C2" s="134"/>
      <c r="D2" s="134"/>
      <c r="E2" s="134"/>
      <c r="F2" s="134"/>
      <c r="G2" s="132"/>
      <c r="H2" s="129"/>
      <c r="I2" s="5" t="s">
        <v>28</v>
      </c>
      <c r="J2" s="54" t="s">
        <v>23</v>
      </c>
    </row>
    <row r="3" spans="1:10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0">
        <v>0.107</v>
      </c>
      <c r="G3" s="50">
        <v>0.107</v>
      </c>
      <c r="H3" s="50">
        <v>0.107</v>
      </c>
      <c r="I3" s="51">
        <f>E3*(AVERAGE(F3:H3)*1.6007-0.0118)</f>
        <v>0.1594749</v>
      </c>
      <c r="J3" s="51">
        <f>E3*(STDEV(F3:H3)*1.6007)</f>
        <v>0</v>
      </c>
    </row>
    <row r="4" spans="1:10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40">
        <v>1</v>
      </c>
      <c r="F4" s="50">
        <v>0.11</v>
      </c>
      <c r="G4" s="50">
        <v>0.11</v>
      </c>
      <c r="H4" s="50">
        <v>0.11</v>
      </c>
      <c r="I4" s="51">
        <f>E4*(AVERAGE(F4:H4)*1.6007-0.0118)</f>
        <v>0.16427700000000001</v>
      </c>
      <c r="J4" s="51">
        <f t="shared" ref="J4:J9" si="1">E4*(STDEV(F4:H4)*1.6007)</f>
        <v>0</v>
      </c>
    </row>
    <row r="5" spans="1:10">
      <c r="A5" s="63">
        <v>1</v>
      </c>
      <c r="B5" s="32">
        <v>110</v>
      </c>
      <c r="C5" s="32">
        <f>C4+B5</f>
        <v>120</v>
      </c>
      <c r="D5" s="13">
        <f t="shared" si="0"/>
        <v>2</v>
      </c>
      <c r="E5" s="40">
        <v>1</v>
      </c>
      <c r="F5" s="50">
        <v>0.113</v>
      </c>
      <c r="G5" s="50">
        <v>0.113</v>
      </c>
      <c r="H5" s="50">
        <v>0.113</v>
      </c>
      <c r="I5" s="51">
        <f t="shared" ref="I5:I9" si="2">E5*(AVERAGE(F5:H5)*1.6007-0.0118)</f>
        <v>0.16907910000000001</v>
      </c>
      <c r="J5" s="51">
        <f t="shared" si="1"/>
        <v>0</v>
      </c>
    </row>
    <row r="6" spans="1:10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E6" s="40">
        <v>1</v>
      </c>
      <c r="F6" s="50">
        <v>0.122</v>
      </c>
      <c r="G6" s="50">
        <v>0.122</v>
      </c>
      <c r="H6" s="50">
        <v>0.122</v>
      </c>
      <c r="I6" s="51">
        <f t="shared" si="2"/>
        <v>0.18348539999999999</v>
      </c>
      <c r="J6" s="51">
        <f t="shared" si="1"/>
        <v>0</v>
      </c>
    </row>
    <row r="7" spans="1:10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E7" s="40">
        <v>1</v>
      </c>
      <c r="F7" s="50">
        <v>0.14599999999999999</v>
      </c>
      <c r="G7" s="50">
        <v>0.14599999999999999</v>
      </c>
      <c r="H7" s="50">
        <v>0.14599999999999999</v>
      </c>
      <c r="I7" s="51">
        <f t="shared" si="2"/>
        <v>0.22190219999999999</v>
      </c>
      <c r="J7" s="51">
        <f t="shared" si="1"/>
        <v>0</v>
      </c>
    </row>
    <row r="8" spans="1:10">
      <c r="A8" s="63">
        <v>4</v>
      </c>
      <c r="B8" s="32">
        <v>80</v>
      </c>
      <c r="C8" s="32">
        <f t="shared" ref="C8:C18" si="3">C7+B8</f>
        <v>360</v>
      </c>
      <c r="D8" s="13">
        <f t="shared" si="0"/>
        <v>6</v>
      </c>
      <c r="E8" s="40">
        <v>1</v>
      </c>
      <c r="F8" s="50">
        <v>0.187</v>
      </c>
      <c r="G8" s="50">
        <v>0.187</v>
      </c>
      <c r="H8" s="50">
        <v>0.187</v>
      </c>
      <c r="I8" s="51">
        <f t="shared" si="2"/>
        <v>0.28753089999999998</v>
      </c>
      <c r="J8" s="51">
        <f t="shared" si="1"/>
        <v>5.4413393669642165E-17</v>
      </c>
    </row>
    <row r="9" spans="1:10">
      <c r="A9" s="63">
        <v>5</v>
      </c>
      <c r="B9" s="32">
        <v>80</v>
      </c>
      <c r="C9" s="32">
        <f t="shared" si="3"/>
        <v>440</v>
      </c>
      <c r="D9" s="13">
        <f t="shared" si="0"/>
        <v>7.333333333333333</v>
      </c>
      <c r="E9" s="40">
        <v>1</v>
      </c>
      <c r="F9" s="50">
        <v>0.27300000000000002</v>
      </c>
      <c r="G9" s="50">
        <v>0.27300000000000002</v>
      </c>
      <c r="H9" s="50">
        <v>0.27300000000000002</v>
      </c>
      <c r="I9" s="51">
        <f t="shared" si="2"/>
        <v>0.42519110000000004</v>
      </c>
      <c r="J9" s="51">
        <f t="shared" si="1"/>
        <v>0</v>
      </c>
    </row>
    <row r="10" spans="1:10">
      <c r="A10" s="63">
        <v>6</v>
      </c>
      <c r="B10" s="32">
        <v>80</v>
      </c>
      <c r="C10" s="32">
        <f t="shared" si="3"/>
        <v>520</v>
      </c>
      <c r="D10" s="13">
        <f t="shared" si="0"/>
        <v>8.6666666666666661</v>
      </c>
      <c r="E10" s="40">
        <v>5</v>
      </c>
      <c r="F10" s="50">
        <v>0.113</v>
      </c>
      <c r="G10" s="50">
        <v>0.114</v>
      </c>
      <c r="H10" s="50">
        <v>0.112</v>
      </c>
      <c r="I10" s="51">
        <f t="shared" ref="I10:I20" si="4">E10*(AVERAGE(F10:H10)*1.6007-0.0118)</f>
        <v>0.84539550000000008</v>
      </c>
      <c r="J10" s="51">
        <f t="shared" ref="J10:J20" si="5">E10*(STDEV(F10:H10)*1.6007)</f>
        <v>8.0035000000000071E-3</v>
      </c>
    </row>
    <row r="11" spans="1:10">
      <c r="A11" s="63">
        <v>7</v>
      </c>
      <c r="B11" s="32">
        <v>80</v>
      </c>
      <c r="C11" s="32">
        <f t="shared" si="3"/>
        <v>600</v>
      </c>
      <c r="D11" s="13">
        <f t="shared" si="0"/>
        <v>10</v>
      </c>
      <c r="E11" s="40">
        <v>10</v>
      </c>
      <c r="F11" s="50">
        <v>0.122</v>
      </c>
      <c r="G11" s="50">
        <v>0.13200000000000001</v>
      </c>
      <c r="H11" s="50">
        <v>0.11600000000000001</v>
      </c>
      <c r="I11" s="51">
        <f t="shared" si="4"/>
        <v>1.8561966666666665</v>
      </c>
      <c r="J11" s="51">
        <f t="shared" si="5"/>
        <v>0.12938304062485673</v>
      </c>
    </row>
    <row r="12" spans="1:10">
      <c r="A12" s="63">
        <v>8</v>
      </c>
      <c r="B12" s="32">
        <v>80</v>
      </c>
      <c r="C12" s="32">
        <f t="shared" si="3"/>
        <v>680</v>
      </c>
      <c r="D12" s="13">
        <f t="shared" si="0"/>
        <v>11.333333333333334</v>
      </c>
      <c r="E12" s="40">
        <v>10</v>
      </c>
      <c r="F12" s="50">
        <v>0.23100000000000001</v>
      </c>
      <c r="G12" s="50">
        <v>0.23100000000000001</v>
      </c>
      <c r="H12" s="50">
        <v>0.24099999999999999</v>
      </c>
      <c r="I12" s="51">
        <f t="shared" si="4"/>
        <v>3.6329736666666674</v>
      </c>
      <c r="J12" s="51">
        <f t="shared" si="5"/>
        <v>9.2416457589183224E-2</v>
      </c>
    </row>
    <row r="13" spans="1:10">
      <c r="A13" s="63">
        <v>9</v>
      </c>
      <c r="B13" s="32">
        <v>80</v>
      </c>
      <c r="C13" s="32">
        <f t="shared" si="3"/>
        <v>760</v>
      </c>
      <c r="D13" s="13">
        <f t="shared" si="0"/>
        <v>12.666666666666666</v>
      </c>
      <c r="E13" s="40">
        <v>20</v>
      </c>
      <c r="F13" s="50">
        <v>0.247</v>
      </c>
      <c r="G13" s="50">
        <v>0.245</v>
      </c>
      <c r="H13" s="50">
        <v>0.25900000000000001</v>
      </c>
      <c r="I13" s="51">
        <f t="shared" si="4"/>
        <v>7.7781713333333347</v>
      </c>
      <c r="J13" s="51">
        <f t="shared" si="5"/>
        <v>0.24240609570993349</v>
      </c>
    </row>
    <row r="14" spans="1:10">
      <c r="A14" s="63">
        <v>10</v>
      </c>
      <c r="B14" s="32">
        <v>80</v>
      </c>
      <c r="C14" s="32">
        <f t="shared" si="3"/>
        <v>840</v>
      </c>
      <c r="D14" s="13">
        <f t="shared" si="0"/>
        <v>14</v>
      </c>
      <c r="E14" s="40">
        <v>20</v>
      </c>
      <c r="F14" s="50">
        <v>0.30199999999999999</v>
      </c>
      <c r="G14" s="50">
        <v>0.29599999999999999</v>
      </c>
      <c r="H14" s="50">
        <v>0.30399999999999999</v>
      </c>
      <c r="I14" s="51">
        <f t="shared" si="4"/>
        <v>9.3895426666666655</v>
      </c>
      <c r="J14" s="51">
        <f t="shared" si="5"/>
        <v>0.13328491061381767</v>
      </c>
    </row>
    <row r="15" spans="1:10">
      <c r="A15" s="63">
        <v>11</v>
      </c>
      <c r="B15" s="32">
        <v>80</v>
      </c>
      <c r="C15" s="32">
        <f t="shared" si="3"/>
        <v>920</v>
      </c>
      <c r="D15" s="13">
        <f t="shared" si="0"/>
        <v>15.333333333333334</v>
      </c>
      <c r="E15" s="40">
        <v>20</v>
      </c>
      <c r="F15" s="50">
        <v>0.27900000000000003</v>
      </c>
      <c r="G15" s="50">
        <v>0.27700000000000002</v>
      </c>
      <c r="H15" s="50">
        <v>0.27900000000000003</v>
      </c>
      <c r="I15" s="51">
        <f t="shared" si="4"/>
        <v>8.6745633333333352</v>
      </c>
      <c r="J15" s="51">
        <f t="shared" si="5"/>
        <v>3.6966583035673392E-2</v>
      </c>
    </row>
    <row r="16" spans="1:10">
      <c r="A16" s="63">
        <v>12</v>
      </c>
      <c r="B16" s="32">
        <v>80</v>
      </c>
      <c r="C16" s="32">
        <f t="shared" si="3"/>
        <v>1000</v>
      </c>
      <c r="D16" s="13">
        <f t="shared" si="0"/>
        <v>16.666666666666668</v>
      </c>
      <c r="E16" s="40">
        <v>20</v>
      </c>
      <c r="F16" s="50">
        <v>0.26400000000000001</v>
      </c>
      <c r="G16" s="50">
        <v>0.28299999999999997</v>
      </c>
      <c r="H16" s="50">
        <v>0.28499999999999998</v>
      </c>
      <c r="I16" s="51">
        <f t="shared" si="4"/>
        <v>8.6425493333333314</v>
      </c>
      <c r="J16" s="51">
        <f t="shared" si="5"/>
        <v>0.37104948770929846</v>
      </c>
    </row>
    <row r="17" spans="1:10">
      <c r="A17" s="63">
        <v>13</v>
      </c>
      <c r="B17" s="32">
        <v>80</v>
      </c>
      <c r="C17" s="32">
        <f t="shared" si="3"/>
        <v>1080</v>
      </c>
      <c r="D17" s="13">
        <f t="shared" si="0"/>
        <v>18</v>
      </c>
      <c r="E17" s="40">
        <v>20</v>
      </c>
      <c r="F17" s="50">
        <v>0.26</v>
      </c>
      <c r="G17" s="50">
        <v>0.25700000000000001</v>
      </c>
      <c r="H17" s="50">
        <v>0.26900000000000002</v>
      </c>
      <c r="I17" s="51">
        <f t="shared" si="4"/>
        <v>8.1516680000000008</v>
      </c>
      <c r="J17" s="51">
        <f t="shared" si="5"/>
        <v>0.19992736592072649</v>
      </c>
    </row>
    <row r="18" spans="1:10">
      <c r="A18" s="63">
        <v>14</v>
      </c>
      <c r="B18" s="32">
        <v>360</v>
      </c>
      <c r="C18" s="32">
        <f t="shared" si="3"/>
        <v>1440</v>
      </c>
      <c r="D18" s="13">
        <f t="shared" si="0"/>
        <v>24</v>
      </c>
      <c r="E18" s="40">
        <v>20</v>
      </c>
      <c r="F18" s="50">
        <v>0.22800000000000001</v>
      </c>
      <c r="G18" s="50">
        <v>0.22</v>
      </c>
      <c r="H18" s="50">
        <v>0.23100000000000001</v>
      </c>
      <c r="I18" s="51">
        <f>E18*(AVERAGE(F18:H18)*1.6007-0.0118)</f>
        <v>7.009835333333335</v>
      </c>
      <c r="J18" s="51">
        <f t="shared" si="5"/>
        <v>0.18203930986831768</v>
      </c>
    </row>
    <row r="19" spans="1:10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E19" s="40">
        <v>20</v>
      </c>
      <c r="F19" s="50">
        <v>0.20100000000000001</v>
      </c>
      <c r="G19" s="50">
        <v>0.19600000000000001</v>
      </c>
      <c r="H19" s="50">
        <v>0.19700000000000001</v>
      </c>
      <c r="I19" s="51">
        <f>E19*(AVERAGE(F19:H19)*1.6007-0.0118)</f>
        <v>6.1027720000000016</v>
      </c>
      <c r="J19" s="51">
        <f t="shared" si="5"/>
        <v>8.4701082472421876E-2</v>
      </c>
    </row>
    <row r="20" spans="1:10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10</v>
      </c>
      <c r="F20" s="50">
        <v>0.27500000000000002</v>
      </c>
      <c r="G20" s="50">
        <v>0.26900000000000002</v>
      </c>
      <c r="H20" s="50">
        <v>0.27400000000000002</v>
      </c>
      <c r="I20" s="51">
        <f t="shared" si="4"/>
        <v>4.2465753333333334</v>
      </c>
      <c r="J20" s="51">
        <f t="shared" si="5"/>
        <v>5.1455305910404793E-2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3" t="s">
        <v>4</v>
      </c>
      <c r="B1" s="133" t="s">
        <v>117</v>
      </c>
      <c r="C1" s="133" t="s">
        <v>117</v>
      </c>
      <c r="D1" s="133" t="s">
        <v>5</v>
      </c>
      <c r="E1" s="4" t="s">
        <v>29</v>
      </c>
      <c r="F1" s="4" t="s">
        <v>2</v>
      </c>
      <c r="G1" s="4" t="s">
        <v>32</v>
      </c>
    </row>
    <row r="2" spans="1:7">
      <c r="A2" s="134"/>
      <c r="B2" s="134"/>
      <c r="C2" s="134"/>
      <c r="D2" s="134"/>
      <c r="E2" s="5" t="s">
        <v>30</v>
      </c>
      <c r="F2" s="5" t="s">
        <v>31</v>
      </c>
      <c r="G2" s="5" t="s">
        <v>33</v>
      </c>
    </row>
    <row r="3" spans="1:7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3">
        <v>1</v>
      </c>
      <c r="B5" s="32">
        <v>110</v>
      </c>
      <c r="C5" s="32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3">
        <v>4</v>
      </c>
      <c r="B8" s="32">
        <v>80</v>
      </c>
      <c r="C8" s="32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3">
        <v>5</v>
      </c>
      <c r="B9" s="32">
        <v>80</v>
      </c>
      <c r="C9" s="32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3">
        <v>6</v>
      </c>
      <c r="B10" s="32">
        <v>80</v>
      </c>
      <c r="C10" s="32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3">
        <v>7</v>
      </c>
      <c r="B11" s="32">
        <v>80</v>
      </c>
      <c r="C11" s="32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3">
        <v>8</v>
      </c>
      <c r="B12" s="32">
        <v>80</v>
      </c>
      <c r="C12" s="32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3">
        <v>9</v>
      </c>
      <c r="B13" s="32">
        <v>80</v>
      </c>
      <c r="C13" s="32">
        <f t="shared" si="1"/>
        <v>760</v>
      </c>
      <c r="D13" s="13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3">
        <v>10</v>
      </c>
      <c r="B14" s="32">
        <v>80</v>
      </c>
      <c r="C14" s="32">
        <f t="shared" si="1"/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3">
        <v>11</v>
      </c>
      <c r="B15" s="32">
        <v>80</v>
      </c>
      <c r="C15" s="32">
        <f t="shared" si="1"/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3">
        <v>12</v>
      </c>
      <c r="B16" s="32">
        <v>80</v>
      </c>
      <c r="C16" s="32">
        <f t="shared" si="1"/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3">
        <v>13</v>
      </c>
      <c r="B17" s="32">
        <v>80</v>
      </c>
      <c r="C17" s="32">
        <f t="shared" si="1"/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3">
        <v>14</v>
      </c>
      <c r="B18" s="32">
        <v>360</v>
      </c>
      <c r="C18" s="32">
        <f t="shared" si="1"/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E20" s="40"/>
      <c r="F20" s="40"/>
      <c r="G20" s="40" t="e">
        <f>(F20-$C$22)/E20*1000*Calculation!I22/Calculation!K20</f>
        <v>#DIV/0!</v>
      </c>
    </row>
    <row r="22" spans="1:7">
      <c r="A22" s="156" t="s">
        <v>3</v>
      </c>
      <c r="B22" s="157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68" workbookViewId="0">
      <selection activeCell="B5" sqref="B5:B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69.5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32" t="s">
        <v>5</v>
      </c>
      <c r="B3" s="132" t="s">
        <v>36</v>
      </c>
      <c r="C3" s="132"/>
      <c r="D3" s="132" t="s">
        <v>52</v>
      </c>
      <c r="E3" s="132"/>
      <c r="F3" s="132"/>
      <c r="G3" s="23" t="s">
        <v>53</v>
      </c>
    </row>
    <row r="4" spans="1:10">
      <c r="A4" s="132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5">
        <v>0</v>
      </c>
      <c r="C5" s="12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  <c r="I5" s="78">
        <v>-0.16666666666666666</v>
      </c>
      <c r="J5" t="s">
        <v>162</v>
      </c>
    </row>
    <row r="6" spans="1:10">
      <c r="A6" s="12">
        <v>0.5</v>
      </c>
      <c r="B6" s="75">
        <v>0</v>
      </c>
      <c r="C6" s="12">
        <f t="shared" ref="C6:C69" si="0">B6/1000</f>
        <v>0</v>
      </c>
      <c r="D6" s="12">
        <f>C6/1000*$B$1</f>
        <v>0</v>
      </c>
      <c r="E6" s="12">
        <f>D6/22.4</f>
        <v>0</v>
      </c>
      <c r="F6" s="12">
        <f>E6/Calculation!K$4*1000</f>
        <v>0</v>
      </c>
      <c r="G6" s="12">
        <f>G5+(F6+F5)/2*30</f>
        <v>0</v>
      </c>
      <c r="I6" s="78">
        <v>0.16666666666666666</v>
      </c>
      <c r="J6" t="s">
        <v>163</v>
      </c>
    </row>
    <row r="7" spans="1:10">
      <c r="A7" s="12">
        <v>1</v>
      </c>
      <c r="B7" s="75">
        <v>473.01</v>
      </c>
      <c r="C7" s="12">
        <f t="shared" si="0"/>
        <v>0.47300999999999999</v>
      </c>
      <c r="D7" s="12">
        <f t="shared" ref="D7:D69" si="1">C7/1000*$B$1</f>
        <v>3.2874195000000002E-2</v>
      </c>
      <c r="E7" s="12">
        <f t="shared" ref="E7:E69" si="2">D7/22.4</f>
        <v>1.4675979910714287E-3</v>
      </c>
      <c r="F7" s="12">
        <f>E7/Calculation!K$4*1000</f>
        <v>9.8961428932665442E-4</v>
      </c>
      <c r="G7" s="12">
        <f t="shared" ref="G7:G70" si="3">G6+(F7+F6)/2*30</f>
        <v>1.4844214339899816E-2</v>
      </c>
      <c r="I7" s="78">
        <v>2</v>
      </c>
      <c r="J7" t="s">
        <v>164</v>
      </c>
    </row>
    <row r="8" spans="1:10">
      <c r="A8" s="12">
        <v>1.5</v>
      </c>
      <c r="B8" s="75">
        <v>494.87</v>
      </c>
      <c r="C8" s="12">
        <f t="shared" si="0"/>
        <v>0.49487000000000003</v>
      </c>
      <c r="D8" s="12">
        <f t="shared" si="1"/>
        <v>3.4393464999999998E-2</v>
      </c>
      <c r="E8" s="12">
        <f t="shared" si="2"/>
        <v>1.5354225446428571E-3</v>
      </c>
      <c r="F8" s="12">
        <f>E8/Calculation!K$4*1000</f>
        <v>1.0353489849243812E-3</v>
      </c>
      <c r="G8" s="12">
        <f t="shared" si="3"/>
        <v>4.5218663453665348E-2</v>
      </c>
      <c r="I8" s="78">
        <v>3.3333333333333335</v>
      </c>
      <c r="J8" t="s">
        <v>165</v>
      </c>
    </row>
    <row r="9" spans="1:10">
      <c r="A9" s="12">
        <v>2</v>
      </c>
      <c r="B9" s="75">
        <v>608.15</v>
      </c>
      <c r="C9" s="12">
        <f t="shared" si="0"/>
        <v>0.60814999999999997</v>
      </c>
      <c r="D9" s="12">
        <f t="shared" si="1"/>
        <v>4.2266425000000003E-2</v>
      </c>
      <c r="E9" s="12">
        <f t="shared" si="2"/>
        <v>1.886893973214286E-3</v>
      </c>
      <c r="F9" s="12">
        <f>E9/Calculation!K$5*1000</f>
        <v>1.3158256438035468E-3</v>
      </c>
      <c r="G9" s="12">
        <f t="shared" si="3"/>
        <v>8.0486282884584259E-2</v>
      </c>
      <c r="I9" s="78">
        <v>4.666666666666667</v>
      </c>
      <c r="J9" t="s">
        <v>166</v>
      </c>
    </row>
    <row r="10" spans="1:10">
      <c r="A10" s="12">
        <v>2.5</v>
      </c>
      <c r="B10" s="75">
        <v>717.46</v>
      </c>
      <c r="C10" s="12">
        <f t="shared" si="0"/>
        <v>0.71745999999999999</v>
      </c>
      <c r="D10" s="12">
        <f t="shared" si="1"/>
        <v>4.986347E-2</v>
      </c>
      <c r="E10" s="12">
        <f t="shared" si="2"/>
        <v>2.226047767857143E-3</v>
      </c>
      <c r="F10" s="12">
        <f>E10/Calculation!K$5*1000</f>
        <v>1.5523345661486352E-3</v>
      </c>
      <c r="G10" s="12">
        <f t="shared" si="3"/>
        <v>0.123508686033867</v>
      </c>
      <c r="I10" s="78">
        <v>6</v>
      </c>
      <c r="J10" t="s">
        <v>167</v>
      </c>
    </row>
    <row r="11" spans="1:10">
      <c r="A11" s="12">
        <v>3</v>
      </c>
      <c r="B11" s="75">
        <v>1186.49</v>
      </c>
      <c r="C11" s="12">
        <f t="shared" si="0"/>
        <v>1.18649</v>
      </c>
      <c r="D11" s="12">
        <f t="shared" si="1"/>
        <v>8.2461055000000005E-2</v>
      </c>
      <c r="E11" s="12">
        <f t="shared" si="2"/>
        <v>3.6812970982142861E-3</v>
      </c>
      <c r="F11" s="12">
        <f>E11/Calculation!K$5*1000</f>
        <v>2.5671527881550114E-3</v>
      </c>
      <c r="G11" s="12">
        <f t="shared" si="3"/>
        <v>0.1853009963484217</v>
      </c>
      <c r="I11" s="78">
        <v>7.333333333333333</v>
      </c>
      <c r="J11" t="s">
        <v>168</v>
      </c>
    </row>
    <row r="12" spans="1:10">
      <c r="A12" s="12">
        <v>3.5</v>
      </c>
      <c r="B12" s="75">
        <v>1825.44</v>
      </c>
      <c r="C12" s="12">
        <f t="shared" si="0"/>
        <v>1.82544</v>
      </c>
      <c r="D12" s="12">
        <f t="shared" si="1"/>
        <v>0.12686807999999999</v>
      </c>
      <c r="E12" s="12">
        <f t="shared" si="2"/>
        <v>5.6637535714285717E-3</v>
      </c>
      <c r="F12" s="12">
        <f>E12/Calculation!K$6*1000</f>
        <v>4.137146509443807E-3</v>
      </c>
      <c r="G12" s="12">
        <f t="shared" si="3"/>
        <v>0.28586548581240401</v>
      </c>
      <c r="I12" s="78">
        <v>8.6666666666666661</v>
      </c>
      <c r="J12" t="s">
        <v>169</v>
      </c>
    </row>
    <row r="13" spans="1:10">
      <c r="A13" s="12">
        <v>4</v>
      </c>
      <c r="B13" s="75">
        <v>2456.4499999999998</v>
      </c>
      <c r="C13" s="12">
        <f t="shared" si="0"/>
        <v>2.4564499999999998</v>
      </c>
      <c r="D13" s="12">
        <f t="shared" si="1"/>
        <v>0.17072327499999998</v>
      </c>
      <c r="E13" s="12">
        <f t="shared" si="2"/>
        <v>7.6215747767857138E-3</v>
      </c>
      <c r="F13" s="12">
        <f>E13/Calculation!K$6*1000</f>
        <v>5.5672569589377023E-3</v>
      </c>
      <c r="G13" s="12">
        <f t="shared" si="3"/>
        <v>0.43143153783812666</v>
      </c>
      <c r="I13" s="78">
        <v>10</v>
      </c>
      <c r="J13" t="s">
        <v>170</v>
      </c>
    </row>
    <row r="14" spans="1:10">
      <c r="A14" s="12">
        <v>4.5</v>
      </c>
      <c r="B14" s="75">
        <v>2967.22</v>
      </c>
      <c r="C14" s="12">
        <f t="shared" si="0"/>
        <v>2.9672199999999997</v>
      </c>
      <c r="D14" s="12">
        <f t="shared" si="1"/>
        <v>0.20622178999999996</v>
      </c>
      <c r="E14" s="12">
        <f t="shared" si="2"/>
        <v>9.2063299107142844E-3</v>
      </c>
      <c r="F14" s="12">
        <f>E14/Calculation!K$6*1000</f>
        <v>6.7248574950433048E-3</v>
      </c>
      <c r="G14" s="12">
        <f t="shared" si="3"/>
        <v>0.61581325464784176</v>
      </c>
      <c r="I14" s="78">
        <v>11.333333333333334</v>
      </c>
      <c r="J14" t="s">
        <v>171</v>
      </c>
    </row>
    <row r="15" spans="1:10">
      <c r="A15" s="12">
        <v>5</v>
      </c>
      <c r="B15" s="75">
        <v>3231.54</v>
      </c>
      <c r="C15" s="12">
        <f t="shared" si="0"/>
        <v>3.2315399999999999</v>
      </c>
      <c r="D15" s="12">
        <f t="shared" si="1"/>
        <v>0.22459202999999997</v>
      </c>
      <c r="E15" s="12">
        <f t="shared" si="2"/>
        <v>1.0026429910714285E-2</v>
      </c>
      <c r="F15" s="12">
        <f>E15/Calculation!K$7*1000</f>
        <v>7.5900302125013509E-3</v>
      </c>
      <c r="G15" s="12">
        <f t="shared" si="3"/>
        <v>0.83053657026101158</v>
      </c>
      <c r="I15" s="78">
        <v>12.666666666666666</v>
      </c>
      <c r="J15" t="s">
        <v>172</v>
      </c>
    </row>
    <row r="16" spans="1:10">
      <c r="A16" s="12">
        <v>5.5</v>
      </c>
      <c r="B16" s="75">
        <v>3514.75</v>
      </c>
      <c r="C16" s="12">
        <f t="shared" si="0"/>
        <v>3.5147499999999998</v>
      </c>
      <c r="D16" s="12">
        <f t="shared" si="1"/>
        <v>0.24427512499999998</v>
      </c>
      <c r="E16" s="12">
        <f t="shared" si="2"/>
        <v>1.0905139508928571E-2</v>
      </c>
      <c r="F16" s="12">
        <f>E16/Calculation!K$7*1000</f>
        <v>8.2552153739050508E-3</v>
      </c>
      <c r="G16" s="12">
        <f t="shared" si="3"/>
        <v>1.0682152540571077</v>
      </c>
      <c r="I16" s="78">
        <v>14</v>
      </c>
      <c r="J16" t="s">
        <v>173</v>
      </c>
    </row>
    <row r="17" spans="1:10">
      <c r="A17" s="12">
        <v>6</v>
      </c>
      <c r="B17" s="75">
        <v>4121.91</v>
      </c>
      <c r="C17" s="12">
        <f t="shared" si="0"/>
        <v>4.1219099999999997</v>
      </c>
      <c r="D17" s="12">
        <f t="shared" si="1"/>
        <v>0.28647274499999997</v>
      </c>
      <c r="E17" s="12">
        <f t="shared" si="2"/>
        <v>1.2788961830357142E-2</v>
      </c>
      <c r="F17" s="12">
        <f>E17/Calculation!K$8*1000</f>
        <v>1.0046317227303331E-2</v>
      </c>
      <c r="G17" s="12">
        <f t="shared" si="3"/>
        <v>1.3427382430752335</v>
      </c>
      <c r="I17" s="78">
        <v>15.333333333333334</v>
      </c>
      <c r="J17" t="s">
        <v>174</v>
      </c>
    </row>
    <row r="18" spans="1:10">
      <c r="A18" s="12">
        <v>6.5</v>
      </c>
      <c r="B18" s="75">
        <v>5436.59</v>
      </c>
      <c r="C18" s="12">
        <f t="shared" si="0"/>
        <v>5.4365899999999998</v>
      </c>
      <c r="D18" s="12">
        <f t="shared" si="1"/>
        <v>0.37784300500000001</v>
      </c>
      <c r="E18" s="12">
        <f t="shared" si="2"/>
        <v>1.6867991294642858E-2</v>
      </c>
      <c r="F18" s="12">
        <f>E18/Calculation!K$8*1000</f>
        <v>1.3250582321007743E-2</v>
      </c>
      <c r="G18" s="12">
        <f t="shared" si="3"/>
        <v>1.6921917362998995</v>
      </c>
      <c r="I18" s="78">
        <v>16.666666666666668</v>
      </c>
      <c r="J18" t="s">
        <v>175</v>
      </c>
    </row>
    <row r="19" spans="1:10">
      <c r="A19" s="12">
        <v>7</v>
      </c>
      <c r="B19" s="75">
        <v>7644.61</v>
      </c>
      <c r="C19" s="12">
        <f t="shared" si="0"/>
        <v>7.6446099999999992</v>
      </c>
      <c r="D19" s="12">
        <f t="shared" si="1"/>
        <v>0.53130039499999993</v>
      </c>
      <c r="E19" s="12">
        <f t="shared" si="2"/>
        <v>2.3718767633928571E-2</v>
      </c>
      <c r="F19" s="12">
        <f>E19/Calculation!K$8*1000</f>
        <v>1.8632181959095499E-2</v>
      </c>
      <c r="G19" s="12">
        <f t="shared" si="3"/>
        <v>2.1704332005014479</v>
      </c>
      <c r="I19" s="78">
        <v>18</v>
      </c>
      <c r="J19" t="s">
        <v>176</v>
      </c>
    </row>
    <row r="20" spans="1:10">
      <c r="A20" s="12">
        <v>7.5</v>
      </c>
      <c r="B20" s="75">
        <v>11177.25</v>
      </c>
      <c r="C20" s="12">
        <f t="shared" si="0"/>
        <v>11.177250000000001</v>
      </c>
      <c r="D20" s="12">
        <f t="shared" si="1"/>
        <v>0.77681887500000013</v>
      </c>
      <c r="E20" s="12">
        <f t="shared" si="2"/>
        <v>3.4679414062500011E-2</v>
      </c>
      <c r="F20" s="12">
        <f>E20/Calculation!K$9*1000</f>
        <v>2.8471416190253566E-2</v>
      </c>
      <c r="G20" s="12">
        <f t="shared" si="3"/>
        <v>2.8769871727416838</v>
      </c>
      <c r="I20" s="78">
        <v>24</v>
      </c>
      <c r="J20" t="s">
        <v>177</v>
      </c>
    </row>
    <row r="21" spans="1:10">
      <c r="A21" s="12">
        <v>8</v>
      </c>
      <c r="B21" s="75">
        <v>14785.41</v>
      </c>
      <c r="C21" s="12">
        <f t="shared" si="0"/>
        <v>14.785410000000001</v>
      </c>
      <c r="D21" s="12">
        <f t="shared" si="1"/>
        <v>1.0275859950000001</v>
      </c>
      <c r="E21" s="12">
        <f t="shared" si="2"/>
        <v>4.5874374776785722E-2</v>
      </c>
      <c r="F21" s="12">
        <f>E21/Calculation!K$9*1000</f>
        <v>3.7662355378428228E-2</v>
      </c>
      <c r="G21" s="12">
        <f t="shared" si="3"/>
        <v>3.8689937462719106</v>
      </c>
      <c r="I21" s="78">
        <v>30</v>
      </c>
      <c r="J21" t="s">
        <v>178</v>
      </c>
    </row>
    <row r="22" spans="1:10">
      <c r="A22" s="12">
        <v>8.5</v>
      </c>
      <c r="B22" s="75">
        <v>20425.7</v>
      </c>
      <c r="C22" s="12">
        <f t="shared" si="0"/>
        <v>20.425699999999999</v>
      </c>
      <c r="D22" s="12">
        <f t="shared" si="1"/>
        <v>1.4195861499999998</v>
      </c>
      <c r="E22" s="12">
        <f t="shared" si="2"/>
        <v>6.3374381696428561E-2</v>
      </c>
      <c r="F22" s="12">
        <f>E22/Calculation!K$9*1000</f>
        <v>5.2029667912703213E-2</v>
      </c>
      <c r="G22" s="12">
        <f t="shared" si="3"/>
        <v>5.214374095638882</v>
      </c>
      <c r="I22" s="78">
        <v>48</v>
      </c>
      <c r="J22" t="s">
        <v>179</v>
      </c>
    </row>
    <row r="23" spans="1:10">
      <c r="A23" s="12">
        <v>9</v>
      </c>
      <c r="B23" s="75">
        <v>24324.03</v>
      </c>
      <c r="C23" s="12">
        <f t="shared" si="0"/>
        <v>24.32403</v>
      </c>
      <c r="D23" s="12">
        <f t="shared" si="1"/>
        <v>1.690520085</v>
      </c>
      <c r="E23" s="12">
        <f t="shared" si="2"/>
        <v>7.546964665178571E-2</v>
      </c>
      <c r="F23" s="12">
        <f>E23/Calculation!K$10*1000</f>
        <v>6.4660556428451518E-2</v>
      </c>
      <c r="G23" s="12">
        <f t="shared" si="3"/>
        <v>6.9647274607562029</v>
      </c>
    </row>
    <row r="24" spans="1:10">
      <c r="A24" s="12">
        <v>9.5</v>
      </c>
      <c r="B24" s="75">
        <v>34881.199999999997</v>
      </c>
      <c r="C24" s="12">
        <f t="shared" si="0"/>
        <v>34.8812</v>
      </c>
      <c r="D24" s="12">
        <f t="shared" si="1"/>
        <v>2.4242433999999999</v>
      </c>
      <c r="E24" s="12">
        <f t="shared" si="2"/>
        <v>0.10822515178571429</v>
      </c>
      <c r="F24" s="12">
        <f>E24/Calculation!K$10*1000</f>
        <v>9.2724676005254997E-2</v>
      </c>
      <c r="G24" s="12">
        <f t="shared" si="3"/>
        <v>9.3255059472617994</v>
      </c>
    </row>
    <row r="25" spans="1:10">
      <c r="A25" s="12">
        <v>10</v>
      </c>
      <c r="B25" s="75">
        <v>31939.82</v>
      </c>
      <c r="C25" s="12">
        <f t="shared" si="0"/>
        <v>31.939820000000001</v>
      </c>
      <c r="D25" s="12">
        <f t="shared" si="1"/>
        <v>2.2198174900000001</v>
      </c>
      <c r="E25" s="12">
        <f t="shared" si="2"/>
        <v>9.9098995089285727E-2</v>
      </c>
      <c r="F25" s="12">
        <f>E25/Calculation!K$11*1000</f>
        <v>8.820874297235036E-2</v>
      </c>
      <c r="G25" s="12">
        <f t="shared" si="3"/>
        <v>12.03950723192588</v>
      </c>
    </row>
    <row r="26" spans="1:10">
      <c r="A26" s="12">
        <v>10.5</v>
      </c>
      <c r="B26" s="75">
        <v>34507.57</v>
      </c>
      <c r="C26" s="12">
        <f t="shared" si="0"/>
        <v>34.507570000000001</v>
      </c>
      <c r="D26" s="12">
        <f t="shared" si="1"/>
        <v>2.3982761150000003</v>
      </c>
      <c r="E26" s="12">
        <f t="shared" si="2"/>
        <v>0.10706589799107144</v>
      </c>
      <c r="F26" s="12">
        <f>E26/Calculation!K$11*1000</f>
        <v>9.5300141726859702E-2</v>
      </c>
      <c r="G26" s="12">
        <f t="shared" si="3"/>
        <v>14.79214050241403</v>
      </c>
    </row>
    <row r="27" spans="1:10">
      <c r="A27" s="12">
        <v>11</v>
      </c>
      <c r="B27" s="75">
        <v>28532.39</v>
      </c>
      <c r="C27" s="12">
        <f t="shared" si="0"/>
        <v>28.532389999999999</v>
      </c>
      <c r="D27" s="12">
        <f t="shared" si="1"/>
        <v>1.9830011049999998</v>
      </c>
      <c r="E27" s="12">
        <f t="shared" si="2"/>
        <v>8.8526835044642857E-2</v>
      </c>
      <c r="F27" s="12">
        <f>E27/Calculation!K$11*1000</f>
        <v>7.8798385710904417E-2</v>
      </c>
      <c r="G27" s="12">
        <f t="shared" si="3"/>
        <v>17.403618413980492</v>
      </c>
    </row>
    <row r="28" spans="1:10">
      <c r="A28" s="12">
        <v>11.5</v>
      </c>
      <c r="B28" s="75">
        <v>29711.919999999998</v>
      </c>
      <c r="C28" s="12">
        <f t="shared" si="0"/>
        <v>29.711919999999999</v>
      </c>
      <c r="D28" s="12">
        <f t="shared" si="1"/>
        <v>2.06497844</v>
      </c>
      <c r="E28" s="12">
        <f t="shared" si="2"/>
        <v>9.2186537499999999E-2</v>
      </c>
      <c r="F28" s="12">
        <f>E28/Calculation!K$12*1000</f>
        <v>8.5584393095180122E-2</v>
      </c>
      <c r="G28" s="12">
        <f t="shared" si="3"/>
        <v>19.869360096071759</v>
      </c>
    </row>
    <row r="29" spans="1:10">
      <c r="A29" s="12">
        <v>12</v>
      </c>
      <c r="B29" s="75">
        <v>29636.400000000001</v>
      </c>
      <c r="C29" s="12">
        <f t="shared" si="0"/>
        <v>29.636400000000002</v>
      </c>
      <c r="D29" s="12">
        <f t="shared" si="1"/>
        <v>2.0597297999999999</v>
      </c>
      <c r="E29" s="12">
        <f t="shared" si="2"/>
        <v>9.1952223214285714E-2</v>
      </c>
      <c r="F29" s="12">
        <f>E29/Calculation!K$12*1000</f>
        <v>8.5366859749420307E-2</v>
      </c>
      <c r="G29" s="12">
        <f t="shared" si="3"/>
        <v>22.433628888740767</v>
      </c>
    </row>
    <row r="30" spans="1:10">
      <c r="A30" s="12">
        <v>12.5</v>
      </c>
      <c r="B30" s="75">
        <v>31197.52</v>
      </c>
      <c r="C30" s="12">
        <f t="shared" si="0"/>
        <v>31.197520000000001</v>
      </c>
      <c r="D30" s="12">
        <f t="shared" si="1"/>
        <v>2.16822764</v>
      </c>
      <c r="E30" s="12">
        <f t="shared" si="2"/>
        <v>9.6795876785714288E-2</v>
      </c>
      <c r="F30" s="12">
        <f>E30/Calculation!K$12*1000</f>
        <v>8.9863624271832435E-2</v>
      </c>
      <c r="G30" s="12">
        <f t="shared" si="3"/>
        <v>25.062086149059557</v>
      </c>
    </row>
    <row r="31" spans="1:10">
      <c r="A31" s="12">
        <v>13</v>
      </c>
      <c r="B31" s="75">
        <v>41732.83</v>
      </c>
      <c r="C31" s="12">
        <f t="shared" si="0"/>
        <v>41.73283</v>
      </c>
      <c r="D31" s="12">
        <f t="shared" si="1"/>
        <v>2.900431685</v>
      </c>
      <c r="E31" s="12">
        <f t="shared" si="2"/>
        <v>0.12948355736607145</v>
      </c>
      <c r="F31" s="12">
        <f>E31/Calculation!K$13*1000</f>
        <v>0.12633422486669985</v>
      </c>
      <c r="G31" s="12">
        <f t="shared" si="3"/>
        <v>28.305053886137543</v>
      </c>
    </row>
    <row r="32" spans="1:10">
      <c r="A32" s="12">
        <v>13.5</v>
      </c>
      <c r="B32" s="75">
        <v>38679.160000000003</v>
      </c>
      <c r="C32" s="12">
        <f t="shared" si="0"/>
        <v>38.679160000000003</v>
      </c>
      <c r="D32" s="12">
        <f t="shared" si="1"/>
        <v>2.6882016200000001</v>
      </c>
      <c r="E32" s="12">
        <f t="shared" si="2"/>
        <v>0.12000900089285715</v>
      </c>
      <c r="F32" s="12">
        <f>E32/Calculation!K$13*1000</f>
        <v>0.1170901110012204</v>
      </c>
      <c r="G32" s="12">
        <f t="shared" si="3"/>
        <v>31.956418924156345</v>
      </c>
    </row>
    <row r="33" spans="1:7">
      <c r="A33" s="12">
        <v>14</v>
      </c>
      <c r="B33" s="75">
        <v>38697.050000000003</v>
      </c>
      <c r="C33" s="12">
        <f t="shared" si="0"/>
        <v>38.697050000000004</v>
      </c>
      <c r="D33" s="12">
        <f t="shared" si="1"/>
        <v>2.6894449750000002</v>
      </c>
      <c r="E33" s="12">
        <f t="shared" si="2"/>
        <v>0.12006450781250001</v>
      </c>
      <c r="F33" s="12">
        <f>E33/Calculation!K$14*1000</f>
        <v>0.12235571498705759</v>
      </c>
      <c r="G33" s="12">
        <f t="shared" si="3"/>
        <v>35.548106313980512</v>
      </c>
    </row>
    <row r="34" spans="1:7">
      <c r="A34" s="12">
        <v>14.5</v>
      </c>
      <c r="B34" s="75">
        <v>36971.97</v>
      </c>
      <c r="C34" s="12">
        <f t="shared" si="0"/>
        <v>36.971969999999999</v>
      </c>
      <c r="D34" s="12">
        <f t="shared" si="1"/>
        <v>2.5695519149999999</v>
      </c>
      <c r="E34" s="12">
        <f t="shared" si="2"/>
        <v>0.11471213906250001</v>
      </c>
      <c r="F34" s="12">
        <f>E34/Calculation!K$14*1000</f>
        <v>0.11690120626326926</v>
      </c>
      <c r="G34" s="12">
        <f t="shared" si="3"/>
        <v>39.136960132735418</v>
      </c>
    </row>
    <row r="35" spans="1:7">
      <c r="A35" s="12">
        <v>15</v>
      </c>
      <c r="B35" s="75">
        <v>26616.52</v>
      </c>
      <c r="C35" s="12">
        <f t="shared" si="0"/>
        <v>26.616520000000001</v>
      </c>
      <c r="D35" s="12">
        <f t="shared" si="1"/>
        <v>1.84984814</v>
      </c>
      <c r="E35" s="12">
        <f t="shared" si="2"/>
        <v>8.2582506250000007E-2</v>
      </c>
      <c r="F35" s="12">
        <f>E35/Calculation!K$14*1000</f>
        <v>8.4158439340138808E-2</v>
      </c>
      <c r="G35" s="12">
        <f t="shared" si="3"/>
        <v>42.152854816786537</v>
      </c>
    </row>
    <row r="36" spans="1:7">
      <c r="A36" s="12">
        <v>15.5</v>
      </c>
      <c r="B36" s="75">
        <v>19140.84</v>
      </c>
      <c r="C36" s="12">
        <f t="shared" si="0"/>
        <v>19.140840000000001</v>
      </c>
      <c r="D36" s="12">
        <f t="shared" si="1"/>
        <v>1.33028838</v>
      </c>
      <c r="E36" s="12">
        <f t="shared" si="2"/>
        <v>5.9387874107142864E-2</v>
      </c>
      <c r="F36" s="12">
        <f>E36/Calculation!K$15*1000</f>
        <v>6.3780959960888492E-2</v>
      </c>
      <c r="G36" s="12">
        <f t="shared" si="3"/>
        <v>44.371945806301945</v>
      </c>
    </row>
    <row r="37" spans="1:7">
      <c r="A37" s="12">
        <v>16</v>
      </c>
      <c r="B37" s="75">
        <v>13266.03</v>
      </c>
      <c r="C37" s="12">
        <f t="shared" si="0"/>
        <v>13.266030000000001</v>
      </c>
      <c r="D37" s="12">
        <f t="shared" si="1"/>
        <v>0.92198908499999999</v>
      </c>
      <c r="E37" s="12">
        <f t="shared" si="2"/>
        <v>4.1160227008928574E-2</v>
      </c>
      <c r="F37" s="12">
        <f>E37/Calculation!K$15*1000</f>
        <v>4.4204963223659223E-2</v>
      </c>
      <c r="G37" s="12">
        <f t="shared" si="3"/>
        <v>45.991734654070157</v>
      </c>
    </row>
    <row r="38" spans="1:7">
      <c r="A38" s="12">
        <v>16.5</v>
      </c>
      <c r="B38" s="75">
        <v>39.75</v>
      </c>
      <c r="C38" s="12">
        <f t="shared" si="0"/>
        <v>3.9750000000000001E-2</v>
      </c>
      <c r="D38" s="12">
        <f t="shared" si="1"/>
        <v>2.7626250000000003E-3</v>
      </c>
      <c r="E38" s="12">
        <f t="shared" si="2"/>
        <v>1.2333147321428572E-4</v>
      </c>
      <c r="F38" s="12">
        <f>E38/Calculation!K$15*1000</f>
        <v>1.324546445425236E-4</v>
      </c>
      <c r="G38" s="12">
        <f t="shared" si="3"/>
        <v>46.656795922093181</v>
      </c>
    </row>
    <row r="39" spans="1:7">
      <c r="A39" s="12">
        <v>17</v>
      </c>
      <c r="B39" s="75">
        <v>4437.91</v>
      </c>
      <c r="C39" s="12">
        <f t="shared" si="0"/>
        <v>4.4379099999999996</v>
      </c>
      <c r="D39" s="12">
        <f t="shared" si="1"/>
        <v>0.30843474500000001</v>
      </c>
      <c r="E39" s="12">
        <f t="shared" si="2"/>
        <v>1.3769408258928573E-2</v>
      </c>
      <c r="F39" s="12">
        <f>E39/Calculation!K$16*1000</f>
        <v>1.5644783288251328E-2</v>
      </c>
      <c r="G39" s="12">
        <f t="shared" si="3"/>
        <v>46.893454491085087</v>
      </c>
    </row>
    <row r="40" spans="1:7">
      <c r="A40" s="12">
        <v>17.5</v>
      </c>
      <c r="B40" s="75">
        <v>2764.5</v>
      </c>
      <c r="C40" s="12">
        <f t="shared" si="0"/>
        <v>2.7645</v>
      </c>
      <c r="D40" s="12">
        <f t="shared" si="1"/>
        <v>0.19213274999999999</v>
      </c>
      <c r="E40" s="12">
        <f t="shared" si="2"/>
        <v>8.5773549107142858E-3</v>
      </c>
      <c r="F40" s="12">
        <f>E40/Calculation!K$16*1000</f>
        <v>9.7455792029065014E-3</v>
      </c>
      <c r="G40" s="12">
        <f t="shared" si="3"/>
        <v>47.274309928452453</v>
      </c>
    </row>
    <row r="41" spans="1:7">
      <c r="A41" s="12">
        <v>18</v>
      </c>
      <c r="B41" s="75">
        <v>1865.19</v>
      </c>
      <c r="C41" s="12">
        <f t="shared" si="0"/>
        <v>1.8651900000000001</v>
      </c>
      <c r="D41" s="12">
        <f t="shared" si="1"/>
        <v>0.12963070500000001</v>
      </c>
      <c r="E41" s="12">
        <f t="shared" si="2"/>
        <v>5.787085044642858E-3</v>
      </c>
      <c r="F41" s="12">
        <f>E41/Calculation!K$17*1000</f>
        <v>6.9638174772987367E-3</v>
      </c>
      <c r="G41" s="12">
        <f t="shared" si="3"/>
        <v>47.524950878655531</v>
      </c>
    </row>
    <row r="42" spans="1:7">
      <c r="A42" s="12">
        <v>18.5</v>
      </c>
      <c r="B42" s="75">
        <v>1499.51</v>
      </c>
      <c r="C42" s="12">
        <f t="shared" si="0"/>
        <v>1.4995099999999999</v>
      </c>
      <c r="D42" s="12">
        <f t="shared" si="1"/>
        <v>0.10421594499999999</v>
      </c>
      <c r="E42" s="12">
        <f t="shared" si="2"/>
        <v>4.6524975446428571E-3</v>
      </c>
      <c r="F42" s="12">
        <f>E42/Calculation!K$17*1000</f>
        <v>5.5985255900922841E-3</v>
      </c>
      <c r="G42" s="12">
        <f t="shared" si="3"/>
        <v>47.713386024666399</v>
      </c>
    </row>
    <row r="43" spans="1:7">
      <c r="A43" s="12">
        <v>19</v>
      </c>
      <c r="B43" s="75">
        <v>1380.26</v>
      </c>
      <c r="C43" s="12">
        <f t="shared" si="0"/>
        <v>1.38026</v>
      </c>
      <c r="D43" s="12">
        <f t="shared" si="1"/>
        <v>9.5928070000000004E-2</v>
      </c>
      <c r="E43" s="12">
        <f t="shared" si="2"/>
        <v>4.2825031250000008E-3</v>
      </c>
      <c r="F43" s="12">
        <f>E43/Calculation!K$17*1000</f>
        <v>5.1532973644595748E-3</v>
      </c>
      <c r="G43" s="12">
        <f t="shared" si="3"/>
        <v>47.874663368984677</v>
      </c>
    </row>
    <row r="44" spans="1:7">
      <c r="A44" s="12">
        <v>19.5</v>
      </c>
      <c r="B44" s="75">
        <v>1183.51</v>
      </c>
      <c r="C44" s="12">
        <f t="shared" si="0"/>
        <v>1.1835100000000001</v>
      </c>
      <c r="D44" s="12">
        <f t="shared" si="1"/>
        <v>8.2253945000000009E-2</v>
      </c>
      <c r="E44" s="12">
        <f t="shared" si="2"/>
        <v>3.6720511160714293E-3</v>
      </c>
      <c r="F44" s="12">
        <f>E44/Calculation!K$17*1000</f>
        <v>4.4187174617909318E-3</v>
      </c>
      <c r="G44" s="12">
        <f t="shared" si="3"/>
        <v>48.018243591378436</v>
      </c>
    </row>
    <row r="45" spans="1:7">
      <c r="A45" s="12">
        <v>20</v>
      </c>
      <c r="B45" s="75">
        <v>1265.99</v>
      </c>
      <c r="C45" s="12">
        <f t="shared" si="0"/>
        <v>1.2659899999999999</v>
      </c>
      <c r="D45" s="12">
        <f t="shared" si="1"/>
        <v>8.7986305000000001E-2</v>
      </c>
      <c r="E45" s="12">
        <f t="shared" si="2"/>
        <v>3.9279600446428574E-3</v>
      </c>
      <c r="F45" s="12">
        <f>E45/Calculation!K$17*1000</f>
        <v>4.7266623175576897E-3</v>
      </c>
      <c r="G45" s="12">
        <f t="shared" si="3"/>
        <v>48.155424288068666</v>
      </c>
    </row>
    <row r="46" spans="1:7">
      <c r="A46" s="12">
        <v>20.5</v>
      </c>
      <c r="B46" s="75">
        <v>1309.71</v>
      </c>
      <c r="C46" s="12">
        <f t="shared" si="0"/>
        <v>1.3097099999999999</v>
      </c>
      <c r="D46" s="12">
        <f t="shared" si="1"/>
        <v>9.1024844999999993E-2</v>
      </c>
      <c r="E46" s="12">
        <f t="shared" si="2"/>
        <v>4.0636091517857144E-3</v>
      </c>
      <c r="F46" s="12">
        <f>E46/Calculation!K$17*1000</f>
        <v>4.8898939991062181E-3</v>
      </c>
      <c r="G46" s="12">
        <f t="shared" si="3"/>
        <v>48.299672632818627</v>
      </c>
    </row>
    <row r="47" spans="1:7">
      <c r="A47" s="12">
        <v>21</v>
      </c>
      <c r="B47" s="75">
        <v>1368.34</v>
      </c>
      <c r="C47" s="12">
        <f t="shared" si="0"/>
        <v>1.3683399999999999</v>
      </c>
      <c r="D47" s="12">
        <f t="shared" si="1"/>
        <v>9.5099629999999991E-2</v>
      </c>
      <c r="E47" s="12">
        <f t="shared" si="2"/>
        <v>4.245519196428571E-3</v>
      </c>
      <c r="F47" s="12">
        <f>E47/Calculation!K$17*1000</f>
        <v>5.1087932097464341E-3</v>
      </c>
      <c r="G47" s="12">
        <f t="shared" si="3"/>
        <v>48.449652940951417</v>
      </c>
    </row>
    <row r="48" spans="1:7">
      <c r="A48" s="12">
        <v>21.5</v>
      </c>
      <c r="B48" s="75">
        <v>1313.68</v>
      </c>
      <c r="C48" s="12">
        <f t="shared" si="0"/>
        <v>1.31368</v>
      </c>
      <c r="D48" s="12">
        <f t="shared" si="1"/>
        <v>9.1300759999999995E-2</v>
      </c>
      <c r="E48" s="12">
        <f t="shared" si="2"/>
        <v>4.0759267857142858E-3</v>
      </c>
      <c r="F48" s="12">
        <f>E48/Calculation!K$17*1000</f>
        <v>4.9047162721105111E-3</v>
      </c>
      <c r="G48" s="12">
        <f t="shared" si="3"/>
        <v>48.59985558317927</v>
      </c>
    </row>
    <row r="49" spans="1:7">
      <c r="A49" s="12">
        <v>22</v>
      </c>
      <c r="B49" s="75">
        <v>1292.82</v>
      </c>
      <c r="C49" s="12">
        <f t="shared" si="0"/>
        <v>1.2928199999999999</v>
      </c>
      <c r="D49" s="12">
        <f t="shared" si="1"/>
        <v>8.9850989999999992E-2</v>
      </c>
      <c r="E49" s="12">
        <f t="shared" si="2"/>
        <v>4.0112049107142852E-3</v>
      </c>
      <c r="F49" s="12">
        <f>E49/Calculation!K$17*1000</f>
        <v>4.8268340013625155E-3</v>
      </c>
      <c r="G49" s="12">
        <f t="shared" si="3"/>
        <v>48.745828837281366</v>
      </c>
    </row>
    <row r="50" spans="1:7">
      <c r="A50" s="12">
        <v>22.5</v>
      </c>
      <c r="B50" s="75">
        <v>1284.8699999999999</v>
      </c>
      <c r="C50" s="12">
        <f t="shared" si="0"/>
        <v>1.28487</v>
      </c>
      <c r="D50" s="12">
        <f t="shared" si="1"/>
        <v>8.9298465000000007E-2</v>
      </c>
      <c r="E50" s="12">
        <f t="shared" si="2"/>
        <v>3.9865386160714295E-3</v>
      </c>
      <c r="F50" s="12">
        <f>E50/Calculation!K$17*1000</f>
        <v>4.7971521196536696E-3</v>
      </c>
      <c r="G50" s="12">
        <f t="shared" si="3"/>
        <v>48.890188629096606</v>
      </c>
    </row>
    <row r="51" spans="1:7">
      <c r="A51" s="12">
        <v>23</v>
      </c>
      <c r="B51" s="75">
        <v>1281.8900000000001</v>
      </c>
      <c r="C51" s="12">
        <f t="shared" si="0"/>
        <v>1.2818900000000002</v>
      </c>
      <c r="D51" s="12">
        <f t="shared" si="1"/>
        <v>8.9091355000000011E-2</v>
      </c>
      <c r="E51" s="12">
        <f t="shared" si="2"/>
        <v>3.9772926339285723E-3</v>
      </c>
      <c r="F51" s="12">
        <f>E51/Calculation!K$17*1000</f>
        <v>4.7860260809753849E-3</v>
      </c>
      <c r="G51" s="12">
        <f t="shared" si="3"/>
        <v>49.033936302106042</v>
      </c>
    </row>
    <row r="52" spans="1:7">
      <c r="A52" s="12">
        <v>23.5</v>
      </c>
      <c r="B52" s="75">
        <v>1182.51</v>
      </c>
      <c r="C52" s="12">
        <f t="shared" si="0"/>
        <v>1.18251</v>
      </c>
      <c r="D52" s="12">
        <f t="shared" si="1"/>
        <v>8.2184444999999995E-2</v>
      </c>
      <c r="E52" s="12">
        <f t="shared" si="2"/>
        <v>3.6689484375000002E-3</v>
      </c>
      <c r="F52" s="12">
        <f>E52/Calculation!K$17*1000</f>
        <v>4.4149838917646612E-3</v>
      </c>
      <c r="G52" s="12">
        <f t="shared" si="3"/>
        <v>49.17195145169714</v>
      </c>
    </row>
    <row r="53" spans="1:7">
      <c r="A53" s="12">
        <v>24</v>
      </c>
      <c r="B53" s="75">
        <v>1151.71</v>
      </c>
      <c r="C53" s="12">
        <f t="shared" si="0"/>
        <v>1.15171</v>
      </c>
      <c r="D53" s="12">
        <f t="shared" si="1"/>
        <v>8.0043845000000002E-2</v>
      </c>
      <c r="E53" s="12">
        <f t="shared" si="2"/>
        <v>3.5733859375000005E-3</v>
      </c>
      <c r="F53" s="12">
        <f>E53/Calculation!K$18*1000</f>
        <v>4.6425136430095987E-3</v>
      </c>
      <c r="G53" s="12">
        <f t="shared" si="3"/>
        <v>49.307813914718757</v>
      </c>
    </row>
    <row r="54" spans="1:7">
      <c r="A54" s="12">
        <v>24.5</v>
      </c>
      <c r="B54" s="75">
        <v>618.09</v>
      </c>
      <c r="C54" s="12">
        <f t="shared" si="0"/>
        <v>0.61809000000000003</v>
      </c>
      <c r="D54" s="12">
        <f t="shared" si="1"/>
        <v>4.2957255000000007E-2</v>
      </c>
      <c r="E54" s="12">
        <f t="shared" si="2"/>
        <v>1.9177345982142862E-3</v>
      </c>
      <c r="F54" s="12">
        <f>E54/Calculation!K$18*1000</f>
        <v>2.4915050295715099E-3</v>
      </c>
      <c r="G54" s="12">
        <f t="shared" si="3"/>
        <v>49.414824194807473</v>
      </c>
    </row>
    <row r="55" spans="1:7">
      <c r="A55" s="12">
        <v>25</v>
      </c>
      <c r="B55" s="75">
        <v>1047.3699999999999</v>
      </c>
      <c r="C55" s="12">
        <f t="shared" si="0"/>
        <v>1.0473699999999999</v>
      </c>
      <c r="D55" s="12">
        <f t="shared" si="1"/>
        <v>7.2792214999999993E-2</v>
      </c>
      <c r="E55" s="12">
        <f t="shared" si="2"/>
        <v>3.2496524553571426E-3</v>
      </c>
      <c r="F55" s="12">
        <f>E55/Calculation!K$18*1000</f>
        <v>4.2219217635333216E-3</v>
      </c>
      <c r="G55" s="12">
        <f t="shared" si="3"/>
        <v>49.515525596704045</v>
      </c>
    </row>
    <row r="56" spans="1:7">
      <c r="A56" s="12">
        <v>25.5</v>
      </c>
      <c r="B56" s="75">
        <v>1097.06</v>
      </c>
      <c r="C56" s="12">
        <f t="shared" si="0"/>
        <v>1.0970599999999999</v>
      </c>
      <c r="D56" s="12">
        <f t="shared" si="1"/>
        <v>7.6245670000000001E-2</v>
      </c>
      <c r="E56" s="12">
        <f t="shared" si="2"/>
        <v>3.4038245535714289E-3</v>
      </c>
      <c r="F56" s="12">
        <f>E56/Calculation!K$18*1000</f>
        <v>4.4222208865079835E-3</v>
      </c>
      <c r="G56" s="12">
        <f t="shared" si="3"/>
        <v>49.645187736454666</v>
      </c>
    </row>
    <row r="57" spans="1:7">
      <c r="A57" s="12">
        <v>26</v>
      </c>
      <c r="B57" s="75">
        <v>1019.55</v>
      </c>
      <c r="C57" s="12">
        <f t="shared" si="0"/>
        <v>1.01955</v>
      </c>
      <c r="D57" s="12">
        <f t="shared" si="1"/>
        <v>7.0858724999999997E-2</v>
      </c>
      <c r="E57" s="12">
        <f t="shared" si="2"/>
        <v>3.1633359375000001E-3</v>
      </c>
      <c r="F57" s="12">
        <f>E57/Calculation!K$18*1000</f>
        <v>4.1097800529043211E-3</v>
      </c>
      <c r="G57" s="12">
        <f t="shared" si="3"/>
        <v>49.773167750545852</v>
      </c>
    </row>
    <row r="58" spans="1:7">
      <c r="A58" s="12">
        <v>26.5</v>
      </c>
      <c r="B58" s="75">
        <v>985.76</v>
      </c>
      <c r="C58" s="12">
        <f t="shared" si="0"/>
        <v>0.98575999999999997</v>
      </c>
      <c r="D58" s="12">
        <f t="shared" si="1"/>
        <v>6.851032E-2</v>
      </c>
      <c r="E58" s="12">
        <f t="shared" si="2"/>
        <v>3.0584964285714287E-3</v>
      </c>
      <c r="F58" s="12">
        <f>E58/Calculation!K$18*1000</f>
        <v>3.9735734245019503E-3</v>
      </c>
      <c r="G58" s="12">
        <f t="shared" si="3"/>
        <v>49.894418052706946</v>
      </c>
    </row>
    <row r="59" spans="1:7">
      <c r="A59" s="12">
        <v>27</v>
      </c>
      <c r="B59" s="75">
        <v>931.11</v>
      </c>
      <c r="C59" s="12">
        <f t="shared" si="0"/>
        <v>0.93110999999999999</v>
      </c>
      <c r="D59" s="12">
        <f t="shared" si="1"/>
        <v>6.4712144999999999E-2</v>
      </c>
      <c r="E59" s="12">
        <f t="shared" si="2"/>
        <v>2.8889350446428571E-3</v>
      </c>
      <c r="F59" s="12">
        <f>E59/Calculation!K$18*1000</f>
        <v>3.7532806680003364E-3</v>
      </c>
      <c r="G59" s="12">
        <f t="shared" si="3"/>
        <v>50.010320864094481</v>
      </c>
    </row>
    <row r="60" spans="1:7">
      <c r="A60" s="12">
        <v>27.5</v>
      </c>
      <c r="B60" s="75">
        <v>916.2</v>
      </c>
      <c r="C60" s="12">
        <f t="shared" si="0"/>
        <v>0.91620000000000001</v>
      </c>
      <c r="D60" s="12">
        <f t="shared" si="1"/>
        <v>6.3675900000000007E-2</v>
      </c>
      <c r="E60" s="12">
        <f t="shared" si="2"/>
        <v>2.8426741071428578E-3</v>
      </c>
      <c r="F60" s="12">
        <f>E60/Calculation!K$18*1000</f>
        <v>3.6931788381844343E-3</v>
      </c>
      <c r="G60" s="12">
        <f t="shared" si="3"/>
        <v>50.122017756687256</v>
      </c>
    </row>
    <row r="61" spans="1:7">
      <c r="A61" s="12">
        <v>28</v>
      </c>
      <c r="B61" s="75">
        <v>872.48</v>
      </c>
      <c r="C61" s="12">
        <f t="shared" si="0"/>
        <v>0.87248000000000003</v>
      </c>
      <c r="D61" s="12">
        <f t="shared" si="1"/>
        <v>6.0637360000000001E-2</v>
      </c>
      <c r="E61" s="12">
        <f t="shared" si="2"/>
        <v>2.7070250000000001E-3</v>
      </c>
      <c r="F61" s="12">
        <f>E61/Calculation!K$18*1000</f>
        <v>3.5169446329831422E-3</v>
      </c>
      <c r="G61" s="12">
        <f t="shared" si="3"/>
        <v>50.230169608754771</v>
      </c>
    </row>
    <row r="62" spans="1:7">
      <c r="A62" s="12">
        <v>28.5</v>
      </c>
      <c r="B62" s="75">
        <v>948</v>
      </c>
      <c r="C62" s="12">
        <f t="shared" si="0"/>
        <v>0.94799999999999995</v>
      </c>
      <c r="D62" s="12">
        <f t="shared" si="1"/>
        <v>6.5886E-2</v>
      </c>
      <c r="E62" s="12">
        <f t="shared" si="2"/>
        <v>2.9413392857142858E-3</v>
      </c>
      <c r="F62" s="12">
        <f>E62/Calculation!K$18*1000</f>
        <v>3.8213638273290143E-3</v>
      </c>
      <c r="G62" s="12">
        <f t="shared" si="3"/>
        <v>50.340244235659455</v>
      </c>
    </row>
    <row r="63" spans="1:7">
      <c r="A63" s="12">
        <v>29</v>
      </c>
      <c r="B63" s="75">
        <v>850.62</v>
      </c>
      <c r="C63" s="12">
        <f t="shared" si="0"/>
        <v>0.85062000000000004</v>
      </c>
      <c r="D63" s="12">
        <f t="shared" si="1"/>
        <v>5.9118090000000005E-2</v>
      </c>
      <c r="E63" s="12">
        <f t="shared" si="2"/>
        <v>2.639200446428572E-3</v>
      </c>
      <c r="F63" s="12">
        <f>E63/Calculation!K$18*1000</f>
        <v>3.4288275303824972E-3</v>
      </c>
      <c r="G63" s="12">
        <f t="shared" si="3"/>
        <v>50.448997106025125</v>
      </c>
    </row>
    <row r="64" spans="1:7">
      <c r="A64" s="12">
        <v>29.5</v>
      </c>
      <c r="B64" s="75">
        <v>883.41</v>
      </c>
      <c r="C64" s="12">
        <f t="shared" si="0"/>
        <v>0.88340999999999992</v>
      </c>
      <c r="D64" s="12">
        <f t="shared" si="1"/>
        <v>6.1396994999999996E-2</v>
      </c>
      <c r="E64" s="12">
        <f t="shared" si="2"/>
        <v>2.7409372767857143E-3</v>
      </c>
      <c r="F64" s="12">
        <f>E64/Calculation!K$18*1000</f>
        <v>3.5610031842834644E-3</v>
      </c>
      <c r="G64" s="12">
        <f t="shared" si="3"/>
        <v>50.553844566745113</v>
      </c>
    </row>
    <row r="65" spans="1:7">
      <c r="A65" s="12">
        <v>30</v>
      </c>
      <c r="B65" s="75">
        <v>858.57</v>
      </c>
      <c r="C65" s="12">
        <f t="shared" si="0"/>
        <v>0.85857000000000006</v>
      </c>
      <c r="D65" s="12">
        <f t="shared" si="1"/>
        <v>5.9670615000000003E-2</v>
      </c>
      <c r="E65" s="12">
        <f t="shared" si="2"/>
        <v>2.663866741071429E-3</v>
      </c>
      <c r="F65" s="12">
        <f>E65/Calculation!K$19*1000</f>
        <v>3.6628703016570842E-3</v>
      </c>
      <c r="G65" s="12">
        <f t="shared" si="3"/>
        <v>50.662202669034222</v>
      </c>
    </row>
    <row r="66" spans="1:7">
      <c r="A66" s="12">
        <v>30.5</v>
      </c>
      <c r="B66" s="75">
        <v>816.83</v>
      </c>
      <c r="C66" s="12">
        <f t="shared" si="0"/>
        <v>0.81683000000000006</v>
      </c>
      <c r="D66" s="12">
        <f t="shared" si="1"/>
        <v>5.6769685E-2</v>
      </c>
      <c r="E66" s="12">
        <f t="shared" si="2"/>
        <v>2.5343609375000002E-3</v>
      </c>
      <c r="F66" s="12">
        <f>E66/Calculation!K$19*1000</f>
        <v>3.48479721921632E-3</v>
      </c>
      <c r="G66" s="12">
        <f t="shared" si="3"/>
        <v>50.769417681847322</v>
      </c>
    </row>
    <row r="67" spans="1:7">
      <c r="A67" s="12">
        <v>31</v>
      </c>
      <c r="B67" s="75">
        <v>725.41</v>
      </c>
      <c r="C67" s="12">
        <f t="shared" si="0"/>
        <v>0.72541</v>
      </c>
      <c r="D67" s="12">
        <f t="shared" si="1"/>
        <v>5.0415994999999998E-2</v>
      </c>
      <c r="E67" s="12">
        <f t="shared" si="2"/>
        <v>2.2507140625E-3</v>
      </c>
      <c r="F67" s="12">
        <f>E67/Calculation!K$19*1000</f>
        <v>3.0947770659644118E-3</v>
      </c>
      <c r="G67" s="12">
        <f t="shared" si="3"/>
        <v>50.868111296125036</v>
      </c>
    </row>
    <row r="68" spans="1:7">
      <c r="A68" s="12">
        <v>31.5</v>
      </c>
      <c r="B68" s="75">
        <v>677.71</v>
      </c>
      <c r="C68" s="12">
        <f t="shared" si="0"/>
        <v>0.67771000000000003</v>
      </c>
      <c r="D68" s="12">
        <f t="shared" si="1"/>
        <v>4.7100845000000002E-2</v>
      </c>
      <c r="E68" s="12">
        <f t="shared" si="2"/>
        <v>2.1027162946428576E-3</v>
      </c>
      <c r="F68" s="12">
        <f>E68/Calculation!K$19*1000</f>
        <v>2.8912771610189302E-3</v>
      </c>
      <c r="G68" s="12">
        <f t="shared" si="3"/>
        <v>50.957902109529783</v>
      </c>
    </row>
    <row r="69" spans="1:7">
      <c r="A69" s="12">
        <v>32</v>
      </c>
      <c r="B69" s="75">
        <v>685.66</v>
      </c>
      <c r="C69" s="12">
        <f t="shared" si="0"/>
        <v>0.68565999999999994</v>
      </c>
      <c r="D69" s="12">
        <f t="shared" si="1"/>
        <v>4.7653369999999994E-2</v>
      </c>
      <c r="E69" s="12">
        <f t="shared" si="2"/>
        <v>2.1273825892857141E-3</v>
      </c>
      <c r="F69" s="12">
        <f>E69/Calculation!K$19*1000</f>
        <v>2.925193811843176E-3</v>
      </c>
      <c r="G69" s="12">
        <f t="shared" si="3"/>
        <v>51.045149174122713</v>
      </c>
    </row>
    <row r="70" spans="1:7">
      <c r="A70" s="12">
        <v>32.5</v>
      </c>
      <c r="B70" s="75">
        <v>312.02</v>
      </c>
      <c r="C70" s="12">
        <f t="shared" ref="C70:C101" si="4">B70/1000</f>
        <v>0.31201999999999996</v>
      </c>
      <c r="D70" s="12">
        <f t="shared" ref="D70:D101" si="5">C70/1000*$B$1</f>
        <v>2.1685389999999999E-2</v>
      </c>
      <c r="E70" s="12">
        <f t="shared" ref="E70:E101" si="6">D70/22.4</f>
        <v>9.680977678571429E-4</v>
      </c>
      <c r="F70" s="12">
        <f>E70/Calculation!K$19*1000</f>
        <v>1.3311538855574306E-3</v>
      </c>
      <c r="G70" s="12">
        <f t="shared" si="3"/>
        <v>51.108994389583721</v>
      </c>
    </row>
    <row r="71" spans="1:7">
      <c r="A71" s="12">
        <v>33</v>
      </c>
      <c r="B71" s="75">
        <v>691.62</v>
      </c>
      <c r="C71" s="12">
        <f t="shared" si="4"/>
        <v>0.69162000000000001</v>
      </c>
      <c r="D71" s="12">
        <f t="shared" si="5"/>
        <v>4.806759E-2</v>
      </c>
      <c r="E71" s="12">
        <f t="shared" si="6"/>
        <v>2.1458745535714286E-3</v>
      </c>
      <c r="F71" s="12">
        <f>E71/Calculation!K$19*1000</f>
        <v>2.9506206343478951E-3</v>
      </c>
      <c r="G71" s="12">
        <f t="shared" ref="G71:G101" si="7">G70+(F71+F70)/2*30</f>
        <v>51.173221007382303</v>
      </c>
    </row>
    <row r="72" spans="1:7">
      <c r="A72" s="12">
        <v>33.5</v>
      </c>
      <c r="B72" s="75">
        <v>691.62</v>
      </c>
      <c r="C72" s="12">
        <f t="shared" si="4"/>
        <v>0.69162000000000001</v>
      </c>
      <c r="D72" s="12">
        <f t="shared" si="5"/>
        <v>4.806759E-2</v>
      </c>
      <c r="E72" s="12">
        <f t="shared" si="6"/>
        <v>2.1458745535714286E-3</v>
      </c>
      <c r="F72" s="12">
        <f>E72/Calculation!K$19*1000</f>
        <v>2.9506206343478951E-3</v>
      </c>
      <c r="G72" s="12">
        <f t="shared" si="7"/>
        <v>51.261739626412741</v>
      </c>
    </row>
    <row r="73" spans="1:7">
      <c r="A73" s="12">
        <v>34</v>
      </c>
      <c r="B73" s="75">
        <v>640.94000000000005</v>
      </c>
      <c r="C73" s="12">
        <f t="shared" si="4"/>
        <v>0.64094000000000007</v>
      </c>
      <c r="D73" s="12">
        <f t="shared" si="5"/>
        <v>4.4545330000000008E-2</v>
      </c>
      <c r="E73" s="12">
        <f t="shared" si="6"/>
        <v>1.9886308035714289E-3</v>
      </c>
      <c r="F73" s="12">
        <f>E73/Calculation!K$19*1000</f>
        <v>2.7344073181500535E-3</v>
      </c>
      <c r="G73" s="12">
        <f t="shared" si="7"/>
        <v>51.347015045700211</v>
      </c>
    </row>
    <row r="74" spans="1:7">
      <c r="A74" s="12">
        <v>34.5</v>
      </c>
      <c r="B74" s="75">
        <v>656.84</v>
      </c>
      <c r="C74" s="12">
        <f t="shared" si="4"/>
        <v>0.65683999999999998</v>
      </c>
      <c r="D74" s="12">
        <f t="shared" si="5"/>
        <v>4.5650379999999997E-2</v>
      </c>
      <c r="E74" s="12">
        <f t="shared" si="6"/>
        <v>2.0379633928571429E-3</v>
      </c>
      <c r="F74" s="12">
        <f>E74/Calculation!K$19*1000</f>
        <v>2.8022406197985477E-3</v>
      </c>
      <c r="G74" s="12">
        <f t="shared" si="7"/>
        <v>51.43006476476944</v>
      </c>
    </row>
    <row r="75" spans="1:7">
      <c r="A75" s="12">
        <v>35</v>
      </c>
      <c r="B75" s="75">
        <v>579.33000000000004</v>
      </c>
      <c r="C75" s="12">
        <f t="shared" si="4"/>
        <v>0.57933000000000001</v>
      </c>
      <c r="D75" s="12">
        <f t="shared" si="5"/>
        <v>4.0263435E-2</v>
      </c>
      <c r="E75" s="12">
        <f t="shared" si="6"/>
        <v>1.7974747767857144E-3</v>
      </c>
      <c r="F75" s="12">
        <f>E75/Calculation!K$19*1000</f>
        <v>2.4715639398756053E-3</v>
      </c>
      <c r="G75" s="12">
        <f t="shared" si="7"/>
        <v>51.509171833164551</v>
      </c>
    </row>
    <row r="76" spans="1:7">
      <c r="A76" s="12">
        <v>35.5</v>
      </c>
      <c r="B76" s="75">
        <v>629.02</v>
      </c>
      <c r="C76" s="12">
        <f t="shared" si="4"/>
        <v>0.62902000000000002</v>
      </c>
      <c r="D76" s="12">
        <f t="shared" si="5"/>
        <v>4.3716890000000001E-2</v>
      </c>
      <c r="E76" s="12">
        <f t="shared" si="6"/>
        <v>1.9516468750000002E-3</v>
      </c>
      <c r="F76" s="12">
        <f>E76/Calculation!K$19*1000</f>
        <v>2.6835536731406166E-3</v>
      </c>
      <c r="G76" s="12">
        <f t="shared" si="7"/>
        <v>51.586498597359792</v>
      </c>
    </row>
    <row r="77" spans="1:7">
      <c r="A77" s="12">
        <v>36</v>
      </c>
      <c r="B77" s="75">
        <v>531.63</v>
      </c>
      <c r="C77" s="12">
        <f t="shared" si="4"/>
        <v>0.53163000000000005</v>
      </c>
      <c r="D77" s="12">
        <f t="shared" si="5"/>
        <v>3.6948285000000004E-2</v>
      </c>
      <c r="E77" s="12">
        <f t="shared" si="6"/>
        <v>1.6494770089285717E-3</v>
      </c>
      <c r="F77" s="12">
        <f>E77/Calculation!K$19*1000</f>
        <v>2.2680640349301232E-3</v>
      </c>
      <c r="G77" s="12">
        <f t="shared" si="7"/>
        <v>51.660772862980856</v>
      </c>
    </row>
    <row r="78" spans="1:7">
      <c r="A78" s="12">
        <v>36.5</v>
      </c>
      <c r="B78" s="75">
        <v>563.42999999999995</v>
      </c>
      <c r="C78" s="12">
        <f t="shared" si="4"/>
        <v>0.56342999999999999</v>
      </c>
      <c r="D78" s="12">
        <f t="shared" si="5"/>
        <v>3.9158384999999997E-2</v>
      </c>
      <c r="E78" s="12">
        <f t="shared" si="6"/>
        <v>1.7481421875E-3</v>
      </c>
      <c r="F78" s="12">
        <f>E78/Calculation!K$19*1000</f>
        <v>2.4037306382271111E-3</v>
      </c>
      <c r="G78" s="12">
        <f t="shared" si="7"/>
        <v>51.730849783078213</v>
      </c>
    </row>
    <row r="79" spans="1:7">
      <c r="A79" s="12">
        <v>37</v>
      </c>
      <c r="B79" s="75">
        <v>541.57000000000005</v>
      </c>
      <c r="C79" s="12">
        <f t="shared" si="4"/>
        <v>0.54157</v>
      </c>
      <c r="D79" s="12">
        <f t="shared" si="5"/>
        <v>3.7639115000000001E-2</v>
      </c>
      <c r="E79" s="12">
        <f t="shared" si="6"/>
        <v>1.6803176339285715E-3</v>
      </c>
      <c r="F79" s="12">
        <f>E79/Calculation!K$19*1000</f>
        <v>2.3104705140738983E-3</v>
      </c>
      <c r="G79" s="12">
        <f t="shared" si="7"/>
        <v>51.801562800362731</v>
      </c>
    </row>
    <row r="80" spans="1:7">
      <c r="A80" s="12">
        <v>37.5</v>
      </c>
      <c r="B80" s="75">
        <v>550.52</v>
      </c>
      <c r="C80" s="12">
        <f t="shared" si="4"/>
        <v>0.55052000000000001</v>
      </c>
      <c r="D80" s="12">
        <f t="shared" si="5"/>
        <v>3.8261139999999999E-2</v>
      </c>
      <c r="E80" s="12">
        <f t="shared" si="6"/>
        <v>1.7080866071428572E-3</v>
      </c>
      <c r="F80" s="12">
        <f>E80/Calculation!K$19*1000</f>
        <v>2.348653410284843E-3</v>
      </c>
      <c r="G80" s="12">
        <f t="shared" si="7"/>
        <v>51.871449659228112</v>
      </c>
    </row>
    <row r="81" spans="1:7">
      <c r="A81" s="12">
        <v>38</v>
      </c>
      <c r="B81" s="75">
        <v>512.75</v>
      </c>
      <c r="C81" s="12">
        <f t="shared" si="4"/>
        <v>0.51275000000000004</v>
      </c>
      <c r="D81" s="12">
        <f t="shared" si="5"/>
        <v>3.5636125000000005E-2</v>
      </c>
      <c r="E81" s="12">
        <f t="shared" si="6"/>
        <v>1.5908984375000003E-3</v>
      </c>
      <c r="F81" s="12">
        <f>E81/Calculation!K$19*1000</f>
        <v>2.1875173220292699E-3</v>
      </c>
      <c r="G81" s="12">
        <f t="shared" si="7"/>
        <v>51.939492220212827</v>
      </c>
    </row>
    <row r="82" spans="1:7">
      <c r="A82" s="12">
        <v>38.5</v>
      </c>
      <c r="B82" s="75">
        <v>481.95</v>
      </c>
      <c r="C82" s="12">
        <f t="shared" si="4"/>
        <v>0.48194999999999999</v>
      </c>
      <c r="D82" s="12">
        <f t="shared" si="5"/>
        <v>3.3495524999999998E-2</v>
      </c>
      <c r="E82" s="12">
        <f t="shared" si="6"/>
        <v>1.4953359374999999E-3</v>
      </c>
      <c r="F82" s="12">
        <f>E82/Calculation!K$19*1000</f>
        <v>2.0561169641189789E-3</v>
      </c>
      <c r="G82" s="12">
        <f t="shared" si="7"/>
        <v>52.003146734505052</v>
      </c>
    </row>
    <row r="83" spans="1:7">
      <c r="A83" s="12">
        <v>39</v>
      </c>
      <c r="B83" s="75">
        <v>479.96</v>
      </c>
      <c r="C83" s="12">
        <f t="shared" si="4"/>
        <v>0.47996</v>
      </c>
      <c r="D83" s="12">
        <f t="shared" si="5"/>
        <v>3.335722E-2</v>
      </c>
      <c r="E83" s="12">
        <f t="shared" si="6"/>
        <v>1.4891616071428572E-3</v>
      </c>
      <c r="F83" s="12">
        <f>E83/Calculation!K$19*1000</f>
        <v>2.04762713579945E-3</v>
      </c>
      <c r="G83" s="12">
        <f t="shared" si="7"/>
        <v>52.06470289600383</v>
      </c>
    </row>
    <row r="84" spans="1:7">
      <c r="A84" s="12">
        <v>39.5</v>
      </c>
      <c r="B84" s="75">
        <v>472.01</v>
      </c>
      <c r="C84" s="12">
        <f t="shared" si="4"/>
        <v>0.47200999999999999</v>
      </c>
      <c r="D84" s="12">
        <f t="shared" si="5"/>
        <v>3.2804694999999995E-2</v>
      </c>
      <c r="E84" s="12">
        <f t="shared" si="6"/>
        <v>1.4644953125E-3</v>
      </c>
      <c r="F84" s="12">
        <f>E84/Calculation!K$19*1000</f>
        <v>2.0137104849752029E-3</v>
      </c>
      <c r="G84" s="12">
        <f t="shared" si="7"/>
        <v>52.125622960315447</v>
      </c>
    </row>
    <row r="85" spans="1:7">
      <c r="A85" s="12">
        <v>40</v>
      </c>
      <c r="B85" s="75">
        <v>464.06</v>
      </c>
      <c r="C85" s="12">
        <f t="shared" si="4"/>
        <v>0.46406000000000003</v>
      </c>
      <c r="D85" s="12">
        <f t="shared" si="5"/>
        <v>3.2252170000000004E-2</v>
      </c>
      <c r="E85" s="12">
        <f t="shared" si="6"/>
        <v>1.4398290178571432E-3</v>
      </c>
      <c r="F85" s="12">
        <f>E85/Calculation!K$19*1000</f>
        <v>1.9797938341509563E-3</v>
      </c>
      <c r="G85" s="12">
        <f t="shared" si="7"/>
        <v>52.185525525102342</v>
      </c>
    </row>
    <row r="86" spans="1:7">
      <c r="A86" s="12">
        <v>40.5</v>
      </c>
      <c r="B86" s="75">
        <v>450.15</v>
      </c>
      <c r="C86" s="12">
        <f t="shared" si="4"/>
        <v>0.45014999999999999</v>
      </c>
      <c r="D86" s="12">
        <f t="shared" si="5"/>
        <v>3.1285424999999999E-2</v>
      </c>
      <c r="E86" s="12">
        <f t="shared" si="6"/>
        <v>1.3966707589285715E-3</v>
      </c>
      <c r="F86" s="12">
        <f>E86/Calculation!K$19*1000</f>
        <v>1.9204503608219903E-3</v>
      </c>
      <c r="G86" s="12">
        <f t="shared" si="7"/>
        <v>52.244029188026936</v>
      </c>
    </row>
    <row r="87" spans="1:7">
      <c r="A87" s="12">
        <v>41</v>
      </c>
      <c r="B87" s="75">
        <v>503.81</v>
      </c>
      <c r="C87" s="12">
        <f t="shared" si="4"/>
        <v>0.50380999999999998</v>
      </c>
      <c r="D87" s="12">
        <f t="shared" si="5"/>
        <v>3.5014794999999994E-2</v>
      </c>
      <c r="E87" s="12">
        <f t="shared" si="6"/>
        <v>1.5631604910714284E-3</v>
      </c>
      <c r="F87" s="12">
        <f>E87/Calculation!K$19*1000</f>
        <v>2.1493770882721913E-3</v>
      </c>
      <c r="G87" s="12">
        <f t="shared" si="7"/>
        <v>52.305076599763346</v>
      </c>
    </row>
    <row r="88" spans="1:7">
      <c r="A88" s="12">
        <v>41.5</v>
      </c>
      <c r="B88" s="75">
        <v>459.09</v>
      </c>
      <c r="C88" s="12">
        <f t="shared" si="4"/>
        <v>0.45909</v>
      </c>
      <c r="D88" s="12">
        <f t="shared" si="5"/>
        <v>3.1906755000000002E-2</v>
      </c>
      <c r="E88" s="12">
        <f t="shared" si="6"/>
        <v>1.424408705357143E-3</v>
      </c>
      <c r="F88" s="12">
        <f>E88/Calculation!K$19*1000</f>
        <v>1.9585905945790683E-3</v>
      </c>
      <c r="G88" s="12">
        <f t="shared" si="7"/>
        <v>52.366696115006114</v>
      </c>
    </row>
    <row r="89" spans="1:7">
      <c r="A89" s="12">
        <v>42</v>
      </c>
      <c r="B89" s="75">
        <v>365.69</v>
      </c>
      <c r="C89" s="12">
        <f t="shared" si="4"/>
        <v>0.36569000000000002</v>
      </c>
      <c r="D89" s="12">
        <f t="shared" si="5"/>
        <v>2.5415455E-2</v>
      </c>
      <c r="E89" s="12">
        <f t="shared" si="6"/>
        <v>1.1346185267857144E-3</v>
      </c>
      <c r="F89" s="12">
        <f>E89/Calculation!K$19*1000</f>
        <v>1.5601232754614989E-3</v>
      </c>
      <c r="G89" s="12">
        <f t="shared" si="7"/>
        <v>52.419476823056719</v>
      </c>
    </row>
    <row r="90" spans="1:7">
      <c r="A90" s="12">
        <v>42.5</v>
      </c>
      <c r="B90" s="75">
        <v>420.34</v>
      </c>
      <c r="C90" s="12">
        <f t="shared" si="4"/>
        <v>0.42033999999999999</v>
      </c>
      <c r="D90" s="12">
        <f t="shared" si="5"/>
        <v>2.9213630000000001E-2</v>
      </c>
      <c r="E90" s="12">
        <f t="shared" si="6"/>
        <v>1.3041799107142858E-3</v>
      </c>
      <c r="F90" s="12">
        <f>E90/Calculation!K$19*1000</f>
        <v>1.7932735858445306E-3</v>
      </c>
      <c r="G90" s="12">
        <f t="shared" si="7"/>
        <v>52.469777775976311</v>
      </c>
    </row>
    <row r="91" spans="1:7">
      <c r="A91" s="12">
        <v>43</v>
      </c>
      <c r="B91" s="75">
        <v>343.82</v>
      </c>
      <c r="C91" s="12">
        <f t="shared" si="4"/>
        <v>0.34382000000000001</v>
      </c>
      <c r="D91" s="12">
        <f t="shared" si="5"/>
        <v>2.3895489999999998E-2</v>
      </c>
      <c r="E91" s="12">
        <f t="shared" si="6"/>
        <v>1.0667629464285713E-3</v>
      </c>
      <c r="F91" s="12">
        <f>E91/Calculation!K$19*1000</f>
        <v>1.4668204888544189E-3</v>
      </c>
      <c r="G91" s="12">
        <f t="shared" si="7"/>
        <v>52.518679187096794</v>
      </c>
    </row>
    <row r="92" spans="1:7">
      <c r="A92" s="12">
        <v>43.5</v>
      </c>
      <c r="B92" s="75">
        <v>329.91</v>
      </c>
      <c r="C92" s="12">
        <f t="shared" si="4"/>
        <v>0.32991000000000004</v>
      </c>
      <c r="D92" s="12">
        <f t="shared" si="5"/>
        <v>2.2928745000000004E-2</v>
      </c>
      <c r="E92" s="12">
        <f t="shared" si="6"/>
        <v>1.0236046875000003E-3</v>
      </c>
      <c r="F92" s="12">
        <f>E92/Calculation!K$19*1000</f>
        <v>1.4074770155254538E-3</v>
      </c>
      <c r="G92" s="12">
        <f t="shared" si="7"/>
        <v>52.561793649662491</v>
      </c>
    </row>
    <row r="93" spans="1:7">
      <c r="A93" s="12">
        <v>44</v>
      </c>
      <c r="B93" s="75">
        <v>352.77</v>
      </c>
      <c r="C93" s="12">
        <f t="shared" si="4"/>
        <v>0.35276999999999997</v>
      </c>
      <c r="D93" s="12">
        <f t="shared" si="5"/>
        <v>2.4517514999999997E-2</v>
      </c>
      <c r="E93" s="12">
        <f t="shared" si="6"/>
        <v>1.094531919642857E-3</v>
      </c>
      <c r="F93" s="12">
        <f>E93/Calculation!K$19*1000</f>
        <v>1.5050033850653637E-3</v>
      </c>
      <c r="G93" s="12">
        <f t="shared" si="7"/>
        <v>52.605480855671352</v>
      </c>
    </row>
    <row r="94" spans="1:7">
      <c r="A94" s="12">
        <v>44.5</v>
      </c>
      <c r="B94" s="75">
        <v>293.14</v>
      </c>
      <c r="C94" s="12">
        <f t="shared" si="4"/>
        <v>0.29314000000000001</v>
      </c>
      <c r="D94" s="12">
        <f t="shared" si="5"/>
        <v>2.0373229999999999E-2</v>
      </c>
      <c r="E94" s="12">
        <f t="shared" si="6"/>
        <v>9.0951919642857145E-4</v>
      </c>
      <c r="F94" s="12">
        <f>E94/Calculation!K$19*1000</f>
        <v>1.2506071726565773E-3</v>
      </c>
      <c r="G94" s="12">
        <f t="shared" si="7"/>
        <v>52.64681501403718</v>
      </c>
    </row>
    <row r="95" spans="1:7">
      <c r="A95" s="12">
        <v>45</v>
      </c>
      <c r="B95" s="75">
        <v>354.75</v>
      </c>
      <c r="C95" s="12">
        <f t="shared" si="4"/>
        <v>0.35475000000000001</v>
      </c>
      <c r="D95" s="12">
        <f t="shared" si="5"/>
        <v>2.4655125000000003E-2</v>
      </c>
      <c r="E95" s="12">
        <f t="shared" si="6"/>
        <v>1.100675223214286E-3</v>
      </c>
      <c r="F95" s="12">
        <f>E95/Calculation!K$19*1000</f>
        <v>1.5134505509310258E-3</v>
      </c>
      <c r="G95" s="12">
        <f t="shared" si="7"/>
        <v>52.688275879890995</v>
      </c>
    </row>
    <row r="96" spans="1:7">
      <c r="A96" s="12">
        <v>45.5</v>
      </c>
      <c r="B96" s="75">
        <v>304.08</v>
      </c>
      <c r="C96" s="12">
        <f t="shared" si="4"/>
        <v>0.30407999999999996</v>
      </c>
      <c r="D96" s="12">
        <f t="shared" si="5"/>
        <v>2.1133559999999999E-2</v>
      </c>
      <c r="E96" s="12">
        <f t="shared" si="6"/>
        <v>9.4346250000000001E-4</v>
      </c>
      <c r="F96" s="12">
        <f>E96/Calculation!K$19*1000</f>
        <v>1.2972798971870505E-3</v>
      </c>
      <c r="G96" s="12">
        <f t="shared" si="7"/>
        <v>52.730436836612768</v>
      </c>
    </row>
    <row r="97" spans="1:7">
      <c r="A97" s="12">
        <v>46</v>
      </c>
      <c r="B97" s="75">
        <v>302.08999999999997</v>
      </c>
      <c r="C97" s="12">
        <f t="shared" si="4"/>
        <v>0.30208999999999997</v>
      </c>
      <c r="D97" s="12">
        <f t="shared" si="5"/>
        <v>2.0995254999999997E-2</v>
      </c>
      <c r="E97" s="12">
        <f t="shared" si="6"/>
        <v>9.3728816964285704E-4</v>
      </c>
      <c r="F97" s="12">
        <f>E97/Calculation!K$19*1000</f>
        <v>1.2887900688675219E-3</v>
      </c>
      <c r="G97" s="12">
        <f t="shared" si="7"/>
        <v>52.769227886103586</v>
      </c>
    </row>
    <row r="98" spans="1:7">
      <c r="A98" s="12">
        <v>46.5</v>
      </c>
      <c r="B98" s="75">
        <v>289.17</v>
      </c>
      <c r="C98" s="12">
        <f t="shared" si="4"/>
        <v>0.28917000000000004</v>
      </c>
      <c r="D98" s="12">
        <f t="shared" si="5"/>
        <v>2.0097315000000004E-2</v>
      </c>
      <c r="E98" s="12">
        <f t="shared" si="6"/>
        <v>8.9720156250000028E-4</v>
      </c>
      <c r="F98" s="12">
        <f>E98/Calculation!K$19*1000</f>
        <v>1.2336701784713875E-3</v>
      </c>
      <c r="G98" s="12">
        <f t="shared" si="7"/>
        <v>52.807064789813673</v>
      </c>
    </row>
    <row r="99" spans="1:7">
      <c r="A99" s="12">
        <v>47</v>
      </c>
      <c r="B99" s="75">
        <v>321.95999999999998</v>
      </c>
      <c r="C99" s="12">
        <f t="shared" si="4"/>
        <v>0.32195999999999997</v>
      </c>
      <c r="D99" s="12">
        <f t="shared" si="5"/>
        <v>2.2376219999999999E-2</v>
      </c>
      <c r="E99" s="12">
        <f t="shared" si="6"/>
        <v>9.9893839285714286E-4</v>
      </c>
      <c r="F99" s="12">
        <f>E99/Calculation!K$19*1000</f>
        <v>1.3735603647012063E-3</v>
      </c>
      <c r="G99" s="12">
        <f t="shared" si="7"/>
        <v>52.846173247961261</v>
      </c>
    </row>
    <row r="100" spans="1:7">
      <c r="A100" s="12">
        <v>47.5</v>
      </c>
      <c r="B100" s="75">
        <v>276.25</v>
      </c>
      <c r="C100" s="12">
        <f t="shared" si="4"/>
        <v>0.27625</v>
      </c>
      <c r="D100" s="12">
        <f t="shared" si="5"/>
        <v>1.9199375000000001E-2</v>
      </c>
      <c r="E100" s="12">
        <f t="shared" si="6"/>
        <v>8.5711495535714297E-4</v>
      </c>
      <c r="F100" s="12">
        <f>E100/Calculation!K$19*1000</f>
        <v>1.1785502880752525E-3</v>
      </c>
      <c r="G100" s="12">
        <f t="shared" si="7"/>
        <v>52.884454907752911</v>
      </c>
    </row>
    <row r="101" spans="1:7">
      <c r="A101" s="12">
        <v>48</v>
      </c>
      <c r="B101" s="75">
        <v>237.5</v>
      </c>
      <c r="C101" s="12">
        <f t="shared" si="4"/>
        <v>0.23749999999999999</v>
      </c>
      <c r="D101" s="12">
        <f t="shared" si="5"/>
        <v>1.650625E-2</v>
      </c>
      <c r="E101" s="12">
        <f t="shared" si="6"/>
        <v>7.3688616071428581E-4</v>
      </c>
      <c r="F101" s="12">
        <f>E101/Calculation!K$20*1000</f>
        <v>1.1454587366153826E-3</v>
      </c>
      <c r="G101" s="12">
        <f t="shared" si="7"/>
        <v>52.91931504312327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zoomScale="98" zoomScaleNormal="98" zoomScalePageLayoutView="98" workbookViewId="0">
      <selection activeCell="B5" sqref="B5:B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69.5</v>
      </c>
      <c r="C1" s="9" t="s">
        <v>51</v>
      </c>
    </row>
    <row r="3" spans="1:12">
      <c r="A3" s="132" t="s">
        <v>5</v>
      </c>
      <c r="B3" s="132" t="s">
        <v>36</v>
      </c>
      <c r="C3" s="132"/>
      <c r="D3" s="132" t="s">
        <v>52</v>
      </c>
      <c r="E3" s="132"/>
      <c r="F3" s="132"/>
      <c r="G3" s="8" t="s">
        <v>53</v>
      </c>
    </row>
    <row r="4" spans="1:12">
      <c r="A4" s="132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5">
        <v>0</v>
      </c>
      <c r="C5" s="36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5">
        <v>0.5</v>
      </c>
      <c r="B6" s="75">
        <v>0</v>
      </c>
      <c r="C6" s="36">
        <f t="shared" ref="C6:C69" si="0">B6/1000</f>
        <v>0</v>
      </c>
      <c r="D6" s="12">
        <f>C6/1000*$B$1</f>
        <v>0</v>
      </c>
      <c r="E6" s="12">
        <f t="shared" ref="E6:E69" si="1">D6/22.4</f>
        <v>0</v>
      </c>
      <c r="F6" s="12">
        <f>E6/Calculation!K$4*1000</f>
        <v>0</v>
      </c>
      <c r="G6" s="12">
        <f>G5+(F6+F5)/2*30</f>
        <v>0</v>
      </c>
    </row>
    <row r="7" spans="1:12">
      <c r="A7" s="35">
        <v>1</v>
      </c>
      <c r="B7" s="75">
        <v>252.03</v>
      </c>
      <c r="C7" s="36">
        <f t="shared" si="0"/>
        <v>0.25202999999999998</v>
      </c>
      <c r="D7" s="12">
        <f t="shared" ref="D7:D69" si="2">C7/1000*$B$1</f>
        <v>1.7516084999999997E-2</v>
      </c>
      <c r="E7" s="12">
        <f t="shared" si="1"/>
        <v>7.8196808035714278E-4</v>
      </c>
      <c r="F7" s="12">
        <f>E7/Calculation!K$4*1000</f>
        <v>5.2728798405741258E-4</v>
      </c>
      <c r="G7" s="12">
        <f>G6+(F7+F6)/2*30</f>
        <v>7.909319760861188E-3</v>
      </c>
    </row>
    <row r="8" spans="1:12">
      <c r="A8" s="35">
        <v>1.5</v>
      </c>
      <c r="B8" s="75">
        <v>251</v>
      </c>
      <c r="C8" s="36">
        <f t="shared" si="0"/>
        <v>0.251</v>
      </c>
      <c r="D8" s="12">
        <f t="shared" si="2"/>
        <v>1.7444499999999998E-2</v>
      </c>
      <c r="E8" s="12">
        <f t="shared" si="1"/>
        <v>7.7877232142857143E-4</v>
      </c>
      <c r="F8" s="12">
        <f>E8/Calculation!K$4*1000</f>
        <v>5.2513305558231393E-4</v>
      </c>
      <c r="G8" s="12">
        <f t="shared" ref="G8:G70" si="3">G7+(F8+F7)/2*30</f>
        <v>2.3695635355457084E-2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5">
        <v>248.25</v>
      </c>
      <c r="C9" s="36">
        <f t="shared" si="0"/>
        <v>0.24825</v>
      </c>
      <c r="D9" s="12">
        <f t="shared" si="2"/>
        <v>1.7253374999999998E-2</v>
      </c>
      <c r="E9" s="12">
        <f t="shared" si="1"/>
        <v>7.7023995535714282E-4</v>
      </c>
      <c r="F9" s="12">
        <f>E9/Calculation!K$5*1000</f>
        <v>5.3712688658099218E-4</v>
      </c>
      <c r="G9" s="12">
        <f t="shared" si="3"/>
        <v>3.9629534487906674E-2</v>
      </c>
    </row>
    <row r="10" spans="1:12">
      <c r="A10" s="35">
        <v>2.5</v>
      </c>
      <c r="B10" s="75">
        <v>276.8</v>
      </c>
      <c r="C10" s="36">
        <f t="shared" si="0"/>
        <v>0.27679999999999999</v>
      </c>
      <c r="D10" s="12">
        <f t="shared" si="2"/>
        <v>1.9237600000000001E-2</v>
      </c>
      <c r="E10" s="12">
        <f t="shared" si="1"/>
        <v>8.5882142857142863E-4</v>
      </c>
      <c r="F10" s="12">
        <f>E10/Calculation!K$5*1000</f>
        <v>5.9889918310420407E-4</v>
      </c>
      <c r="G10" s="12">
        <f t="shared" si="3"/>
        <v>5.6669925533184617E-2</v>
      </c>
    </row>
    <row r="11" spans="1:12">
      <c r="A11" s="35">
        <v>3</v>
      </c>
      <c r="B11" s="75">
        <v>303.81</v>
      </c>
      <c r="C11" s="36">
        <f t="shared" si="0"/>
        <v>0.30381000000000002</v>
      </c>
      <c r="D11" s="12">
        <f t="shared" si="2"/>
        <v>2.1114795000000002E-2</v>
      </c>
      <c r="E11" s="12">
        <f t="shared" si="1"/>
        <v>9.426247767857144E-4</v>
      </c>
      <c r="F11" s="12">
        <f>E11/Calculation!K$5*1000</f>
        <v>6.5733945382546338E-4</v>
      </c>
      <c r="G11" s="12">
        <f t="shared" si="3"/>
        <v>7.5513505087129631E-2</v>
      </c>
    </row>
    <row r="12" spans="1:12">
      <c r="A12" s="35">
        <v>3.5</v>
      </c>
      <c r="B12" s="75">
        <v>348.03</v>
      </c>
      <c r="C12" s="36">
        <f t="shared" si="0"/>
        <v>0.34802999999999995</v>
      </c>
      <c r="D12" s="12">
        <f t="shared" si="2"/>
        <v>2.4188084999999995E-2</v>
      </c>
      <c r="E12" s="12">
        <f t="shared" si="1"/>
        <v>1.0798252232142856E-3</v>
      </c>
      <c r="F12" s="12">
        <f>E12/Calculation!K$6*1000</f>
        <v>7.8876933762913476E-4</v>
      </c>
      <c r="G12" s="12">
        <f t="shared" si="3"/>
        <v>9.7205136958948613E-2</v>
      </c>
    </row>
    <row r="13" spans="1:12">
      <c r="A13" s="35">
        <v>4</v>
      </c>
      <c r="B13" s="75">
        <v>444.19</v>
      </c>
      <c r="C13" s="36">
        <f t="shared" si="0"/>
        <v>0.44418999999999997</v>
      </c>
      <c r="D13" s="12">
        <f t="shared" si="2"/>
        <v>3.0871204999999999E-2</v>
      </c>
      <c r="E13" s="12">
        <f t="shared" si="1"/>
        <v>1.3781787946428572E-3</v>
      </c>
      <c r="F13" s="12">
        <f>E13/Calculation!K$6*1000</f>
        <v>1.006704744078055E-3</v>
      </c>
      <c r="G13" s="12">
        <f t="shared" si="3"/>
        <v>0.12413724818455646</v>
      </c>
    </row>
    <row r="14" spans="1:12">
      <c r="A14" s="35">
        <v>4.5</v>
      </c>
      <c r="B14" s="75">
        <v>562.21</v>
      </c>
      <c r="C14" s="36">
        <f t="shared" si="0"/>
        <v>0.56220999999999999</v>
      </c>
      <c r="D14" s="12">
        <f t="shared" si="2"/>
        <v>3.9073594999999996E-2</v>
      </c>
      <c r="E14" s="12">
        <f t="shared" si="1"/>
        <v>1.7443569196428572E-3</v>
      </c>
      <c r="F14" s="12">
        <f>E14/Calculation!K$6*1000</f>
        <v>1.2741832868099761E-3</v>
      </c>
      <c r="G14" s="12">
        <f t="shared" si="3"/>
        <v>0.15835056864787692</v>
      </c>
    </row>
    <row r="15" spans="1:12">
      <c r="A15" s="35">
        <v>5</v>
      </c>
      <c r="B15" s="75">
        <v>710.85</v>
      </c>
      <c r="C15" s="36">
        <f t="shared" si="0"/>
        <v>0.71084999999999998</v>
      </c>
      <c r="D15" s="12">
        <f t="shared" si="2"/>
        <v>4.9404074999999999E-2</v>
      </c>
      <c r="E15" s="12">
        <f t="shared" si="1"/>
        <v>2.2055390625000003E-3</v>
      </c>
      <c r="F15" s="12">
        <f>E15/Calculation!K$7*1000</f>
        <v>1.6695980791067377E-3</v>
      </c>
      <c r="G15" s="12">
        <f t="shared" si="3"/>
        <v>0.20250728913662763</v>
      </c>
    </row>
    <row r="16" spans="1:12">
      <c r="A16" s="35">
        <v>5.5</v>
      </c>
      <c r="B16" s="75">
        <v>867.23</v>
      </c>
      <c r="C16" s="36">
        <f t="shared" si="0"/>
        <v>0.86723000000000006</v>
      </c>
      <c r="D16" s="12">
        <f t="shared" si="2"/>
        <v>6.0272485000000008E-2</v>
      </c>
      <c r="E16" s="12">
        <f t="shared" si="1"/>
        <v>2.6907359375000005E-3</v>
      </c>
      <c r="F16" s="12">
        <f>E16/Calculation!K$7*1000</f>
        <v>2.0368932153671465E-3</v>
      </c>
      <c r="G16" s="12">
        <f t="shared" si="3"/>
        <v>0.25810465855373588</v>
      </c>
    </row>
    <row r="17" spans="1:7">
      <c r="A17" s="35">
        <v>6</v>
      </c>
      <c r="B17" s="75">
        <v>1065.93</v>
      </c>
      <c r="C17" s="36">
        <f t="shared" si="0"/>
        <v>1.06593</v>
      </c>
      <c r="D17" s="12">
        <f t="shared" si="2"/>
        <v>7.4082135000000007E-2</v>
      </c>
      <c r="E17" s="12">
        <f t="shared" si="1"/>
        <v>3.3072381696428576E-3</v>
      </c>
      <c r="F17" s="12">
        <f>E17/Calculation!K$8*1000</f>
        <v>2.5979875645269893E-3</v>
      </c>
      <c r="G17" s="12">
        <f t="shared" si="3"/>
        <v>0.3276278702521479</v>
      </c>
    </row>
    <row r="18" spans="1:7">
      <c r="A18" s="35">
        <v>6.5</v>
      </c>
      <c r="B18" s="75">
        <v>1388.32</v>
      </c>
      <c r="C18" s="36">
        <f t="shared" si="0"/>
        <v>1.38832</v>
      </c>
      <c r="D18" s="12">
        <f t="shared" si="2"/>
        <v>9.6488240000000003E-2</v>
      </c>
      <c r="E18" s="12">
        <f t="shared" si="1"/>
        <v>4.3075107142857144E-3</v>
      </c>
      <c r="F18" s="12">
        <f>E18/Calculation!K$8*1000</f>
        <v>3.3837476153069242E-3</v>
      </c>
      <c r="G18" s="12">
        <f t="shared" si="3"/>
        <v>0.4173538979496566</v>
      </c>
    </row>
    <row r="19" spans="1:7">
      <c r="A19" s="35">
        <v>7</v>
      </c>
      <c r="B19" s="75">
        <v>1865.54</v>
      </c>
      <c r="C19" s="36">
        <f t="shared" si="0"/>
        <v>1.86554</v>
      </c>
      <c r="D19" s="12">
        <f t="shared" si="2"/>
        <v>0.12965503</v>
      </c>
      <c r="E19" s="12">
        <f t="shared" si="1"/>
        <v>5.788170982142858E-3</v>
      </c>
      <c r="F19" s="12">
        <f>E19/Calculation!K$8*1000</f>
        <v>4.5468742986196848E-3</v>
      </c>
      <c r="G19" s="12">
        <f t="shared" si="3"/>
        <v>0.53631322665855574</v>
      </c>
    </row>
    <row r="20" spans="1:7">
      <c r="A20" s="35">
        <v>7.5</v>
      </c>
      <c r="B20" s="75">
        <v>2580.86</v>
      </c>
      <c r="C20" s="36">
        <f t="shared" si="0"/>
        <v>2.5808599999999999</v>
      </c>
      <c r="D20" s="12">
        <f t="shared" si="2"/>
        <v>0.17936976999999998</v>
      </c>
      <c r="E20" s="12">
        <f t="shared" si="1"/>
        <v>8.0075790178571419E-3</v>
      </c>
      <c r="F20" s="12">
        <f>E20/Calculation!K$9*1000</f>
        <v>6.5741339943884043E-3</v>
      </c>
      <c r="G20" s="12">
        <f t="shared" si="3"/>
        <v>0.7031283510536771</v>
      </c>
    </row>
    <row r="21" spans="1:7">
      <c r="A21" s="35">
        <v>8</v>
      </c>
      <c r="B21" s="75">
        <v>3629.75</v>
      </c>
      <c r="C21" s="36">
        <f t="shared" si="0"/>
        <v>3.62975</v>
      </c>
      <c r="D21" s="12">
        <f t="shared" si="2"/>
        <v>0.252267625</v>
      </c>
      <c r="E21" s="12">
        <f t="shared" si="1"/>
        <v>1.1261947544642858E-2</v>
      </c>
      <c r="F21" s="12">
        <f>E21/Calculation!K$9*1000</f>
        <v>9.2459346365673899E-3</v>
      </c>
      <c r="G21" s="12">
        <f t="shared" si="3"/>
        <v>0.94042938051801395</v>
      </c>
    </row>
    <row r="22" spans="1:7">
      <c r="A22" s="35">
        <v>8.5</v>
      </c>
      <c r="B22" s="75">
        <v>5227.95</v>
      </c>
      <c r="C22" s="36">
        <f t="shared" si="0"/>
        <v>5.2279499999999999</v>
      </c>
      <c r="D22" s="12">
        <f t="shared" si="2"/>
        <v>0.36334252500000003</v>
      </c>
      <c r="E22" s="12">
        <f t="shared" si="1"/>
        <v>1.6220648437500002E-2</v>
      </c>
      <c r="F22" s="12">
        <f>E22/Calculation!K$9*1000</f>
        <v>1.3316973340655E-2</v>
      </c>
      <c r="G22" s="12">
        <f t="shared" si="3"/>
        <v>1.2788730001763498</v>
      </c>
    </row>
    <row r="23" spans="1:7">
      <c r="A23" s="35">
        <v>9</v>
      </c>
      <c r="B23" s="75">
        <v>7171.94</v>
      </c>
      <c r="C23" s="36">
        <f t="shared" si="0"/>
        <v>7.1719399999999993</v>
      </c>
      <c r="D23" s="12">
        <f t="shared" si="2"/>
        <v>0.49844982999999993</v>
      </c>
      <c r="E23" s="12">
        <f t="shared" si="1"/>
        <v>2.2252224553571426E-2</v>
      </c>
      <c r="F23" s="12">
        <f>E23/Calculation!K$10*1000</f>
        <v>1.9065164410316405E-2</v>
      </c>
      <c r="G23" s="12">
        <f t="shared" si="3"/>
        <v>1.7646050664409207</v>
      </c>
    </row>
    <row r="24" spans="1:7">
      <c r="A24" s="35">
        <v>9.5</v>
      </c>
      <c r="B24" s="75">
        <v>9284.18</v>
      </c>
      <c r="C24" s="36">
        <f t="shared" si="0"/>
        <v>9.284180000000001</v>
      </c>
      <c r="D24" s="12">
        <f t="shared" si="2"/>
        <v>0.64525051000000011</v>
      </c>
      <c r="E24" s="12">
        <f t="shared" si="1"/>
        <v>2.8805826339285721E-2</v>
      </c>
      <c r="F24" s="12">
        <f>E24/Calculation!K$10*1000</f>
        <v>2.4680130915062229E-2</v>
      </c>
      <c r="G24" s="12">
        <f t="shared" si="3"/>
        <v>2.4207844963216001</v>
      </c>
    </row>
    <row r="25" spans="1:7">
      <c r="A25" s="35">
        <v>10</v>
      </c>
      <c r="B25" s="75">
        <v>12045.68</v>
      </c>
      <c r="C25" s="36">
        <f t="shared" si="0"/>
        <v>12.045680000000001</v>
      </c>
      <c r="D25" s="12">
        <f t="shared" si="2"/>
        <v>0.83717476000000013</v>
      </c>
      <c r="E25" s="12">
        <f t="shared" si="1"/>
        <v>3.7373873214285723E-2</v>
      </c>
      <c r="F25" s="12">
        <f>E25/Calculation!K$11*1000</f>
        <v>3.326675889366882E-2</v>
      </c>
      <c r="G25" s="12">
        <f t="shared" si="3"/>
        <v>3.2899878434525656</v>
      </c>
    </row>
    <row r="26" spans="1:7">
      <c r="A26" s="35">
        <v>10.5</v>
      </c>
      <c r="B26" s="75">
        <v>15006.73</v>
      </c>
      <c r="C26" s="36">
        <f t="shared" si="0"/>
        <v>15.006729999999999</v>
      </c>
      <c r="D26" s="12">
        <f t="shared" si="2"/>
        <v>1.042967735</v>
      </c>
      <c r="E26" s="12">
        <f t="shared" si="1"/>
        <v>4.6561059598214286E-2</v>
      </c>
      <c r="F26" s="12">
        <f>E26/Calculation!K$11*1000</f>
        <v>4.1444340933213114E-2</v>
      </c>
      <c r="G26" s="12">
        <f t="shared" si="3"/>
        <v>4.4106543408557943</v>
      </c>
    </row>
    <row r="27" spans="1:7">
      <c r="A27" s="35">
        <v>11</v>
      </c>
      <c r="B27" s="75">
        <v>17991.009999999998</v>
      </c>
      <c r="C27" s="36">
        <f t="shared" si="0"/>
        <v>17.991009999999999</v>
      </c>
      <c r="D27" s="12">
        <f t="shared" si="2"/>
        <v>1.2503751949999999</v>
      </c>
      <c r="E27" s="12">
        <f t="shared" si="1"/>
        <v>5.5820321205357147E-2</v>
      </c>
      <c r="F27" s="12">
        <f>E27/Calculation!K$11*1000</f>
        <v>4.9686077658013882E-2</v>
      </c>
      <c r="G27" s="12">
        <f t="shared" si="3"/>
        <v>5.7776106197241992</v>
      </c>
    </row>
    <row r="28" spans="1:7">
      <c r="A28" s="35">
        <v>11.5</v>
      </c>
      <c r="B28" s="75">
        <v>21965.35</v>
      </c>
      <c r="C28" s="36">
        <f t="shared" si="0"/>
        <v>21.965349999999997</v>
      </c>
      <c r="D28" s="12">
        <f t="shared" si="2"/>
        <v>1.5265918249999999</v>
      </c>
      <c r="E28" s="12">
        <f t="shared" si="1"/>
        <v>6.8151420758928577E-2</v>
      </c>
      <c r="F28" s="12">
        <f>E28/Calculation!K$12*1000</f>
        <v>6.3270604823694149E-2</v>
      </c>
      <c r="G28" s="12">
        <f t="shared" si="3"/>
        <v>7.4719608569498197</v>
      </c>
    </row>
    <row r="29" spans="1:7">
      <c r="A29" s="35">
        <v>12</v>
      </c>
      <c r="B29" s="75">
        <v>25218.01</v>
      </c>
      <c r="C29" s="36">
        <f t="shared" si="0"/>
        <v>25.21801</v>
      </c>
      <c r="D29" s="12">
        <f t="shared" si="2"/>
        <v>1.752651695</v>
      </c>
      <c r="E29" s="12">
        <f t="shared" si="1"/>
        <v>7.8243379241071428E-2</v>
      </c>
      <c r="F29" s="12">
        <f>E29/Calculation!K$12*1000</f>
        <v>7.2639805200006707E-2</v>
      </c>
      <c r="G29" s="12">
        <f t="shared" si="3"/>
        <v>9.5106170073053331</v>
      </c>
    </row>
    <row r="30" spans="1:7">
      <c r="A30" s="35">
        <v>12.5</v>
      </c>
      <c r="B30" s="75">
        <v>28693.62</v>
      </c>
      <c r="C30" s="36">
        <f t="shared" si="0"/>
        <v>28.693619999999999</v>
      </c>
      <c r="D30" s="12">
        <f t="shared" si="2"/>
        <v>1.9942065899999999</v>
      </c>
      <c r="E30" s="12">
        <f t="shared" si="1"/>
        <v>8.9027079910714291E-2</v>
      </c>
      <c r="F30" s="12">
        <f>E30/Calculation!K$12*1000</f>
        <v>8.2651207104883231E-2</v>
      </c>
      <c r="G30" s="12">
        <f t="shared" si="3"/>
        <v>11.839982191878683</v>
      </c>
    </row>
    <row r="31" spans="1:7">
      <c r="A31" s="35">
        <v>13</v>
      </c>
      <c r="B31" s="75">
        <v>32245.439999999999</v>
      </c>
      <c r="C31" s="36">
        <f t="shared" si="0"/>
        <v>32.245440000000002</v>
      </c>
      <c r="D31" s="12">
        <f t="shared" si="2"/>
        <v>2.2410580800000002</v>
      </c>
      <c r="E31" s="12">
        <f t="shared" si="1"/>
        <v>0.10004723571428573</v>
      </c>
      <c r="F31" s="12">
        <f>E31/Calculation!K$13*1000</f>
        <v>9.7613861027054175E-2</v>
      </c>
      <c r="G31" s="12">
        <f t="shared" si="3"/>
        <v>14.543958213857744</v>
      </c>
    </row>
    <row r="32" spans="1:7">
      <c r="A32" s="35">
        <v>13.5</v>
      </c>
      <c r="B32" s="75">
        <v>34355.96</v>
      </c>
      <c r="C32" s="36">
        <f t="shared" si="0"/>
        <v>34.355959999999996</v>
      </c>
      <c r="D32" s="12">
        <f t="shared" si="2"/>
        <v>2.3877392199999998</v>
      </c>
      <c r="E32" s="12">
        <f t="shared" si="1"/>
        <v>0.10659550089285715</v>
      </c>
      <c r="F32" s="12">
        <f>E32/Calculation!K$13*1000</f>
        <v>0.10400285760997623</v>
      </c>
      <c r="G32" s="12">
        <f t="shared" si="3"/>
        <v>17.568208993413201</v>
      </c>
    </row>
    <row r="33" spans="1:7">
      <c r="A33" s="35">
        <v>14</v>
      </c>
      <c r="B33" s="75">
        <v>35492.76</v>
      </c>
      <c r="C33" s="36">
        <f t="shared" si="0"/>
        <v>35.492760000000004</v>
      </c>
      <c r="D33" s="12">
        <f t="shared" si="2"/>
        <v>2.4667468200000005</v>
      </c>
      <c r="E33" s="12">
        <f t="shared" si="1"/>
        <v>0.11012262589285716</v>
      </c>
      <c r="F33" s="12">
        <f>E33/Calculation!K$14*1000</f>
        <v>0.11222411079563013</v>
      </c>
      <c r="G33" s="12">
        <f t="shared" si="3"/>
        <v>20.811613519497296</v>
      </c>
    </row>
    <row r="34" spans="1:7">
      <c r="A34" s="35">
        <v>14.5</v>
      </c>
      <c r="B34" s="75">
        <v>34540.9</v>
      </c>
      <c r="C34" s="36">
        <f t="shared" si="0"/>
        <v>34.540900000000001</v>
      </c>
      <c r="D34" s="12">
        <f t="shared" si="2"/>
        <v>2.4005925499999998</v>
      </c>
      <c r="E34" s="12">
        <f t="shared" si="1"/>
        <v>0.10716931026785714</v>
      </c>
      <c r="F34" s="12">
        <f>E34/Calculation!K$14*1000</f>
        <v>0.10921443665076427</v>
      </c>
      <c r="G34" s="12">
        <f t="shared" si="3"/>
        <v>24.133191731193211</v>
      </c>
    </row>
    <row r="35" spans="1:7">
      <c r="A35" s="35">
        <v>15</v>
      </c>
      <c r="B35" s="75">
        <v>28751.25</v>
      </c>
      <c r="C35" s="36">
        <f t="shared" si="0"/>
        <v>28.751249999999999</v>
      </c>
      <c r="D35" s="12">
        <f t="shared" si="2"/>
        <v>1.998211875</v>
      </c>
      <c r="E35" s="12">
        <f t="shared" si="1"/>
        <v>8.9205887276785717E-2</v>
      </c>
      <c r="F35" s="12">
        <f>E35/Calculation!K$14*1000</f>
        <v>9.0908215239188517E-2</v>
      </c>
      <c r="G35" s="12">
        <f t="shared" si="3"/>
        <v>27.135031509542504</v>
      </c>
    </row>
    <row r="36" spans="1:7">
      <c r="A36" s="35">
        <v>15.5</v>
      </c>
      <c r="B36" s="75">
        <v>25037.37</v>
      </c>
      <c r="C36" s="36">
        <f t="shared" si="0"/>
        <v>25.037369999999999</v>
      </c>
      <c r="D36" s="12">
        <f t="shared" si="2"/>
        <v>1.740097215</v>
      </c>
      <c r="E36" s="12">
        <f t="shared" si="1"/>
        <v>7.7682911383928577E-2</v>
      </c>
      <c r="F36" s="12">
        <f>E36/Calculation!K$15*1000</f>
        <v>8.3429331915211166E-2</v>
      </c>
      <c r="G36" s="12">
        <f t="shared" si="3"/>
        <v>29.750094716858499</v>
      </c>
    </row>
    <row r="37" spans="1:7">
      <c r="A37" s="35">
        <v>16</v>
      </c>
      <c r="B37" s="75">
        <v>21374.42</v>
      </c>
      <c r="C37" s="36">
        <f t="shared" si="0"/>
        <v>21.374419999999997</v>
      </c>
      <c r="D37" s="12">
        <f t="shared" si="2"/>
        <v>1.48552219</v>
      </c>
      <c r="E37" s="12">
        <f t="shared" si="1"/>
        <v>6.6317954910714294E-2</v>
      </c>
      <c r="F37" s="12">
        <f>E37/Calculation!K$15*1000</f>
        <v>7.122367807302156E-2</v>
      </c>
      <c r="G37" s="12">
        <f t="shared" si="3"/>
        <v>32.06988986668199</v>
      </c>
    </row>
    <row r="38" spans="1:7">
      <c r="A38" s="35">
        <v>16.5</v>
      </c>
      <c r="B38" s="75">
        <v>349.4</v>
      </c>
      <c r="C38" s="36">
        <f t="shared" si="0"/>
        <v>0.34939999999999999</v>
      </c>
      <c r="D38" s="12">
        <f t="shared" si="2"/>
        <v>2.4283299999999997E-2</v>
      </c>
      <c r="E38" s="12">
        <f t="shared" si="1"/>
        <v>1.0840758928571427E-3</v>
      </c>
      <c r="F38" s="12">
        <f>E38/Calculation!K$15*1000</f>
        <v>1.1642679950479933E-3</v>
      </c>
      <c r="G38" s="12">
        <f t="shared" si="3"/>
        <v>33.155709057703035</v>
      </c>
    </row>
    <row r="39" spans="1:7">
      <c r="A39" s="35">
        <v>17</v>
      </c>
      <c r="B39" s="75">
        <v>14202.82</v>
      </c>
      <c r="C39" s="36">
        <f t="shared" si="0"/>
        <v>14.202819999999999</v>
      </c>
      <c r="D39" s="12">
        <f t="shared" si="2"/>
        <v>0.98709598999999992</v>
      </c>
      <c r="E39" s="12">
        <f t="shared" si="1"/>
        <v>4.4066785267857143E-2</v>
      </c>
      <c r="F39" s="12">
        <f>E39/Calculation!K$16*1000</f>
        <v>5.0068622613356664E-2</v>
      </c>
      <c r="G39" s="12">
        <f>G38+(F39+F38)/2*30</f>
        <v>33.924202416829104</v>
      </c>
    </row>
    <row r="40" spans="1:7">
      <c r="A40" s="35">
        <v>17.5</v>
      </c>
      <c r="B40" s="75">
        <v>10934.34</v>
      </c>
      <c r="C40" s="36">
        <f t="shared" si="0"/>
        <v>10.934340000000001</v>
      </c>
      <c r="D40" s="12">
        <f t="shared" si="2"/>
        <v>0.75993663</v>
      </c>
      <c r="E40" s="12">
        <f t="shared" si="1"/>
        <v>3.3925742410714291E-2</v>
      </c>
      <c r="F40" s="12">
        <f>E40/Calculation!K$16*1000</f>
        <v>3.8546383252490025E-2</v>
      </c>
      <c r="G40" s="12">
        <f t="shared" si="3"/>
        <v>35.253427504816806</v>
      </c>
    </row>
    <row r="41" spans="1:7">
      <c r="A41" s="35">
        <v>18</v>
      </c>
      <c r="B41" s="75">
        <v>8430.5499999999993</v>
      </c>
      <c r="C41" s="36">
        <f t="shared" si="0"/>
        <v>8.4305499999999984</v>
      </c>
      <c r="D41" s="12">
        <f t="shared" si="2"/>
        <v>0.58592322499999994</v>
      </c>
      <c r="E41" s="12">
        <f t="shared" si="1"/>
        <v>2.6157286830357142E-2</v>
      </c>
      <c r="F41" s="12">
        <f>E41/Calculation!K$17*1000</f>
        <v>3.1476048784971428E-2</v>
      </c>
      <c r="G41" s="12">
        <f t="shared" si="3"/>
        <v>36.30376398537873</v>
      </c>
    </row>
    <row r="42" spans="1:7">
      <c r="A42" s="35">
        <v>18.5</v>
      </c>
      <c r="B42" s="75">
        <v>6211.47</v>
      </c>
      <c r="C42" s="36">
        <f t="shared" si="0"/>
        <v>6.2114700000000003</v>
      </c>
      <c r="D42" s="12">
        <f t="shared" si="2"/>
        <v>0.43169716499999999</v>
      </c>
      <c r="E42" s="12">
        <f t="shared" si="1"/>
        <v>1.9272194866071429E-2</v>
      </c>
      <c r="F42" s="12">
        <f>E42/Calculation!K$17*1000</f>
        <v>2.3190958211075967E-2</v>
      </c>
      <c r="G42" s="12">
        <f t="shared" si="3"/>
        <v>37.123769090319442</v>
      </c>
    </row>
    <row r="43" spans="1:7">
      <c r="A43" s="35">
        <v>19</v>
      </c>
      <c r="B43" s="75">
        <v>4572.5</v>
      </c>
      <c r="C43" s="36">
        <f t="shared" si="0"/>
        <v>4.5724999999999998</v>
      </c>
      <c r="D43" s="12">
        <f t="shared" si="2"/>
        <v>0.31778875000000001</v>
      </c>
      <c r="E43" s="12">
        <f t="shared" si="1"/>
        <v>1.4186997767857144E-2</v>
      </c>
      <c r="F43" s="12">
        <f>E43/Calculation!K$17*1000</f>
        <v>1.7071748945120053E-2</v>
      </c>
      <c r="G43" s="12">
        <f t="shared" si="3"/>
        <v>37.727709697662384</v>
      </c>
    </row>
    <row r="44" spans="1:7">
      <c r="A44" s="35">
        <v>19.5</v>
      </c>
      <c r="B44" s="75">
        <v>3334.37</v>
      </c>
      <c r="C44" s="36">
        <f t="shared" si="0"/>
        <v>3.3343699999999998</v>
      </c>
      <c r="D44" s="12">
        <f t="shared" si="2"/>
        <v>0.23173871499999998</v>
      </c>
      <c r="E44" s="12">
        <f t="shared" si="1"/>
        <v>1.0345478348214285E-2</v>
      </c>
      <c r="F44" s="12">
        <f>E44/Calculation!K$17*1000</f>
        <v>1.2449103888494246E-2</v>
      </c>
      <c r="G44" s="12">
        <f t="shared" si="3"/>
        <v>38.170522490166597</v>
      </c>
    </row>
    <row r="45" spans="1:7">
      <c r="A45" s="35">
        <v>20</v>
      </c>
      <c r="B45" s="75">
        <v>2446.85</v>
      </c>
      <c r="C45" s="36">
        <f t="shared" si="0"/>
        <v>2.44685</v>
      </c>
      <c r="D45" s="12">
        <f t="shared" si="2"/>
        <v>0.170056075</v>
      </c>
      <c r="E45" s="12">
        <f t="shared" si="1"/>
        <v>7.5917890625000007E-3</v>
      </c>
      <c r="F45" s="12">
        <f>E45/Calculation!K$17*1000</f>
        <v>9.1354858187790069E-3</v>
      </c>
      <c r="G45" s="12">
        <f t="shared" si="3"/>
        <v>38.494291335775699</v>
      </c>
    </row>
    <row r="46" spans="1:7">
      <c r="A46" s="35">
        <v>20.5</v>
      </c>
      <c r="B46" s="75">
        <v>1836.47</v>
      </c>
      <c r="C46" s="36">
        <f t="shared" si="0"/>
        <v>1.83647</v>
      </c>
      <c r="D46" s="12">
        <f t="shared" si="2"/>
        <v>0.12763466500000001</v>
      </c>
      <c r="E46" s="12">
        <f t="shared" si="1"/>
        <v>5.6979761160714289E-3</v>
      </c>
      <c r="F46" s="12">
        <f>E46/Calculation!K$17*1000</f>
        <v>6.8565893461442588E-3</v>
      </c>
      <c r="G46" s="12">
        <f t="shared" si="3"/>
        <v>38.73417246324955</v>
      </c>
    </row>
    <row r="47" spans="1:7">
      <c r="A47" s="35">
        <v>21</v>
      </c>
      <c r="B47" s="75">
        <v>1413.26</v>
      </c>
      <c r="C47" s="36">
        <f t="shared" si="0"/>
        <v>1.41326</v>
      </c>
      <c r="D47" s="12">
        <f t="shared" si="2"/>
        <v>9.8221569999999994E-2</v>
      </c>
      <c r="E47" s="12">
        <f t="shared" si="1"/>
        <v>4.3848915178571427E-3</v>
      </c>
      <c r="F47" s="12">
        <f>E47/Calculation!K$17*1000</f>
        <v>5.2765051753264876E-3</v>
      </c>
      <c r="G47" s="12">
        <f t="shared" si="3"/>
        <v>38.916168881071613</v>
      </c>
    </row>
    <row r="48" spans="1:7">
      <c r="A48" s="35">
        <v>21.5</v>
      </c>
      <c r="B48" s="75">
        <v>1065.58</v>
      </c>
      <c r="C48" s="36">
        <f t="shared" si="0"/>
        <v>1.06558</v>
      </c>
      <c r="D48" s="12">
        <f t="shared" si="2"/>
        <v>7.4057810000000002E-2</v>
      </c>
      <c r="E48" s="12">
        <f t="shared" si="1"/>
        <v>3.3061522321428576E-3</v>
      </c>
      <c r="F48" s="12">
        <f>E48/Calculation!K$17*1000</f>
        <v>3.9784175485928983E-3</v>
      </c>
      <c r="G48" s="12">
        <f t="shared" si="3"/>
        <v>39.054992721930404</v>
      </c>
    </row>
    <row r="49" spans="1:7">
      <c r="A49" s="35">
        <v>22</v>
      </c>
      <c r="B49" s="75">
        <v>851.4</v>
      </c>
      <c r="C49" s="36">
        <f t="shared" si="0"/>
        <v>0.85139999999999993</v>
      </c>
      <c r="D49" s="12">
        <f t="shared" si="2"/>
        <v>5.9172299999999997E-2</v>
      </c>
      <c r="E49" s="12">
        <f t="shared" si="1"/>
        <v>2.6416205357142858E-3</v>
      </c>
      <c r="F49" s="12">
        <f>E49/Calculation!K$17*1000</f>
        <v>3.1787615203663667E-3</v>
      </c>
      <c r="G49" s="12">
        <f t="shared" si="3"/>
        <v>39.162350407964794</v>
      </c>
    </row>
    <row r="50" spans="1:7">
      <c r="A50" s="35">
        <v>22.5</v>
      </c>
      <c r="B50" s="75">
        <v>674.72</v>
      </c>
      <c r="C50" s="36">
        <f t="shared" si="0"/>
        <v>0.67471999999999999</v>
      </c>
      <c r="D50" s="12">
        <f t="shared" si="2"/>
        <v>4.6893039999999997E-2</v>
      </c>
      <c r="E50" s="12">
        <f t="shared" si="1"/>
        <v>2.0934392857142859E-3</v>
      </c>
      <c r="F50" s="12">
        <f>E50/Calculation!K$17*1000</f>
        <v>2.5191143681249652E-3</v>
      </c>
      <c r="G50" s="12">
        <f t="shared" si="3"/>
        <v>39.247818546292166</v>
      </c>
    </row>
    <row r="51" spans="1:7">
      <c r="A51" s="35">
        <v>23</v>
      </c>
      <c r="B51" s="75">
        <v>564.1</v>
      </c>
      <c r="C51" s="36">
        <f t="shared" si="0"/>
        <v>0.56410000000000005</v>
      </c>
      <c r="D51" s="12">
        <f t="shared" si="2"/>
        <v>3.9204950000000002E-2</v>
      </c>
      <c r="E51" s="12">
        <f t="shared" si="1"/>
        <v>1.7502209821428573E-3</v>
      </c>
      <c r="F51" s="12">
        <f>E51/Calculation!K$17*1000</f>
        <v>2.106106851818966E-3</v>
      </c>
      <c r="G51" s="12">
        <f t="shared" si="3"/>
        <v>39.317196864591324</v>
      </c>
    </row>
    <row r="52" spans="1:7">
      <c r="A52" s="35">
        <v>23.5</v>
      </c>
      <c r="B52" s="75">
        <v>479.8</v>
      </c>
      <c r="C52" s="36">
        <f t="shared" si="0"/>
        <v>0.4798</v>
      </c>
      <c r="D52" s="12">
        <f t="shared" si="2"/>
        <v>3.3346100000000004E-2</v>
      </c>
      <c r="E52" s="12">
        <f t="shared" si="1"/>
        <v>1.4886651785714288E-3</v>
      </c>
      <c r="F52" s="12">
        <f>E52/Calculation!K$17*1000</f>
        <v>1.7913668986043962E-3</v>
      </c>
      <c r="G52" s="12">
        <f t="shared" si="3"/>
        <v>39.375658970847674</v>
      </c>
    </row>
    <row r="53" spans="1:7">
      <c r="A53" s="35">
        <v>24</v>
      </c>
      <c r="B53" s="75">
        <v>453.83</v>
      </c>
      <c r="C53" s="36">
        <f t="shared" si="0"/>
        <v>0.45383000000000001</v>
      </c>
      <c r="D53" s="12">
        <f t="shared" si="2"/>
        <v>3.1541184999999999E-2</v>
      </c>
      <c r="E53" s="12">
        <f t="shared" si="1"/>
        <v>1.4080886160714287E-3</v>
      </c>
      <c r="F53" s="12">
        <f>E53/Calculation!K$18*1000</f>
        <v>1.8293771579712308E-3</v>
      </c>
      <c r="G53" s="12">
        <f t="shared" si="3"/>
        <v>39.429970131696308</v>
      </c>
    </row>
    <row r="54" spans="1:7">
      <c r="A54" s="35">
        <v>24.5</v>
      </c>
      <c r="B54" s="75">
        <v>413.4</v>
      </c>
      <c r="C54" s="36">
        <f t="shared" si="0"/>
        <v>0.41339999999999999</v>
      </c>
      <c r="D54" s="12">
        <f t="shared" si="2"/>
        <v>2.8731299999999998E-2</v>
      </c>
      <c r="E54" s="12">
        <f t="shared" si="1"/>
        <v>1.2826473214285715E-3</v>
      </c>
      <c r="F54" s="12">
        <f>E54/Calculation!K$18*1000</f>
        <v>1.6664048588795513E-3</v>
      </c>
      <c r="G54" s="12">
        <f t="shared" si="3"/>
        <v>39.482406861949073</v>
      </c>
    </row>
    <row r="55" spans="1:7">
      <c r="A55" s="35">
        <v>25</v>
      </c>
      <c r="B55" s="75">
        <v>330.13</v>
      </c>
      <c r="C55" s="36">
        <f t="shared" si="0"/>
        <v>0.33012999999999998</v>
      </c>
      <c r="D55" s="12">
        <f t="shared" si="2"/>
        <v>2.2944034999999998E-2</v>
      </c>
      <c r="E55" s="12">
        <f t="shared" si="1"/>
        <v>1.0242872767857142E-3</v>
      </c>
      <c r="F55" s="12">
        <f>E55/Calculation!K$18*1000</f>
        <v>1.3307456121478137E-3</v>
      </c>
      <c r="G55" s="12">
        <f t="shared" si="3"/>
        <v>39.527364119014486</v>
      </c>
    </row>
    <row r="56" spans="1:7">
      <c r="A56" s="35">
        <v>25.5</v>
      </c>
      <c r="B56" s="75">
        <v>282.64999999999998</v>
      </c>
      <c r="C56" s="36">
        <f t="shared" si="0"/>
        <v>0.28264999999999996</v>
      </c>
      <c r="D56" s="12">
        <f t="shared" si="2"/>
        <v>1.9644174999999996E-2</v>
      </c>
      <c r="E56" s="12">
        <f t="shared" si="1"/>
        <v>8.7697209821428561E-4</v>
      </c>
      <c r="F56" s="12">
        <f>E56/Calculation!K$18*1000</f>
        <v>1.1393549428212507E-3</v>
      </c>
      <c r="G56" s="12">
        <f t="shared" si="3"/>
        <v>39.564415627339024</v>
      </c>
    </row>
    <row r="57" spans="1:7">
      <c r="A57" s="35">
        <v>26</v>
      </c>
      <c r="B57" s="75">
        <v>245.49</v>
      </c>
      <c r="C57" s="36">
        <f t="shared" si="0"/>
        <v>0.24549000000000001</v>
      </c>
      <c r="D57" s="12">
        <f t="shared" si="2"/>
        <v>1.7061554999999999E-2</v>
      </c>
      <c r="E57" s="12">
        <f t="shared" si="1"/>
        <v>7.6167656250000001E-4</v>
      </c>
      <c r="F57" s="12">
        <f>E57/Calculation!K$18*1000</f>
        <v>9.8956393034915595E-4</v>
      </c>
      <c r="G57" s="12">
        <f t="shared" si="3"/>
        <v>39.596349410436581</v>
      </c>
    </row>
    <row r="58" spans="1:7">
      <c r="A58" s="35">
        <v>26.5</v>
      </c>
      <c r="B58" s="75">
        <v>210.4</v>
      </c>
      <c r="C58" s="36">
        <f t="shared" si="0"/>
        <v>0.2104</v>
      </c>
      <c r="D58" s="12">
        <f t="shared" si="2"/>
        <v>1.46228E-2</v>
      </c>
      <c r="E58" s="12">
        <f t="shared" si="1"/>
        <v>6.5280357142857143E-4</v>
      </c>
      <c r="F58" s="12">
        <f>E58/Calculation!K$18*1000</f>
        <v>8.4811703509496275E-4</v>
      </c>
      <c r="G58" s="12">
        <f t="shared" si="3"/>
        <v>39.623914624918243</v>
      </c>
    </row>
    <row r="59" spans="1:7">
      <c r="A59" s="35">
        <v>27</v>
      </c>
      <c r="B59" s="75">
        <v>190.44</v>
      </c>
      <c r="C59" s="36">
        <f t="shared" si="0"/>
        <v>0.19044</v>
      </c>
      <c r="D59" s="12">
        <f t="shared" si="2"/>
        <v>1.323558E-2</v>
      </c>
      <c r="E59" s="12">
        <f t="shared" si="1"/>
        <v>5.9087410714285722E-4</v>
      </c>
      <c r="F59" s="12">
        <f>E59/Calculation!K$18*1000</f>
        <v>7.6765878404698061E-4</v>
      </c>
      <c r="G59" s="12">
        <f t="shared" si="3"/>
        <v>39.648151262205374</v>
      </c>
    </row>
    <row r="60" spans="1:7">
      <c r="A60" s="35">
        <v>27.5</v>
      </c>
      <c r="B60" s="75">
        <v>163.6</v>
      </c>
      <c r="C60" s="36">
        <f t="shared" si="0"/>
        <v>0.1636</v>
      </c>
      <c r="D60" s="12">
        <f t="shared" si="2"/>
        <v>1.1370199999999999E-2</v>
      </c>
      <c r="E60" s="12">
        <f t="shared" si="1"/>
        <v>5.0759821428571423E-4</v>
      </c>
      <c r="F60" s="12">
        <f>E60/Calculation!K$18*1000</f>
        <v>6.5946742842935304E-4</v>
      </c>
      <c r="G60" s="12">
        <f t="shared" si="3"/>
        <v>39.669558155392522</v>
      </c>
    </row>
    <row r="61" spans="1:7">
      <c r="A61" s="35">
        <v>28</v>
      </c>
      <c r="B61" s="75">
        <v>0</v>
      </c>
      <c r="C61" s="36">
        <f t="shared" si="0"/>
        <v>0</v>
      </c>
      <c r="D61" s="12">
        <f t="shared" si="2"/>
        <v>0</v>
      </c>
      <c r="E61" s="12">
        <f t="shared" si="1"/>
        <v>0</v>
      </c>
      <c r="F61" s="12">
        <f>E61/Calculation!K$18*1000</f>
        <v>0</v>
      </c>
      <c r="G61" s="12">
        <f t="shared" si="3"/>
        <v>39.67945016681896</v>
      </c>
    </row>
    <row r="62" spans="1:7">
      <c r="A62" s="35">
        <v>28.5</v>
      </c>
      <c r="B62" s="75">
        <v>0</v>
      </c>
      <c r="C62" s="36">
        <f t="shared" si="0"/>
        <v>0</v>
      </c>
      <c r="D62" s="12">
        <f t="shared" si="2"/>
        <v>0</v>
      </c>
      <c r="E62" s="12">
        <f t="shared" si="1"/>
        <v>0</v>
      </c>
      <c r="F62" s="12">
        <f>E62/Calculation!K$18*1000</f>
        <v>0</v>
      </c>
      <c r="G62" s="12">
        <f t="shared" si="3"/>
        <v>39.67945016681896</v>
      </c>
    </row>
    <row r="63" spans="1:7">
      <c r="A63" s="35">
        <v>29</v>
      </c>
      <c r="B63" s="75">
        <v>0</v>
      </c>
      <c r="C63" s="36">
        <f t="shared" si="0"/>
        <v>0</v>
      </c>
      <c r="D63" s="12">
        <f t="shared" si="2"/>
        <v>0</v>
      </c>
      <c r="E63" s="12">
        <f t="shared" si="1"/>
        <v>0</v>
      </c>
      <c r="F63" s="12">
        <f>E63/Calculation!K$18*1000</f>
        <v>0</v>
      </c>
      <c r="G63" s="12">
        <f t="shared" si="3"/>
        <v>39.67945016681896</v>
      </c>
    </row>
    <row r="64" spans="1:7">
      <c r="A64" s="35">
        <v>29.5</v>
      </c>
      <c r="B64" s="75">
        <v>0</v>
      </c>
      <c r="C64" s="36">
        <f t="shared" si="0"/>
        <v>0</v>
      </c>
      <c r="D64" s="12">
        <f t="shared" si="2"/>
        <v>0</v>
      </c>
      <c r="E64" s="12">
        <f t="shared" si="1"/>
        <v>0</v>
      </c>
      <c r="F64" s="12">
        <f>E64/Calculation!K$18*1000</f>
        <v>0</v>
      </c>
      <c r="G64" s="12">
        <f t="shared" si="3"/>
        <v>39.67945016681896</v>
      </c>
    </row>
    <row r="65" spans="1:7">
      <c r="A65" s="35">
        <v>30</v>
      </c>
      <c r="B65" s="75">
        <v>0</v>
      </c>
      <c r="C65" s="36">
        <f t="shared" si="0"/>
        <v>0</v>
      </c>
      <c r="D65" s="12">
        <f t="shared" si="2"/>
        <v>0</v>
      </c>
      <c r="E65" s="12">
        <f t="shared" si="1"/>
        <v>0</v>
      </c>
      <c r="F65" s="12">
        <f>E65/Calculation!K$19*1000</f>
        <v>0</v>
      </c>
      <c r="G65" s="12">
        <f t="shared" si="3"/>
        <v>39.67945016681896</v>
      </c>
    </row>
    <row r="66" spans="1:7">
      <c r="A66" s="35">
        <v>30.5</v>
      </c>
      <c r="B66" s="75">
        <v>0</v>
      </c>
      <c r="C66" s="36">
        <f t="shared" si="0"/>
        <v>0</v>
      </c>
      <c r="D66" s="12">
        <f t="shared" si="2"/>
        <v>0</v>
      </c>
      <c r="E66" s="12">
        <f t="shared" si="1"/>
        <v>0</v>
      </c>
      <c r="F66" s="12">
        <f>E66/Calculation!K$19*1000</f>
        <v>0</v>
      </c>
      <c r="G66" s="12">
        <f t="shared" si="3"/>
        <v>39.67945016681896</v>
      </c>
    </row>
    <row r="67" spans="1:7">
      <c r="A67" s="35">
        <v>31</v>
      </c>
      <c r="B67" s="75">
        <v>0</v>
      </c>
      <c r="C67" s="36">
        <f t="shared" si="0"/>
        <v>0</v>
      </c>
      <c r="D67" s="12">
        <f t="shared" si="2"/>
        <v>0</v>
      </c>
      <c r="E67" s="12">
        <f t="shared" si="1"/>
        <v>0</v>
      </c>
      <c r="F67" s="12">
        <f>E67/Calculation!K$19*1000</f>
        <v>0</v>
      </c>
      <c r="G67" s="12">
        <f t="shared" si="3"/>
        <v>39.67945016681896</v>
      </c>
    </row>
    <row r="68" spans="1:7">
      <c r="A68" s="35">
        <v>31.5</v>
      </c>
      <c r="B68" s="75">
        <v>0</v>
      </c>
      <c r="C68" s="36">
        <f t="shared" si="0"/>
        <v>0</v>
      </c>
      <c r="D68" s="12">
        <f t="shared" si="2"/>
        <v>0</v>
      </c>
      <c r="E68" s="12">
        <f t="shared" si="1"/>
        <v>0</v>
      </c>
      <c r="F68" s="12">
        <f>E68/Calculation!K$19*1000</f>
        <v>0</v>
      </c>
      <c r="G68" s="12">
        <f t="shared" si="3"/>
        <v>39.67945016681896</v>
      </c>
    </row>
    <row r="69" spans="1:7">
      <c r="A69" s="35">
        <v>32</v>
      </c>
      <c r="B69" s="75">
        <v>0</v>
      </c>
      <c r="C69" s="36">
        <f t="shared" si="0"/>
        <v>0</v>
      </c>
      <c r="D69" s="12">
        <f t="shared" si="2"/>
        <v>0</v>
      </c>
      <c r="E69" s="12">
        <f t="shared" si="1"/>
        <v>0</v>
      </c>
      <c r="F69" s="12">
        <f>E69/Calculation!K$19*1000</f>
        <v>0</v>
      </c>
      <c r="G69" s="12">
        <f t="shared" si="3"/>
        <v>39.67945016681896</v>
      </c>
    </row>
    <row r="70" spans="1:7">
      <c r="A70" s="35">
        <v>32.5</v>
      </c>
      <c r="B70" s="75">
        <v>0</v>
      </c>
      <c r="C70" s="36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E70/Calculation!K$19*1000</f>
        <v>0</v>
      </c>
      <c r="G70" s="12">
        <f t="shared" si="3"/>
        <v>39.67945016681896</v>
      </c>
    </row>
    <row r="71" spans="1:7">
      <c r="A71" s="35">
        <v>33</v>
      </c>
      <c r="B71" s="75">
        <v>0</v>
      </c>
      <c r="C71" s="36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E71/Calculation!K$19*1000</f>
        <v>0</v>
      </c>
      <c r="G71" s="12">
        <f t="shared" ref="G71:G101" si="7">G70+(F71+F70)/2*30</f>
        <v>39.67945016681896</v>
      </c>
    </row>
    <row r="72" spans="1:7">
      <c r="A72" s="35">
        <v>33.5</v>
      </c>
      <c r="B72" s="75">
        <v>0</v>
      </c>
      <c r="C72" s="36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E72/Calculation!K$19*1000</f>
        <v>0</v>
      </c>
      <c r="G72" s="12">
        <f t="shared" si="7"/>
        <v>39.67945016681896</v>
      </c>
    </row>
    <row r="73" spans="1:7">
      <c r="A73" s="35">
        <v>34</v>
      </c>
      <c r="B73" s="75">
        <v>0</v>
      </c>
      <c r="C73" s="36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E73/Calculation!K$19*1000</f>
        <v>0</v>
      </c>
      <c r="G73" s="12">
        <f t="shared" si="7"/>
        <v>39.67945016681896</v>
      </c>
    </row>
    <row r="74" spans="1:7">
      <c r="A74" s="35">
        <v>34.5</v>
      </c>
      <c r="B74" s="75">
        <v>0</v>
      </c>
      <c r="C74" s="36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E74/Calculation!K$19*1000</f>
        <v>0</v>
      </c>
      <c r="G74" s="12">
        <f t="shared" si="7"/>
        <v>39.67945016681896</v>
      </c>
    </row>
    <row r="75" spans="1:7">
      <c r="A75" s="35">
        <v>35</v>
      </c>
      <c r="B75" s="75">
        <v>0</v>
      </c>
      <c r="C75" s="36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E75/Calculation!K$19*1000</f>
        <v>0</v>
      </c>
      <c r="G75" s="12">
        <f t="shared" si="7"/>
        <v>39.67945016681896</v>
      </c>
    </row>
    <row r="76" spans="1:7">
      <c r="A76" s="35">
        <v>35.5</v>
      </c>
      <c r="B76" s="75">
        <v>0</v>
      </c>
      <c r="C76" s="36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E76/Calculation!K$19*1000</f>
        <v>0</v>
      </c>
      <c r="G76" s="12">
        <f t="shared" si="7"/>
        <v>39.67945016681896</v>
      </c>
    </row>
    <row r="77" spans="1:7">
      <c r="A77" s="35">
        <v>36</v>
      </c>
      <c r="B77" s="75">
        <v>0</v>
      </c>
      <c r="C77" s="36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E77/Calculation!K$19*1000</f>
        <v>0</v>
      </c>
      <c r="G77" s="12">
        <f t="shared" si="7"/>
        <v>39.67945016681896</v>
      </c>
    </row>
    <row r="78" spans="1:7">
      <c r="A78" s="35">
        <v>36.5</v>
      </c>
      <c r="B78" s="75">
        <v>0</v>
      </c>
      <c r="C78" s="36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E78/Calculation!K$19*1000</f>
        <v>0</v>
      </c>
      <c r="G78" s="12">
        <f t="shared" si="7"/>
        <v>39.67945016681896</v>
      </c>
    </row>
    <row r="79" spans="1:7">
      <c r="A79" s="35">
        <v>37</v>
      </c>
      <c r="B79" s="75">
        <v>0</v>
      </c>
      <c r="C79" s="36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E79/Calculation!K$19*1000</f>
        <v>0</v>
      </c>
      <c r="G79" s="12">
        <f t="shared" si="7"/>
        <v>39.67945016681896</v>
      </c>
    </row>
    <row r="80" spans="1:7">
      <c r="A80" s="35">
        <v>37.5</v>
      </c>
      <c r="B80" s="75">
        <v>0</v>
      </c>
      <c r="C80" s="36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39.67945016681896</v>
      </c>
    </row>
    <row r="81" spans="1:7">
      <c r="A81" s="35">
        <v>38</v>
      </c>
      <c r="B81" s="75">
        <v>0</v>
      </c>
      <c r="C81" s="36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E81/Calculation!K$19*1000</f>
        <v>0</v>
      </c>
      <c r="G81" s="12">
        <f t="shared" si="7"/>
        <v>39.67945016681896</v>
      </c>
    </row>
    <row r="82" spans="1:7">
      <c r="A82" s="35">
        <v>38.5</v>
      </c>
      <c r="B82" s="75">
        <v>0</v>
      </c>
      <c r="C82" s="36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39.67945016681896</v>
      </c>
    </row>
    <row r="83" spans="1:7">
      <c r="A83" s="35">
        <v>39</v>
      </c>
      <c r="B83" s="75">
        <v>0</v>
      </c>
      <c r="C83" s="36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E83/Calculation!K$19*1000</f>
        <v>0</v>
      </c>
      <c r="G83" s="12">
        <f t="shared" si="7"/>
        <v>39.67945016681896</v>
      </c>
    </row>
    <row r="84" spans="1:7">
      <c r="A84" s="35">
        <v>39.5</v>
      </c>
      <c r="B84" s="75">
        <v>0</v>
      </c>
      <c r="C84" s="36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39.67945016681896</v>
      </c>
    </row>
    <row r="85" spans="1:7">
      <c r="A85" s="35">
        <v>40</v>
      </c>
      <c r="B85" s="75">
        <v>0</v>
      </c>
      <c r="C85" s="36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E85/Calculation!K$19*1000</f>
        <v>0</v>
      </c>
      <c r="G85" s="12">
        <f t="shared" si="7"/>
        <v>39.67945016681896</v>
      </c>
    </row>
    <row r="86" spans="1:7">
      <c r="A86" s="35">
        <v>40.5</v>
      </c>
      <c r="B86" s="75">
        <v>0</v>
      </c>
      <c r="C86" s="36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39.67945016681896</v>
      </c>
    </row>
    <row r="87" spans="1:7">
      <c r="A87" s="35">
        <v>41</v>
      </c>
      <c r="B87" s="75">
        <v>0</v>
      </c>
      <c r="C87" s="36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E87/Calculation!K$19*1000</f>
        <v>0</v>
      </c>
      <c r="G87" s="12">
        <f t="shared" si="7"/>
        <v>39.67945016681896</v>
      </c>
    </row>
    <row r="88" spans="1:7">
      <c r="A88" s="35">
        <v>41.5</v>
      </c>
      <c r="B88" s="75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39.67945016681896</v>
      </c>
    </row>
    <row r="89" spans="1:7">
      <c r="A89" s="35">
        <v>42</v>
      </c>
      <c r="B89" s="75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39.67945016681896</v>
      </c>
    </row>
    <row r="90" spans="1:7">
      <c r="A90" s="35">
        <v>42.5</v>
      </c>
      <c r="B90" s="75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39.67945016681896</v>
      </c>
    </row>
    <row r="91" spans="1:7">
      <c r="A91" s="35">
        <v>43</v>
      </c>
      <c r="B91" s="75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39.67945016681896</v>
      </c>
    </row>
    <row r="92" spans="1:7">
      <c r="A92" s="35">
        <v>43.5</v>
      </c>
      <c r="B92" s="75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39.67945016681896</v>
      </c>
    </row>
    <row r="93" spans="1:7">
      <c r="A93" s="35">
        <v>44</v>
      </c>
      <c r="B93" s="75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39.67945016681896</v>
      </c>
    </row>
    <row r="94" spans="1:7">
      <c r="A94" s="35">
        <v>44.5</v>
      </c>
      <c r="B94" s="75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39.67945016681896</v>
      </c>
    </row>
    <row r="95" spans="1:7">
      <c r="A95" s="35">
        <v>45</v>
      </c>
      <c r="B95" s="75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39.67945016681896</v>
      </c>
    </row>
    <row r="96" spans="1:7">
      <c r="A96" s="35">
        <v>45.5</v>
      </c>
      <c r="B96" s="75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39.67945016681896</v>
      </c>
    </row>
    <row r="97" spans="1:7">
      <c r="A97" s="35">
        <v>46</v>
      </c>
      <c r="B97" s="75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39.67945016681896</v>
      </c>
    </row>
    <row r="98" spans="1:7">
      <c r="A98" s="35">
        <v>46.5</v>
      </c>
      <c r="B98" s="75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39.67945016681896</v>
      </c>
    </row>
    <row r="99" spans="1:7">
      <c r="A99" s="35">
        <v>47</v>
      </c>
      <c r="B99" s="75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39.67945016681896</v>
      </c>
    </row>
    <row r="100" spans="1:7">
      <c r="A100" s="35">
        <v>47.5</v>
      </c>
      <c r="B100" s="75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39.67945016681896</v>
      </c>
    </row>
    <row r="101" spans="1:7">
      <c r="A101" s="35">
        <v>48</v>
      </c>
      <c r="B101" s="75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39.67945016681896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2" t="s">
        <v>41</v>
      </c>
      <c r="B1" s="132"/>
      <c r="D1" s="158" t="s">
        <v>4</v>
      </c>
      <c r="E1" s="158" t="s">
        <v>5</v>
      </c>
      <c r="F1" s="132" t="s">
        <v>142</v>
      </c>
      <c r="G1" s="132"/>
      <c r="H1" s="132"/>
      <c r="I1" s="132"/>
      <c r="J1" s="132" t="s">
        <v>42</v>
      </c>
      <c r="K1" s="132"/>
      <c r="L1" s="132"/>
      <c r="M1" s="132"/>
      <c r="N1" s="159" t="s">
        <v>43</v>
      </c>
      <c r="O1" s="130"/>
      <c r="P1" s="130"/>
      <c r="Q1" s="160"/>
      <c r="R1" s="132" t="s">
        <v>65</v>
      </c>
      <c r="S1" s="132"/>
      <c r="T1" s="132"/>
      <c r="U1" s="132"/>
    </row>
    <row r="2" spans="1:21">
      <c r="A2" s="132" t="s">
        <v>34</v>
      </c>
      <c r="B2" s="132"/>
      <c r="D2" s="158"/>
      <c r="E2" s="158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2" t="s">
        <v>35</v>
      </c>
      <c r="B3" s="14" t="s">
        <v>38</v>
      </c>
      <c r="D3" s="16">
        <v>0</v>
      </c>
      <c r="E3" s="62">
        <v>-0.16666666666666666</v>
      </c>
      <c r="F3" s="52">
        <v>51.709591474245116</v>
      </c>
      <c r="G3" s="52">
        <v>0.21972330609335242</v>
      </c>
      <c r="H3" s="13">
        <f>F3*Calculation!I3/Calculation!F22</f>
        <v>51.709591474245116</v>
      </c>
      <c r="I3" s="13">
        <f>G3*Calculation!I3/Calculation!F22</f>
        <v>0.21972330609335242</v>
      </c>
      <c r="J3" s="13">
        <v>2.1018354055654234</v>
      </c>
      <c r="K3" s="13">
        <v>6.4093058302578405E-3</v>
      </c>
      <c r="L3" s="13">
        <f>J3*Calculation!I3/Calculation!F22</f>
        <v>2.1018354055654234</v>
      </c>
      <c r="M3" s="13">
        <f>K3*Calculation!I3/Calculation!F22</f>
        <v>6.4093058302578405E-3</v>
      </c>
      <c r="N3" s="13">
        <v>1.1823480432972524</v>
      </c>
      <c r="O3" s="13">
        <v>0.2464387774679222</v>
      </c>
      <c r="P3" s="13">
        <f>N3*Calculation!I3/Calculation!F22</f>
        <v>1.1823480432972524</v>
      </c>
      <c r="Q3" s="13">
        <f>O3*Calculation!I3/Calculation!F22</f>
        <v>0.2464387774679222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32"/>
      <c r="B4" s="14" t="s">
        <v>39</v>
      </c>
      <c r="D4" s="16">
        <v>0</v>
      </c>
      <c r="E4" s="64">
        <v>0.16666666666666666</v>
      </c>
      <c r="F4" s="52">
        <v>51.408007696862036</v>
      </c>
      <c r="G4" s="52">
        <v>1.2453860130419168</v>
      </c>
      <c r="H4" s="13">
        <f>F4*Calculation!I4/Calculation!K3</f>
        <v>51.408007696862036</v>
      </c>
      <c r="I4" s="13">
        <f>G4*Calculation!I4/Calculation!K3</f>
        <v>1.2453860130419168</v>
      </c>
      <c r="J4" s="13">
        <v>2.0944345766725876</v>
      </c>
      <c r="K4" s="13">
        <v>2.3109080811124942E-2</v>
      </c>
      <c r="L4" s="13">
        <f>J4*Calculation!I4/Calculation!K3</f>
        <v>2.0944345766725876</v>
      </c>
      <c r="M4" s="13">
        <f>K4*Calculation!I4/Calculation!K3</f>
        <v>2.3109080811124942E-2</v>
      </c>
      <c r="N4" s="13">
        <v>1.9483763530391343</v>
      </c>
      <c r="O4" s="13">
        <v>0.12572580241916317</v>
      </c>
      <c r="P4" s="13">
        <f>N4*Calculation!I4/Calculation!K3</f>
        <v>1.9483763530391343</v>
      </c>
      <c r="Q4" s="13">
        <f>O4*Calculation!I4/Calculation!K3</f>
        <v>0.12572580241916317</v>
      </c>
      <c r="R4" s="13">
        <v>2.9183865594901879</v>
      </c>
      <c r="S4" s="13">
        <v>0.16013718869936996</v>
      </c>
      <c r="T4" s="13">
        <f>R4*Calculation!I4/Calculation!K3</f>
        <v>2.9183865594901874</v>
      </c>
      <c r="U4" s="13">
        <f>S4*Calculation!I4/Calculation!K3</f>
        <v>0.16013718869936996</v>
      </c>
    </row>
    <row r="5" spans="1:21">
      <c r="A5" s="15" t="s">
        <v>37</v>
      </c>
      <c r="B5" s="15">
        <v>180.16</v>
      </c>
      <c r="D5" s="16">
        <v>1</v>
      </c>
      <c r="E5" s="64">
        <v>2</v>
      </c>
      <c r="F5" s="52">
        <v>51.063869153345173</v>
      </c>
      <c r="G5" s="52">
        <v>0.22487440207576079</v>
      </c>
      <c r="H5" s="13">
        <f>F5*Calculation!I5/Calculation!K4</f>
        <v>51.063869153345173</v>
      </c>
      <c r="I5" s="13">
        <f>G5*Calculation!I5/Calculation!K4</f>
        <v>0.22487440207576079</v>
      </c>
      <c r="J5" s="13">
        <v>2.0796329188869156</v>
      </c>
      <c r="K5" s="13">
        <v>1.6957429303418606E-2</v>
      </c>
      <c r="L5" s="13">
        <f>J5*Calculation!I5/Calculation!K4</f>
        <v>2.0796329188869156</v>
      </c>
      <c r="M5" s="13">
        <f>K5*Calculation!I5/Calculation!K4</f>
        <v>1.6957429303418606E-2</v>
      </c>
      <c r="N5" s="13">
        <v>1.8706633361087985</v>
      </c>
      <c r="O5" s="13">
        <v>0.27380210835722379</v>
      </c>
      <c r="P5" s="13">
        <f>N5*Calculation!I5/Calculation!K4</f>
        <v>1.8706633361087988</v>
      </c>
      <c r="Q5" s="13">
        <f>O5*Calculation!I5/Calculation!K4</f>
        <v>0.27380210835722379</v>
      </c>
      <c r="R5" s="13">
        <v>3.0342530233905429</v>
      </c>
      <c r="S5" s="13">
        <v>3.3185427583140033E-2</v>
      </c>
      <c r="T5" s="13">
        <f>R5*Calculation!I5/Calculation!K4</f>
        <v>3.0342530233905429</v>
      </c>
      <c r="U5" s="13">
        <f>S5*Calculation!I5/Calculation!K4</f>
        <v>3.3185427583140033E-2</v>
      </c>
    </row>
    <row r="6" spans="1:21">
      <c r="A6" s="15" t="s">
        <v>40</v>
      </c>
      <c r="B6" s="15">
        <v>180.16</v>
      </c>
      <c r="D6" s="16">
        <v>2</v>
      </c>
      <c r="E6" s="64">
        <v>3.3333333333333335</v>
      </c>
      <c r="F6" s="52">
        <v>51.511619301361755</v>
      </c>
      <c r="G6" s="52">
        <v>1.514865567592022</v>
      </c>
      <c r="H6" s="13">
        <f>F6*Calculation!I6/Calculation!K5</f>
        <v>51.511619301361755</v>
      </c>
      <c r="I6" s="13">
        <f>G6*Calculation!I6/Calculation!K5</f>
        <v>1.5148655675920217</v>
      </c>
      <c r="J6" s="13">
        <v>2.0944345766725876</v>
      </c>
      <c r="K6" s="13">
        <v>6.4093058302578405E-3</v>
      </c>
      <c r="L6" s="13">
        <f>J6*Calculation!I6/Calculation!K5</f>
        <v>2.0944345766725876</v>
      </c>
      <c r="M6" s="13">
        <f>K6*Calculation!I6/Calculation!K5</f>
        <v>6.4093058302578405E-3</v>
      </c>
      <c r="N6" s="13">
        <v>1.8262558978628922</v>
      </c>
      <c r="O6" s="13">
        <v>0.32731663586579068</v>
      </c>
      <c r="P6" s="13">
        <f>N6*Calculation!I6/Calculation!K5</f>
        <v>1.8262558978628922</v>
      </c>
      <c r="Q6" s="13">
        <f>O6*Calculation!I6/Calculation!K5</f>
        <v>0.32731663586579068</v>
      </c>
      <c r="R6" s="13">
        <v>3.0559779853718587</v>
      </c>
      <c r="S6" s="13">
        <v>3.318542758313997E-2</v>
      </c>
      <c r="T6" s="13">
        <f>R6*Calculation!I6/Calculation!K5</f>
        <v>3.0559779853718587</v>
      </c>
      <c r="U6" s="13">
        <f>S6*Calculation!I6/Calculation!K5</f>
        <v>3.318542758313997E-2</v>
      </c>
    </row>
    <row r="7" spans="1:21">
      <c r="A7" s="32" t="s">
        <v>116</v>
      </c>
      <c r="B7" s="32">
        <v>46.03</v>
      </c>
      <c r="D7" s="16">
        <v>3</v>
      </c>
      <c r="E7" s="64">
        <v>4.666666666666667</v>
      </c>
      <c r="F7" s="52">
        <v>51.036116044997044</v>
      </c>
      <c r="G7" s="52">
        <v>0.88605610659074197</v>
      </c>
      <c r="H7" s="13">
        <f>F7*Calculation!I7/Calculation!K6</f>
        <v>51.036116044997044</v>
      </c>
      <c r="I7" s="13">
        <f>G7*Calculation!I7/Calculation!K6</f>
        <v>0.88605610659074197</v>
      </c>
      <c r="J7" s="13">
        <v>2.1055358200118413</v>
      </c>
      <c r="K7" s="13">
        <v>2.7937516412339981E-2</v>
      </c>
      <c r="L7" s="13">
        <f>J7*Calculation!I7/Calculation!K6</f>
        <v>2.1055358200118413</v>
      </c>
      <c r="M7" s="13">
        <f>K7*Calculation!I7/Calculation!K6</f>
        <v>2.7937516412339981E-2</v>
      </c>
      <c r="N7" s="13">
        <v>1.8984179850124896</v>
      </c>
      <c r="O7" s="13">
        <v>3.3305578684429675E-2</v>
      </c>
      <c r="P7" s="13">
        <f>N7*Calculation!I7/Calculation!K6</f>
        <v>1.8984179850124896</v>
      </c>
      <c r="Q7" s="13">
        <f>O7*Calculation!I7/Calculation!K6</f>
        <v>3.3305578684429675E-2</v>
      </c>
      <c r="R7" s="13">
        <v>2.9690781374465933</v>
      </c>
      <c r="S7" s="13">
        <v>9.7963279444338136E-2</v>
      </c>
      <c r="T7" s="13">
        <f>R7*Calculation!I7/Calculation!K6</f>
        <v>2.9690781374465933</v>
      </c>
      <c r="U7" s="13">
        <f>S7*Calculation!I7/Calculation!K6</f>
        <v>9.7963279444338136E-2</v>
      </c>
    </row>
    <row r="8" spans="1:21">
      <c r="A8" s="15" t="s">
        <v>43</v>
      </c>
      <c r="B8" s="15">
        <v>60.05</v>
      </c>
      <c r="D8" s="16">
        <v>4</v>
      </c>
      <c r="E8" s="64">
        <v>6</v>
      </c>
      <c r="F8" s="52">
        <v>50.334887507400836</v>
      </c>
      <c r="G8" s="52">
        <v>1.1280514822341214</v>
      </c>
      <c r="H8" s="13">
        <f>F8*Calculation!I8/Calculation!K7</f>
        <v>50.334887507400843</v>
      </c>
      <c r="I8" s="13">
        <f>G8*Calculation!I8/Calculation!K7</f>
        <v>1.1280514822341214</v>
      </c>
      <c r="J8" s="13">
        <v>2.1092362344582596</v>
      </c>
      <c r="K8" s="13">
        <v>2.937112911927834E-2</v>
      </c>
      <c r="L8" s="13">
        <f>J8*Calculation!I8/Calculation!K7</f>
        <v>2.1092362344582596</v>
      </c>
      <c r="M8" s="13">
        <f>K8*Calculation!I8/Calculation!K7</f>
        <v>2.9371129119278337E-2</v>
      </c>
      <c r="N8" s="13">
        <v>1.9039689147932279</v>
      </c>
      <c r="O8" s="13">
        <v>9.1716412111342224E-2</v>
      </c>
      <c r="P8" s="13">
        <f>N8*Calculation!I8/Calculation!K7</f>
        <v>1.9039689147932279</v>
      </c>
      <c r="Q8" s="13">
        <f>O8*Calculation!I8/Calculation!K7</f>
        <v>9.1716412111342224E-2</v>
      </c>
      <c r="R8" s="13">
        <v>2.9980447534216816</v>
      </c>
      <c r="S8" s="13">
        <v>7.8330464381142315E-2</v>
      </c>
      <c r="T8" s="13">
        <f>R8*Calculation!I8/Calculation!K7</f>
        <v>2.9980447534216816</v>
      </c>
      <c r="U8" s="13">
        <f>S8*Calculation!I8/Calculation!K7</f>
        <v>7.8330464381142315E-2</v>
      </c>
    </row>
    <row r="9" spans="1:21">
      <c r="A9" s="32" t="s">
        <v>67</v>
      </c>
      <c r="B9" s="32">
        <v>74.08</v>
      </c>
      <c r="D9" s="16">
        <v>5</v>
      </c>
      <c r="E9" s="64">
        <v>7.333333333333333</v>
      </c>
      <c r="F9" s="52">
        <v>50.723431024274724</v>
      </c>
      <c r="G9" s="52">
        <v>0.59968124643910636</v>
      </c>
      <c r="H9" s="13">
        <f>F9*Calculation!I9/Calculation!K8</f>
        <v>50.763276610311074</v>
      </c>
      <c r="I9" s="13">
        <f>G9*Calculation!I9/Calculation!K8</f>
        <v>0.60015232361619919</v>
      </c>
      <c r="J9" s="13">
        <v>2.1795441089402012</v>
      </c>
      <c r="K9" s="13">
        <v>1.6957429303418606E-2</v>
      </c>
      <c r="L9" s="13">
        <f>J9*Calculation!I9/Calculation!K8</f>
        <v>2.1812562409974992</v>
      </c>
      <c r="M9" s="13">
        <f>K9*Calculation!I9/Calculation!K8</f>
        <v>1.6970750143405582E-2</v>
      </c>
      <c r="N9" s="13">
        <v>2.0371912295309467</v>
      </c>
      <c r="O9" s="13">
        <v>0.10834982678847148</v>
      </c>
      <c r="P9" s="13">
        <f>N9*Calculation!I9/Calculation!K8</f>
        <v>2.0387915368597218</v>
      </c>
      <c r="Q9" s="13">
        <f>O9*Calculation!I9/Calculation!K8</f>
        <v>0.10843494055656926</v>
      </c>
      <c r="R9" s="13">
        <v>3.3890940690853788</v>
      </c>
      <c r="S9" s="13">
        <v>0.2299153865795866</v>
      </c>
      <c r="T9" s="13">
        <f>R9*Calculation!I9/Calculation!K8</f>
        <v>3.3917563582205599</v>
      </c>
      <c r="U9" s="13">
        <f>S9*Calculation!I9/Calculation!K8</f>
        <v>0.23009599568137731</v>
      </c>
    </row>
    <row r="10" spans="1:21">
      <c r="A10" s="32" t="s">
        <v>66</v>
      </c>
      <c r="B10" s="32">
        <v>88.11</v>
      </c>
      <c r="D10" s="16">
        <v>6</v>
      </c>
      <c r="E10" s="64">
        <v>8.6666666666666661</v>
      </c>
      <c r="F10" s="52">
        <v>49.315423327412667</v>
      </c>
      <c r="G10" s="52">
        <v>0.54204125024490779</v>
      </c>
      <c r="H10" s="13">
        <f>F10*Calculation!I10/Calculation!K9</f>
        <v>49.435137695218529</v>
      </c>
      <c r="I10" s="13">
        <f>G10*Calculation!I10/Calculation!K9</f>
        <v>0.54335706832411101</v>
      </c>
      <c r="J10" s="13">
        <v>2.2054470100651273</v>
      </c>
      <c r="K10" s="13">
        <v>1.6957429303418606E-2</v>
      </c>
      <c r="L10" s="13">
        <f>J10*Calculation!I10/Calculation!K9</f>
        <v>2.2108007853493095</v>
      </c>
      <c r="M10" s="13">
        <f>K10*Calculation!I10/Calculation!K9</f>
        <v>1.6998593868005094E-2</v>
      </c>
      <c r="N10" s="13">
        <v>3.0141548709408821</v>
      </c>
      <c r="O10" s="13">
        <v>0.12572580241916331</v>
      </c>
      <c r="P10" s="13">
        <f>N10*Calculation!I10/Calculation!K9</f>
        <v>3.0214718038697144</v>
      </c>
      <c r="Q10" s="13">
        <f>O10*Calculation!I10/Calculation!K9</f>
        <v>0.12603100480693494</v>
      </c>
      <c r="R10" s="13">
        <v>3.5266854949670505</v>
      </c>
      <c r="S10" s="13">
        <v>7.6295559076346928E-2</v>
      </c>
      <c r="T10" s="13">
        <f>R10*Calculation!I10/Calculation!K9</f>
        <v>3.535246608225211</v>
      </c>
      <c r="U10" s="13">
        <f>S10*Calculation!I10/Calculation!K9</f>
        <v>7.6480768367983343E-2</v>
      </c>
    </row>
    <row r="11" spans="1:21">
      <c r="A11" s="15" t="s">
        <v>42</v>
      </c>
      <c r="B11" s="15">
        <v>90.08</v>
      </c>
      <c r="D11" s="16">
        <v>7</v>
      </c>
      <c r="E11" s="64">
        <v>10</v>
      </c>
      <c r="F11" s="52">
        <v>48.096136767317951</v>
      </c>
      <c r="G11" s="52">
        <v>0.48175431199453927</v>
      </c>
      <c r="H11" s="13">
        <f>F11*Calculation!I11/Calculation!K10</f>
        <v>48.418929284838725</v>
      </c>
      <c r="I11" s="13">
        <f>G11*Calculation!I11/Calculation!K10</f>
        <v>0.48498755893800022</v>
      </c>
      <c r="J11" s="13">
        <v>2.2387507400828892</v>
      </c>
      <c r="K11" s="13">
        <v>2.3109080811124772E-2</v>
      </c>
      <c r="L11" s="13">
        <f>J11*Calculation!I11/Calculation!K10</f>
        <v>2.2537758966976282</v>
      </c>
      <c r="M11" s="13">
        <f>K11*Calculation!I11/Calculation!K10</f>
        <v>2.3264175146636621E-2</v>
      </c>
      <c r="N11" s="13">
        <v>5.0735498195947821</v>
      </c>
      <c r="O11" s="13">
        <v>0.36837435521592171</v>
      </c>
      <c r="P11" s="13">
        <f>N11*Calculation!I11/Calculation!K10</f>
        <v>5.1076004529534877</v>
      </c>
      <c r="Q11" s="13">
        <f>O11*Calculation!I11/Calculation!K10</f>
        <v>0.37084666366941565</v>
      </c>
      <c r="R11" s="13">
        <v>4.0698095444999636</v>
      </c>
      <c r="S11" s="13">
        <v>2.5085825296094995E-2</v>
      </c>
      <c r="T11" s="13">
        <f>R11*Calculation!I11/Calculation!K10</f>
        <v>4.0971236731805005</v>
      </c>
      <c r="U11" s="13">
        <f>S11*Calculation!I11/Calculation!K10</f>
        <v>2.5254186358867822E-2</v>
      </c>
    </row>
    <row r="12" spans="1:21">
      <c r="A12" s="15" t="s">
        <v>44</v>
      </c>
      <c r="B12" s="15">
        <v>46.07</v>
      </c>
      <c r="D12" s="16">
        <v>8</v>
      </c>
      <c r="E12" s="64">
        <v>11.333333333333334</v>
      </c>
      <c r="F12" s="52">
        <v>40.893280047365309</v>
      </c>
      <c r="G12" s="52">
        <v>0.20260402716840842</v>
      </c>
      <c r="H12" s="13">
        <f>F12*Calculation!I12/Calculation!K11</f>
        <v>41.495325975290307</v>
      </c>
      <c r="I12" s="13">
        <f>G12*Calculation!I12/Calculation!K11</f>
        <v>0.20558683826589591</v>
      </c>
      <c r="J12" s="13">
        <v>2.4459739490822971</v>
      </c>
      <c r="K12" s="13">
        <v>2.3109080811124942E-2</v>
      </c>
      <c r="L12" s="13">
        <f>J12*Calculation!I12/Calculation!K11</f>
        <v>2.4819844782976097</v>
      </c>
      <c r="M12" s="13">
        <f>K12*Calculation!I12/Calculation!K11</f>
        <v>2.3449301208811623E-2</v>
      </c>
      <c r="N12" s="13">
        <v>12.711629197890646</v>
      </c>
      <c r="O12" s="13">
        <v>0.50793282414030227</v>
      </c>
      <c r="P12" s="13">
        <f>N12*Calculation!I12/Calculation!K11</f>
        <v>12.898774484035908</v>
      </c>
      <c r="Q12" s="13">
        <f>O12*Calculation!I12/Calculation!K11</f>
        <v>0.51541079822501534</v>
      </c>
      <c r="R12" s="13">
        <v>2.9111449054964154</v>
      </c>
      <c r="S12" s="13">
        <v>0</v>
      </c>
      <c r="T12" s="13">
        <f>R12*Calculation!I12/Calculation!K11</f>
        <v>2.9540038528325958</v>
      </c>
      <c r="U12" s="13">
        <f>S12*Calculation!I12/Calculation!K11</f>
        <v>0</v>
      </c>
    </row>
    <row r="13" spans="1:21">
      <c r="D13" s="16">
        <v>9</v>
      </c>
      <c r="E13" s="64">
        <v>12.666666666666666</v>
      </c>
      <c r="F13" s="52">
        <v>22.677989934872709</v>
      </c>
      <c r="G13" s="52">
        <v>0.59452141857706986</v>
      </c>
      <c r="H13" s="13">
        <f>F13*Calculation!I13/Calculation!K12</f>
        <v>23.453994611598013</v>
      </c>
      <c r="I13" s="13">
        <f>G13*Calculation!I13/Calculation!K12</f>
        <v>0.6148649941123836</v>
      </c>
      <c r="J13" s="13">
        <v>4.5145056246299591</v>
      </c>
      <c r="K13" s="13">
        <v>3.8986285349513997E-2</v>
      </c>
      <c r="L13" s="13">
        <f>J13*Calculation!I13/Calculation!K12</f>
        <v>4.6689848129476337</v>
      </c>
      <c r="M13" s="13">
        <f>K13*Calculation!I13/Calculation!K12</f>
        <v>4.0320333907003132E-2</v>
      </c>
      <c r="N13" s="13">
        <v>32.572855953372198</v>
      </c>
      <c r="O13" s="13">
        <v>0.6654868010886954</v>
      </c>
      <c r="P13" s="13">
        <f>N13*Calculation!I13/Calculation!K12</f>
        <v>33.687447177140562</v>
      </c>
      <c r="Q13" s="13">
        <f>O13*Calculation!I13/Calculation!K12</f>
        <v>0.68825869892562286</v>
      </c>
      <c r="R13" s="13">
        <v>2.3462958939821856</v>
      </c>
      <c r="S13" s="13">
        <v>0.11288621383242747</v>
      </c>
      <c r="T13" s="13">
        <f>R13*Calculation!I13/Calculation!K12</f>
        <v>2.4265824004997563</v>
      </c>
      <c r="U13" s="13">
        <f>S13*Calculation!I13/Calculation!K12</f>
        <v>0.11674900017827863</v>
      </c>
    </row>
    <row r="14" spans="1:21">
      <c r="D14" s="16">
        <v>10</v>
      </c>
      <c r="E14" s="64">
        <v>14</v>
      </c>
      <c r="F14" s="52">
        <v>4.4182948490230913</v>
      </c>
      <c r="G14" s="52">
        <v>8.5450734449049007E-2</v>
      </c>
      <c r="H14" s="13">
        <f>F14*Calculation!I14/Calculation!K13</f>
        <v>4.6556984967462371</v>
      </c>
      <c r="I14" s="13">
        <f>G14*Calculation!I14/Calculation!K13</f>
        <v>9.0042170003267724E-2</v>
      </c>
      <c r="J14" s="13">
        <v>10.165038484310243</v>
      </c>
      <c r="K14" s="13">
        <v>0.10551049015233323</v>
      </c>
      <c r="L14" s="13">
        <f>J14*Calculation!I14/Calculation!K13</f>
        <v>10.711225938494062</v>
      </c>
      <c r="M14" s="13">
        <f>K14*Calculation!I14/Calculation!K13</f>
        <v>0.11117977572315911</v>
      </c>
      <c r="N14" s="13">
        <v>46.533444351928942</v>
      </c>
      <c r="O14" s="13">
        <v>0.6073894228496366</v>
      </c>
      <c r="P14" s="13">
        <f>N14*Calculation!I14/Calculation!K13</f>
        <v>49.033777581774963</v>
      </c>
      <c r="Q14" s="13">
        <f>O14*Calculation!I14/Calculation!K13</f>
        <v>0.64002564779619986</v>
      </c>
      <c r="R14" s="13">
        <v>3.5846187269172276</v>
      </c>
      <c r="S14" s="13">
        <v>6.5174885943949656E-2</v>
      </c>
      <c r="T14" s="13">
        <f>R14*Calculation!I14/Calculation!K13</f>
        <v>3.7772273215326386</v>
      </c>
      <c r="U14" s="13">
        <f>S14*Calculation!I14/Calculation!K13</f>
        <v>6.8676860391502587E-2</v>
      </c>
    </row>
    <row r="15" spans="1:21">
      <c r="D15" s="16">
        <v>11</v>
      </c>
      <c r="E15" s="64">
        <v>15.333333333333334</v>
      </c>
      <c r="F15" s="52">
        <v>1.2414890467732387</v>
      </c>
      <c r="G15" s="52">
        <v>2.3109080811124942E-2</v>
      </c>
      <c r="H15" s="13">
        <f>F15*Calculation!I15/Calculation!K14</f>
        <v>1.3119922298045041</v>
      </c>
      <c r="I15" s="13">
        <f>G15*Calculation!I15/Calculation!K14</f>
        <v>2.4421427269875968E-2</v>
      </c>
      <c r="J15" s="13">
        <v>11.375074008288927</v>
      </c>
      <c r="K15" s="13">
        <v>5.1274446642062724E-2</v>
      </c>
      <c r="L15" s="13">
        <f>J15*Calculation!I15/Calculation!K14</f>
        <v>12.021055482620103</v>
      </c>
      <c r="M15" s="13">
        <f>K15*Calculation!I15/Calculation!K14</f>
        <v>5.4186281994801432E-2</v>
      </c>
      <c r="N15" s="13">
        <v>48.004440743824588</v>
      </c>
      <c r="O15" s="13">
        <v>0.3888821512769785</v>
      </c>
      <c r="P15" s="13">
        <f>N15*Calculation!I15/Calculation!K14</f>
        <v>50.73057504269093</v>
      </c>
      <c r="Q15" s="13">
        <f>O15*Calculation!I15/Calculation!K14</f>
        <v>0.41096646169464496</v>
      </c>
      <c r="R15" s="13">
        <v>2.5707871677891228</v>
      </c>
      <c r="S15" s="13">
        <v>8.7800388536332305E-2</v>
      </c>
      <c r="T15" s="13">
        <f>R15*Calculation!I15/Calculation!K14</f>
        <v>2.7167801418682331</v>
      </c>
      <c r="U15" s="13">
        <f>S15*Calculation!I15/Calculation!K14</f>
        <v>9.2786503298506212E-2</v>
      </c>
    </row>
    <row r="16" spans="1:21">
      <c r="D16" s="16">
        <v>12</v>
      </c>
      <c r="E16" s="64">
        <v>16.666666666666668</v>
      </c>
      <c r="F16" s="52">
        <v>0</v>
      </c>
      <c r="G16" s="52">
        <v>0</v>
      </c>
      <c r="H16" s="13">
        <f>F16*Calculation!I16/Calculation!K15</f>
        <v>0</v>
      </c>
      <c r="I16" s="13">
        <f>G16*Calculation!I16/Calculation!K15</f>
        <v>0</v>
      </c>
      <c r="J16" s="13">
        <v>11.493487270574304</v>
      </c>
      <c r="K16" s="13">
        <v>8.1828539030106812E-2</v>
      </c>
      <c r="L16" s="13">
        <f>J16*Calculation!I16/Calculation!K15</f>
        <v>12.170880725443066</v>
      </c>
      <c r="M16" s="13">
        <f>K16*Calculation!I16/Calculation!K15</f>
        <v>8.6651280418821794E-2</v>
      </c>
      <c r="N16" s="13">
        <v>48.1210102692201</v>
      </c>
      <c r="O16" s="13">
        <v>0.66638906237952145</v>
      </c>
      <c r="P16" s="13">
        <f>N16*Calculation!I16/Calculation!K15</f>
        <v>50.957125769299601</v>
      </c>
      <c r="Q16" s="13">
        <f>O16*Calculation!I16/Calculation!K15</f>
        <v>0.70566413865752076</v>
      </c>
      <c r="R16" s="13">
        <v>1.267289448910131</v>
      </c>
      <c r="S16" s="13">
        <v>9.7963279444338372E-2</v>
      </c>
      <c r="T16" s="13">
        <f>R16*Calculation!I16/Calculation!K15</f>
        <v>1.3419798851464666</v>
      </c>
      <c r="U16" s="13">
        <f>S16*Calculation!I16/Calculation!K15</f>
        <v>0.10373695654954289</v>
      </c>
    </row>
    <row r="17" spans="4:21">
      <c r="D17" s="16">
        <v>13</v>
      </c>
      <c r="E17" s="64">
        <v>18</v>
      </c>
      <c r="F17" s="52">
        <v>0</v>
      </c>
      <c r="G17" s="52">
        <v>0</v>
      </c>
      <c r="H17" s="13">
        <f>F17*Calculation!I17/Calculation!K16</f>
        <v>0</v>
      </c>
      <c r="I17" s="13">
        <f>G17*Calculation!I17/Calculation!K16</f>
        <v>0</v>
      </c>
      <c r="J17" s="13">
        <v>11.301065719360569</v>
      </c>
      <c r="K17" s="13">
        <v>5.874225823855668E-2</v>
      </c>
      <c r="L17" s="13">
        <f>J17*Calculation!I17/Calculation!K16</f>
        <v>11.967118395203839</v>
      </c>
      <c r="M17" s="13">
        <f>K17*Calculation!I17/Calculation!K16</f>
        <v>6.2204359889539811E-2</v>
      </c>
      <c r="N17" s="13">
        <v>46.899805717457674</v>
      </c>
      <c r="O17" s="13">
        <v>0.10834982678847073</v>
      </c>
      <c r="P17" s="13">
        <f>N17*Calculation!I17/Calculation!K16</f>
        <v>49.663946894083779</v>
      </c>
      <c r="Q17" s="13">
        <f>O17*Calculation!I17/Calculation!K16</f>
        <v>0.11473565745716445</v>
      </c>
      <c r="R17" s="13">
        <v>0</v>
      </c>
      <c r="S17" s="13">
        <v>0</v>
      </c>
      <c r="T17" s="13">
        <f>R17*Calculation!I17/Calculation!K16</f>
        <v>0</v>
      </c>
      <c r="U17" s="13">
        <f>S17*Calculation!I17/Calculation!K16</f>
        <v>0</v>
      </c>
    </row>
    <row r="18" spans="4:21">
      <c r="D18" s="16">
        <v>14</v>
      </c>
      <c r="E18" s="64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11.830224985198344</v>
      </c>
      <c r="K18" s="13">
        <v>0.11119730018736484</v>
      </c>
      <c r="L18" s="13">
        <f>J18*Calculation!I18/Calculation!K17</f>
        <v>12.541700558820081</v>
      </c>
      <c r="M18" s="13">
        <f>K18*Calculation!I18/Calculation!K17</f>
        <v>0.11788476074157911</v>
      </c>
      <c r="N18" s="13">
        <v>49.725228975853454</v>
      </c>
      <c r="O18" s="13">
        <v>0.46627810158201283</v>
      </c>
      <c r="P18" s="13">
        <f>N18*Calculation!I18/Calculation!K17</f>
        <v>52.715728806019996</v>
      </c>
      <c r="Q18" s="13">
        <f>O18*Calculation!I18/Calculation!K17</f>
        <v>0.49432029690842361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4">
        <v>30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11.571195973949081</v>
      </c>
      <c r="K19" s="13">
        <v>7.1371009184376596E-2</v>
      </c>
      <c r="L19" s="13">
        <f>J19*Calculation!I19/Calculation!K18</f>
        <v>12.267093414898461</v>
      </c>
      <c r="M19" s="13">
        <f>K19*Calculation!I19/Calculation!K18</f>
        <v>7.5663296927251281E-2</v>
      </c>
      <c r="N19" s="13">
        <v>48.470718845406608</v>
      </c>
      <c r="O19" s="13">
        <v>0.54481181048304084</v>
      </c>
      <c r="P19" s="13">
        <f>N19*Calculation!I19/Calculation!K18</f>
        <v>51.385771816718758</v>
      </c>
      <c r="Q19" s="13">
        <f>O19*Calculation!I19/Calculation!K18</f>
        <v>0.57757706185098179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4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11.856127886323268</v>
      </c>
      <c r="K20" s="13">
        <v>5.5506216696270032E-2</v>
      </c>
      <c r="L20" s="13">
        <f>J20*Calculation!I20/Calculation!K19</f>
        <v>12.569161273212242</v>
      </c>
      <c r="M20" s="13">
        <f>K20*Calculation!I20/Calculation!K19</f>
        <v>5.8844387983203433E-2</v>
      </c>
      <c r="N20" s="13">
        <v>49.450457951706916</v>
      </c>
      <c r="O20" s="13">
        <v>8.2427101886854315E-2</v>
      </c>
      <c r="P20" s="13">
        <f>N20*Calculation!I20/Calculation!K19</f>
        <v>52.424432916770392</v>
      </c>
      <c r="Q20" s="13">
        <f>O20*Calculation!I20/Calculation!K19</f>
        <v>8.7384308505519814E-2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8" t="s">
        <v>4</v>
      </c>
      <c r="E22" s="158" t="s">
        <v>60</v>
      </c>
      <c r="F22" s="132" t="s">
        <v>44</v>
      </c>
      <c r="G22" s="132"/>
      <c r="H22" s="132"/>
      <c r="I22" s="132"/>
      <c r="J22" s="132" t="s">
        <v>66</v>
      </c>
      <c r="K22" s="132"/>
      <c r="L22" s="132"/>
      <c r="M22" s="132"/>
      <c r="N22" s="159" t="s">
        <v>67</v>
      </c>
      <c r="O22" s="130"/>
      <c r="P22" s="130"/>
      <c r="Q22" s="160"/>
    </row>
    <row r="23" spans="4:21">
      <c r="D23" s="158"/>
      <c r="E23" s="158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2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4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</v>
      </c>
      <c r="K25" s="13">
        <v>0</v>
      </c>
      <c r="L25" s="13">
        <f>J25*Calculation!I4/Calculation!K3</f>
        <v>0</v>
      </c>
      <c r="M25" s="13">
        <f>K25*Calculation!I4/Calculation!K3</f>
        <v>0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4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</v>
      </c>
      <c r="K26" s="13">
        <v>0</v>
      </c>
      <c r="L26" s="13">
        <f>J26*Calculation!I5/Calculation!K4</f>
        <v>0</v>
      </c>
      <c r="M26" s="13">
        <f>K26*Calculation!I5/Calculation!K4</f>
        <v>0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4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0</v>
      </c>
      <c r="K27" s="13">
        <v>0</v>
      </c>
      <c r="L27" s="13">
        <f>J27*Calculation!I6/Calculation!K5</f>
        <v>0</v>
      </c>
      <c r="M27" s="13">
        <f>K27*Calculation!I6/Calculation!K5</f>
        <v>0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4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0.14754284417205765</v>
      </c>
      <c r="K28" s="13">
        <v>1.1349449551696743E-2</v>
      </c>
      <c r="L28" s="13">
        <f>J28*Calculation!I7/Calculation!K6</f>
        <v>0.14754284417205765</v>
      </c>
      <c r="M28" s="13">
        <f>K28*Calculation!I7/Calculation!K6</f>
        <v>1.1349449551696743E-2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4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0.27238678924072185</v>
      </c>
      <c r="K29" s="13">
        <v>4.0921022306934389E-2</v>
      </c>
      <c r="L29" s="13">
        <f>J29*Calculation!I8/Calculation!K7</f>
        <v>0.27238678924072185</v>
      </c>
      <c r="M29" s="13">
        <f>K29*Calculation!I8/Calculation!K7</f>
        <v>4.0921022306934389E-2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4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0.71879847160746035</v>
      </c>
      <c r="K30" s="13">
        <v>2.3625763244423278E-2</v>
      </c>
      <c r="L30" s="13">
        <f>J30*Calculation!I9/Calculation!K8</f>
        <v>0.71936312083888798</v>
      </c>
      <c r="M30" s="13">
        <f>K30*Calculation!I9/Calculation!K8</f>
        <v>2.3644322367160454E-2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4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1.7894298793175196</v>
      </c>
      <c r="K31" s="13">
        <v>3.6483375935357186E-2</v>
      </c>
      <c r="L31" s="13">
        <f>J31*Calculation!I10/Calculation!K9</f>
        <v>1.7937737630821013</v>
      </c>
      <c r="M31" s="13">
        <f>K31*Calculation!I10/Calculation!K9</f>
        <v>3.6571940201682709E-2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4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4.5473461203798289</v>
      </c>
      <c r="K32" s="13">
        <v>3.985795692071558E-2</v>
      </c>
      <c r="L32" s="13">
        <f>J32*Calculation!I11/Calculation!K10</f>
        <v>4.5778651890804394</v>
      </c>
      <c r="M32" s="13">
        <f>K32*Calculation!I11/Calculation!K10</f>
        <v>4.0125459699991088E-2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4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7.6268300987402116</v>
      </c>
      <c r="K33" s="13">
        <v>8.8642034682858487E-2</v>
      </c>
      <c r="L33" s="13">
        <f>J33*Calculation!I12/Calculation!K11</f>
        <v>7.7391151000559262</v>
      </c>
      <c r="M33" s="13">
        <f>K33*Calculation!I12/Calculation!K11</f>
        <v>8.994705536014308E-2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4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12.3103696137404</v>
      </c>
      <c r="K34" s="13">
        <v>0.35097763685072442</v>
      </c>
      <c r="L34" s="13">
        <f>J34*Calculation!I13/Calculation!K12</f>
        <v>12.731610844551151</v>
      </c>
      <c r="M34" s="13">
        <f>K34*Calculation!I13/Calculation!K12</f>
        <v>0.36298753227815556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4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16.116218363409374</v>
      </c>
      <c r="K35" s="13">
        <v>0.22095020240530999</v>
      </c>
      <c r="L35" s="13">
        <f>J35*Calculation!I14/Calculation!K13</f>
        <v>16.982174384389296</v>
      </c>
      <c r="M35" s="13">
        <f>K35*Calculation!I14/Calculation!K13</f>
        <v>0.23282229012435071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4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16.600461544281767</v>
      </c>
      <c r="K36" s="13">
        <v>7.3844139128904487E-2</v>
      </c>
      <c r="L36" s="13">
        <f>J36*Calculation!I15/Calculation!K14</f>
        <v>17.543188652267084</v>
      </c>
      <c r="M36" s="13">
        <f>K36*Calculation!I15/Calculation!K14</f>
        <v>7.8037689503209412E-2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4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16.634509892936862</v>
      </c>
      <c r="K37" s="13">
        <v>0.20344765497293177</v>
      </c>
      <c r="L37" s="13">
        <f>J37*Calculation!I16/Calculation!K15</f>
        <v>17.614900601270772</v>
      </c>
      <c r="M37" s="13">
        <f>K37*Calculation!I16/Calculation!K15</f>
        <v>0.21543828119826328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4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16.222146559225209</v>
      </c>
      <c r="K38" s="13">
        <v>0.13729237931089272</v>
      </c>
      <c r="L38" s="13">
        <f>J38*Calculation!I17/Calculation!K16</f>
        <v>17.178233745337511</v>
      </c>
      <c r="M38" s="13">
        <f>K38*Calculation!I17/Calculation!K16</f>
        <v>0.14538400171923346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4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17.413838762153368</v>
      </c>
      <c r="K39" s="13">
        <v>0.17957014771393146</v>
      </c>
      <c r="L39" s="13">
        <f>J39*Calculation!I18/Calculation!K17</f>
        <v>18.461115626098131</v>
      </c>
      <c r="M39" s="13">
        <f>K39*Calculation!I18/Calculation!K17</f>
        <v>0.1903695850881115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4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17.20576552037226</v>
      </c>
      <c r="K40" s="13">
        <v>0.17137293009353663</v>
      </c>
      <c r="L40" s="13">
        <f>J40*Calculation!I19/Calculation!K18</f>
        <v>18.24052875678781</v>
      </c>
      <c r="M40" s="13">
        <f>K40*Calculation!I19/Calculation!K18</f>
        <v>0.18167938275137613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4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17.640827753187303</v>
      </c>
      <c r="K41" s="13">
        <v>0.17447663992131404</v>
      </c>
      <c r="L41" s="13">
        <f>J41*Calculation!I20/Calculation!K19</f>
        <v>18.701755847163938</v>
      </c>
      <c r="M41" s="13">
        <f>K41*Calculation!I20/Calculation!K19</f>
        <v>0.18496975122113513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142</v>
      </c>
      <c r="B2" s="17">
        <v>180.16</v>
      </c>
    </row>
    <row r="4" spans="1:8">
      <c r="A4" s="161" t="s">
        <v>143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8" t="s">
        <v>4</v>
      </c>
      <c r="B6" s="28" t="s">
        <v>5</v>
      </c>
      <c r="C6" s="28" t="s">
        <v>19</v>
      </c>
      <c r="D6" s="166"/>
      <c r="E6" s="166"/>
      <c r="F6" s="166"/>
      <c r="G6" s="168"/>
      <c r="H6" s="168"/>
    </row>
    <row r="7" spans="1:8">
      <c r="A7" s="16">
        <v>0</v>
      </c>
      <c r="B7" s="62">
        <v>-0.16666666666666666</v>
      </c>
      <c r="C7" s="16">
        <v>1</v>
      </c>
      <c r="D7" s="19">
        <v>9.2780000000000005</v>
      </c>
      <c r="E7" s="19">
        <v>9.3569999999999993</v>
      </c>
      <c r="F7" s="19">
        <v>9.3130000000000006</v>
      </c>
      <c r="G7" s="19">
        <f>(C7*1000*AVERAGE(D7:F7)/$B$2)</f>
        <v>51.709591474245116</v>
      </c>
      <c r="H7" s="19">
        <f>(C7*1000*STDEV(D7:F7))/$B$2</f>
        <v>0.21972330609335242</v>
      </c>
    </row>
    <row r="8" spans="1:8">
      <c r="A8" s="16">
        <v>0</v>
      </c>
      <c r="B8" s="64">
        <v>0.16666666666666666</v>
      </c>
      <c r="C8" s="16">
        <v>1</v>
      </c>
      <c r="D8" s="19">
        <v>9.5190000000000001</v>
      </c>
      <c r="E8" s="19">
        <v>9.1069999999999993</v>
      </c>
      <c r="F8" s="19">
        <v>9.1590000000000007</v>
      </c>
      <c r="G8" s="19">
        <f t="shared" ref="G8:G17" si="0">(C8*1000*AVERAGE(D8:F8))/$B$2</f>
        <v>51.408007696862036</v>
      </c>
      <c r="H8" s="19">
        <f t="shared" ref="H8:H17" si="1">(C8*1000*STDEV(D8:F8))/$B$2</f>
        <v>1.2453860130419168</v>
      </c>
    </row>
    <row r="9" spans="1:8">
      <c r="A9" s="16">
        <v>1</v>
      </c>
      <c r="B9" s="64">
        <v>2</v>
      </c>
      <c r="C9" s="16">
        <v>1</v>
      </c>
      <c r="D9" s="19">
        <v>9.1669999999999998</v>
      </c>
      <c r="E9" s="19">
        <v>9.2449999999999992</v>
      </c>
      <c r="F9" s="19">
        <v>9.1869999999999994</v>
      </c>
      <c r="G9" s="19">
        <f t="shared" si="0"/>
        <v>51.063869153345173</v>
      </c>
      <c r="H9" s="19">
        <f t="shared" si="1"/>
        <v>0.22487440207576079</v>
      </c>
    </row>
    <row r="10" spans="1:8">
      <c r="A10" s="16">
        <v>2</v>
      </c>
      <c r="B10" s="64">
        <v>3.3333333333333335</v>
      </c>
      <c r="C10" s="16">
        <v>1</v>
      </c>
      <c r="D10" s="19">
        <v>9.4179999999999993</v>
      </c>
      <c r="E10" s="19">
        <v>9.4570000000000007</v>
      </c>
      <c r="F10" s="19">
        <v>8.9659999999999993</v>
      </c>
      <c r="G10" s="19">
        <f t="shared" si="0"/>
        <v>51.511619301361755</v>
      </c>
      <c r="H10" s="19">
        <f t="shared" si="1"/>
        <v>1.514865567592022</v>
      </c>
    </row>
    <row r="11" spans="1:8">
      <c r="A11" s="16">
        <v>3</v>
      </c>
      <c r="B11" s="64">
        <v>4.666666666666667</v>
      </c>
      <c r="C11" s="16">
        <v>1</v>
      </c>
      <c r="D11" s="19">
        <v>9.0210000000000008</v>
      </c>
      <c r="E11" s="19">
        <v>9.3350000000000009</v>
      </c>
      <c r="F11" s="19">
        <v>9.2279999999999998</v>
      </c>
      <c r="G11" s="19">
        <f t="shared" si="0"/>
        <v>51.036116044997044</v>
      </c>
      <c r="H11" s="19">
        <f t="shared" si="1"/>
        <v>0.88605610659074197</v>
      </c>
    </row>
    <row r="12" spans="1:8">
      <c r="A12" s="16">
        <v>4</v>
      </c>
      <c r="B12" s="64">
        <v>6</v>
      </c>
      <c r="C12" s="16">
        <v>1</v>
      </c>
      <c r="D12" s="19">
        <v>8.952</v>
      </c>
      <c r="E12" s="19">
        <v>9.3030000000000008</v>
      </c>
      <c r="F12" s="19">
        <v>8.9499999999999993</v>
      </c>
      <c r="G12" s="19">
        <f t="shared" si="0"/>
        <v>50.334887507400836</v>
      </c>
      <c r="H12" s="19">
        <f t="shared" si="1"/>
        <v>1.1280514822341214</v>
      </c>
    </row>
    <row r="13" spans="1:8">
      <c r="A13" s="16">
        <v>5</v>
      </c>
      <c r="B13" s="64">
        <v>7.333333333333333</v>
      </c>
      <c r="C13" s="16">
        <v>1</v>
      </c>
      <c r="D13" s="19">
        <v>9.0719999999999992</v>
      </c>
      <c r="E13" s="19">
        <v>9.2629999999999999</v>
      </c>
      <c r="F13" s="19">
        <v>9.08</v>
      </c>
      <c r="G13" s="19">
        <f t="shared" si="0"/>
        <v>50.723431024274724</v>
      </c>
      <c r="H13" s="19">
        <f t="shared" si="1"/>
        <v>0.59968124643910636</v>
      </c>
    </row>
    <row r="14" spans="1:8">
      <c r="A14" s="16">
        <v>6</v>
      </c>
      <c r="B14" s="64">
        <v>8.6666666666666661</v>
      </c>
      <c r="C14" s="16">
        <v>1</v>
      </c>
      <c r="D14" s="19">
        <v>8.7720000000000002</v>
      </c>
      <c r="E14" s="19">
        <v>8.9369999999999994</v>
      </c>
      <c r="F14" s="19">
        <v>8.9450000000000003</v>
      </c>
      <c r="G14" s="19">
        <f t="shared" si="0"/>
        <v>49.315423327412667</v>
      </c>
      <c r="H14" s="19">
        <f t="shared" si="1"/>
        <v>0.54204125024490779</v>
      </c>
    </row>
    <row r="15" spans="1:8">
      <c r="A15" s="16">
        <v>7</v>
      </c>
      <c r="B15" s="64">
        <v>10</v>
      </c>
      <c r="C15" s="16">
        <v>1</v>
      </c>
      <c r="D15" s="19">
        <v>8.5660000000000007</v>
      </c>
      <c r="E15" s="19">
        <v>8.7279999999999998</v>
      </c>
      <c r="F15" s="19">
        <v>8.7010000000000005</v>
      </c>
      <c r="G15" s="19">
        <f t="shared" si="0"/>
        <v>48.096136767317951</v>
      </c>
      <c r="H15" s="19">
        <f t="shared" si="1"/>
        <v>0.48175431199453927</v>
      </c>
    </row>
    <row r="16" spans="1:8">
      <c r="A16" s="16">
        <v>8</v>
      </c>
      <c r="B16" s="64">
        <v>11.333333333333334</v>
      </c>
      <c r="C16" s="16">
        <v>1</v>
      </c>
      <c r="D16" s="79">
        <v>7.3310000000000004</v>
      </c>
      <c r="E16" s="79">
        <v>7.367</v>
      </c>
      <c r="F16" s="79">
        <v>7.4039999999999999</v>
      </c>
      <c r="G16" s="19">
        <f t="shared" si="0"/>
        <v>40.893280047365309</v>
      </c>
      <c r="H16" s="19">
        <f t="shared" si="1"/>
        <v>0.20260402716840842</v>
      </c>
    </row>
    <row r="17" spans="1:8">
      <c r="A17" s="16">
        <v>9</v>
      </c>
      <c r="B17" s="64">
        <v>12.666666666666666</v>
      </c>
      <c r="C17" s="16">
        <v>1</v>
      </c>
      <c r="D17" s="79">
        <v>4.1459999999999999</v>
      </c>
      <c r="E17" s="79">
        <v>3.9620000000000002</v>
      </c>
      <c r="F17" s="79">
        <v>4.149</v>
      </c>
      <c r="G17" s="19">
        <f t="shared" si="0"/>
        <v>22.677989934872709</v>
      </c>
      <c r="H17" s="19">
        <f t="shared" si="1"/>
        <v>0.59452141857706986</v>
      </c>
    </row>
    <row r="18" spans="1:8">
      <c r="A18" s="16">
        <v>10</v>
      </c>
      <c r="B18" s="64">
        <v>14</v>
      </c>
      <c r="C18" s="16">
        <v>1</v>
      </c>
      <c r="D18" s="79">
        <v>0.77900000000000003</v>
      </c>
      <c r="E18" s="79">
        <v>0.8</v>
      </c>
      <c r="F18" s="79">
        <v>0.80900000000000005</v>
      </c>
      <c r="G18" s="19">
        <f t="shared" ref="G18:G23" si="2">(C18*1000*AVERAGE(D18:F18))/$B$2</f>
        <v>4.4182948490230913</v>
      </c>
      <c r="H18" s="19">
        <f t="shared" ref="H18:H23" si="3">(C18*1000*STDEV(D18:F18))/$B$2</f>
        <v>8.5450734449049007E-2</v>
      </c>
    </row>
    <row r="19" spans="1:8">
      <c r="A19" s="16">
        <v>11</v>
      </c>
      <c r="B19" s="64">
        <v>15.333333333333334</v>
      </c>
      <c r="C19" s="16">
        <v>1</v>
      </c>
      <c r="D19" s="74">
        <v>0.22500000000000001</v>
      </c>
      <c r="E19" s="74">
        <v>0.22700000000000001</v>
      </c>
      <c r="F19" s="74">
        <v>0.219</v>
      </c>
      <c r="G19" s="19">
        <f t="shared" si="2"/>
        <v>1.2414890467732387</v>
      </c>
      <c r="H19" s="19">
        <f t="shared" si="3"/>
        <v>2.3109080811124942E-2</v>
      </c>
    </row>
    <row r="20" spans="1:8">
      <c r="A20" s="16">
        <v>12</v>
      </c>
      <c r="B20" s="64">
        <v>16.666666666666668</v>
      </c>
      <c r="C20" s="16">
        <v>1</v>
      </c>
      <c r="D20" s="74">
        <v>0</v>
      </c>
      <c r="E20" s="74">
        <v>0</v>
      </c>
      <c r="F20" s="74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4">
        <v>18</v>
      </c>
      <c r="C21" s="16">
        <v>1</v>
      </c>
      <c r="D21" s="74">
        <v>0</v>
      </c>
      <c r="E21" s="74">
        <v>0</v>
      </c>
      <c r="F21" s="74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4">
        <v>24</v>
      </c>
      <c r="C22" s="16">
        <v>1</v>
      </c>
      <c r="D22" s="74">
        <v>0</v>
      </c>
      <c r="E22" s="74">
        <v>0</v>
      </c>
      <c r="F22" s="74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4">
        <v>30</v>
      </c>
      <c r="C23" s="16">
        <v>1</v>
      </c>
      <c r="D23" s="74">
        <v>0</v>
      </c>
      <c r="E23" s="74">
        <v>0</v>
      </c>
      <c r="F23" s="74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4">
        <v>48</v>
      </c>
      <c r="C24" s="16">
        <v>1</v>
      </c>
      <c r="D24" s="74">
        <v>0</v>
      </c>
      <c r="E24" s="74">
        <v>0</v>
      </c>
      <c r="F24" s="74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61" t="s">
        <v>65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8" t="s">
        <v>4</v>
      </c>
      <c r="B6" s="28" t="s">
        <v>60</v>
      </c>
      <c r="C6" s="28" t="s">
        <v>19</v>
      </c>
      <c r="D6" s="166"/>
      <c r="E6" s="166"/>
      <c r="F6" s="166"/>
      <c r="G6" s="168"/>
      <c r="H6" s="168"/>
    </row>
    <row r="7" spans="1:8">
      <c r="A7" s="65">
        <v>0</v>
      </c>
      <c r="B7" s="62">
        <v>-0.16666666666666666</v>
      </c>
      <c r="C7" s="16">
        <v>1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6">
        <v>0</v>
      </c>
      <c r="B8" s="64">
        <v>0.16666666666666666</v>
      </c>
      <c r="C8" s="16">
        <v>1</v>
      </c>
      <c r="D8" s="55">
        <v>0.126</v>
      </c>
      <c r="E8" s="55">
        <v>0.13700000000000001</v>
      </c>
      <c r="F8" s="55">
        <v>0.14000000000000001</v>
      </c>
      <c r="G8" s="16">
        <f t="shared" ref="G8:G10" si="1">(C8*1000*AVERAGE(D8:F8))/$B$2</f>
        <v>2.9183865594901879</v>
      </c>
      <c r="H8" s="19">
        <f t="shared" si="0"/>
        <v>0.16013718869936996</v>
      </c>
    </row>
    <row r="9" spans="1:8">
      <c r="A9" s="66">
        <v>1</v>
      </c>
      <c r="B9" s="64">
        <v>2</v>
      </c>
      <c r="C9" s="16">
        <v>1</v>
      </c>
      <c r="D9" s="55">
        <v>0.14099999999999999</v>
      </c>
      <c r="E9" s="55">
        <v>0.14000000000000001</v>
      </c>
      <c r="F9" s="55">
        <v>0.13800000000000001</v>
      </c>
      <c r="G9" s="16">
        <f t="shared" si="1"/>
        <v>3.0342530233905429</v>
      </c>
      <c r="H9" s="19">
        <f t="shared" si="0"/>
        <v>3.3185427583140033E-2</v>
      </c>
    </row>
    <row r="10" spans="1:8">
      <c r="A10" s="66">
        <v>2</v>
      </c>
      <c r="B10" s="64">
        <v>3.3333333333333335</v>
      </c>
      <c r="C10" s="16">
        <v>1</v>
      </c>
      <c r="D10" s="55">
        <v>0.14199999999999999</v>
      </c>
      <c r="E10" s="55">
        <v>0.14099999999999999</v>
      </c>
      <c r="F10" s="55">
        <v>0.13900000000000001</v>
      </c>
      <c r="G10" s="16">
        <f t="shared" si="1"/>
        <v>3.0559779853718587</v>
      </c>
      <c r="H10" s="19">
        <f t="shared" ref="H10:H23" si="2">(C10*1000*STDEV(D10:F10))/$B$2</f>
        <v>3.318542758313997E-2</v>
      </c>
    </row>
    <row r="11" spans="1:8">
      <c r="A11" s="66">
        <v>3</v>
      </c>
      <c r="B11" s="64">
        <v>4.666666666666667</v>
      </c>
      <c r="C11" s="16">
        <v>1</v>
      </c>
      <c r="D11" s="55">
        <v>0.13200000000000001</v>
      </c>
      <c r="E11" s="55">
        <v>0.13700000000000001</v>
      </c>
      <c r="F11" s="55">
        <v>0.14099999999999999</v>
      </c>
      <c r="G11" s="16">
        <f t="shared" ref="G11:G23" si="3">(C11*1000*AVERAGE(D11:F11))/$B$2</f>
        <v>2.9690781374465933</v>
      </c>
      <c r="H11" s="19">
        <f t="shared" si="2"/>
        <v>9.7963279444338136E-2</v>
      </c>
    </row>
    <row r="12" spans="1:8">
      <c r="A12" s="66">
        <v>4</v>
      </c>
      <c r="B12" s="64">
        <v>6</v>
      </c>
      <c r="C12" s="16">
        <v>1</v>
      </c>
      <c r="D12" s="55">
        <v>0.13900000000000001</v>
      </c>
      <c r="E12" s="55">
        <v>0.14099999999999999</v>
      </c>
      <c r="F12" s="55">
        <v>0.13400000000000001</v>
      </c>
      <c r="G12" s="16">
        <f t="shared" si="3"/>
        <v>2.9980447534216816</v>
      </c>
      <c r="H12" s="19">
        <f t="shared" si="2"/>
        <v>7.8330464381142315E-2</v>
      </c>
    </row>
    <row r="13" spans="1:8">
      <c r="A13" s="66">
        <v>5</v>
      </c>
      <c r="B13" s="64">
        <v>7.333333333333333</v>
      </c>
      <c r="C13" s="16">
        <v>1</v>
      </c>
      <c r="D13" s="55">
        <v>0.14799999999999999</v>
      </c>
      <c r="E13" s="55">
        <v>0.16800000000000001</v>
      </c>
      <c r="F13" s="55">
        <v>0.152</v>
      </c>
      <c r="G13" s="16">
        <f t="shared" si="3"/>
        <v>3.3890940690853788</v>
      </c>
      <c r="H13" s="19">
        <f t="shared" si="2"/>
        <v>0.2299153865795866</v>
      </c>
    </row>
    <row r="14" spans="1:8">
      <c r="A14" s="66">
        <v>6</v>
      </c>
      <c r="B14" s="64">
        <v>8.6666666666666661</v>
      </c>
      <c r="C14" s="16">
        <v>1</v>
      </c>
      <c r="D14" s="55">
        <v>0.159</v>
      </c>
      <c r="E14" s="55">
        <v>0.16600000000000001</v>
      </c>
      <c r="F14" s="55">
        <v>0.16200000000000001</v>
      </c>
      <c r="G14" s="16">
        <f t="shared" si="3"/>
        <v>3.5266854949670505</v>
      </c>
      <c r="H14" s="19">
        <f t="shared" si="2"/>
        <v>7.6295559076346928E-2</v>
      </c>
    </row>
    <row r="15" spans="1:8">
      <c r="A15" s="66">
        <v>7</v>
      </c>
      <c r="B15" s="64">
        <v>10</v>
      </c>
      <c r="C15" s="16">
        <v>1</v>
      </c>
      <c r="D15" s="55">
        <v>0.188</v>
      </c>
      <c r="E15" s="55">
        <v>0.188</v>
      </c>
      <c r="F15" s="55">
        <v>0.186</v>
      </c>
      <c r="G15" s="16">
        <f t="shared" si="3"/>
        <v>4.0698095444999636</v>
      </c>
      <c r="H15" s="19">
        <f t="shared" si="2"/>
        <v>2.5085825296094995E-2</v>
      </c>
    </row>
    <row r="16" spans="1:8">
      <c r="A16" s="66">
        <v>8</v>
      </c>
      <c r="B16" s="64">
        <v>11.333333333333334</v>
      </c>
      <c r="C16" s="16">
        <v>1</v>
      </c>
      <c r="D16" s="55">
        <v>0.13400000000000001</v>
      </c>
      <c r="E16" s="55">
        <v>0.13400000000000001</v>
      </c>
      <c r="F16" s="55">
        <v>0.13400000000000001</v>
      </c>
      <c r="G16" s="16">
        <f t="shared" si="3"/>
        <v>2.9111449054964154</v>
      </c>
      <c r="H16" s="19">
        <f t="shared" si="2"/>
        <v>0</v>
      </c>
    </row>
    <row r="17" spans="1:8">
      <c r="A17" s="66">
        <v>9</v>
      </c>
      <c r="B17" s="64">
        <v>12.666666666666666</v>
      </c>
      <c r="C17" s="16">
        <v>1</v>
      </c>
      <c r="D17" s="55">
        <v>0.111</v>
      </c>
      <c r="E17" s="55">
        <v>0.10199999999999999</v>
      </c>
      <c r="F17" s="55">
        <v>0.111</v>
      </c>
      <c r="G17" s="16">
        <f t="shared" si="3"/>
        <v>2.3462958939821856</v>
      </c>
      <c r="H17" s="19">
        <f t="shared" si="2"/>
        <v>0.11288621383242747</v>
      </c>
    </row>
    <row r="18" spans="1:8">
      <c r="A18" s="66">
        <v>10</v>
      </c>
      <c r="B18" s="64">
        <v>14</v>
      </c>
      <c r="C18" s="16">
        <v>1</v>
      </c>
      <c r="D18" s="55">
        <v>0.16200000000000001</v>
      </c>
      <c r="E18" s="55">
        <v>0.16500000000000001</v>
      </c>
      <c r="F18" s="55">
        <v>0.16800000000000001</v>
      </c>
      <c r="G18" s="16">
        <f t="shared" si="3"/>
        <v>3.5846187269172276</v>
      </c>
      <c r="H18" s="19">
        <f t="shared" si="2"/>
        <v>6.5174885943949656E-2</v>
      </c>
    </row>
    <row r="19" spans="1:8">
      <c r="A19" s="66">
        <v>11</v>
      </c>
      <c r="B19" s="64">
        <v>15.333333333333334</v>
      </c>
      <c r="C19" s="16">
        <v>1</v>
      </c>
      <c r="D19" s="55">
        <v>0.11600000000000001</v>
      </c>
      <c r="E19" s="55">
        <v>0.123</v>
      </c>
      <c r="F19" s="55">
        <v>0.11600000000000001</v>
      </c>
      <c r="G19" s="16">
        <f t="shared" si="3"/>
        <v>2.5707871677891228</v>
      </c>
      <c r="H19" s="19">
        <f t="shared" si="2"/>
        <v>8.7800388536332305E-2</v>
      </c>
    </row>
    <row r="20" spans="1:8">
      <c r="A20" s="66">
        <v>12</v>
      </c>
      <c r="B20" s="64">
        <v>16.666666666666668</v>
      </c>
      <c r="C20" s="16">
        <v>1</v>
      </c>
      <c r="D20" s="55">
        <v>6.3E-2</v>
      </c>
      <c r="E20" s="55">
        <v>5.8000000000000003E-2</v>
      </c>
      <c r="F20" s="55">
        <v>5.3999999999999999E-2</v>
      </c>
      <c r="G20" s="16">
        <f t="shared" si="3"/>
        <v>1.267289448910131</v>
      </c>
      <c r="H20" s="19">
        <f t="shared" si="2"/>
        <v>9.7963279444338372E-2</v>
      </c>
    </row>
    <row r="21" spans="1:8">
      <c r="A21" s="66">
        <v>13</v>
      </c>
      <c r="B21" s="64">
        <v>18</v>
      </c>
      <c r="C21" s="16">
        <v>1</v>
      </c>
      <c r="D21" s="55">
        <v>0</v>
      </c>
      <c r="E21" s="55">
        <v>0</v>
      </c>
      <c r="F21" s="55">
        <v>0</v>
      </c>
      <c r="G21" s="16">
        <f t="shared" si="3"/>
        <v>0</v>
      </c>
      <c r="H21" s="19">
        <f t="shared" si="2"/>
        <v>0</v>
      </c>
    </row>
    <row r="22" spans="1:8">
      <c r="A22" s="66">
        <v>14</v>
      </c>
      <c r="B22" s="64">
        <v>24</v>
      </c>
      <c r="C22" s="16">
        <v>1</v>
      </c>
      <c r="D22" s="55">
        <v>0</v>
      </c>
      <c r="E22" s="55">
        <v>0</v>
      </c>
      <c r="F22" s="55">
        <v>0</v>
      </c>
      <c r="G22" s="16">
        <f t="shared" si="3"/>
        <v>0</v>
      </c>
      <c r="H22" s="19">
        <f t="shared" si="2"/>
        <v>0</v>
      </c>
    </row>
    <row r="23" spans="1:8">
      <c r="A23" s="66">
        <v>15</v>
      </c>
      <c r="B23" s="64">
        <v>30</v>
      </c>
      <c r="C23" s="16">
        <v>1</v>
      </c>
      <c r="D23" s="55">
        <v>0</v>
      </c>
      <c r="E23" s="55">
        <v>0</v>
      </c>
      <c r="F23" s="55">
        <v>0</v>
      </c>
      <c r="G23" s="16">
        <f t="shared" si="3"/>
        <v>0</v>
      </c>
      <c r="H23" s="19">
        <f t="shared" si="2"/>
        <v>0</v>
      </c>
    </row>
    <row r="24" spans="1:8">
      <c r="A24" s="66">
        <v>16</v>
      </c>
      <c r="B24" s="64">
        <v>48</v>
      </c>
      <c r="C24" s="16">
        <v>1</v>
      </c>
      <c r="D24" s="55">
        <v>0</v>
      </c>
      <c r="E24" s="55">
        <v>0</v>
      </c>
      <c r="F24" s="55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61" t="s">
        <v>43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2" t="s">
        <v>4</v>
      </c>
      <c r="B6" s="22" t="s">
        <v>60</v>
      </c>
      <c r="C6" s="22" t="s">
        <v>19</v>
      </c>
      <c r="D6" s="166"/>
      <c r="E6" s="166"/>
      <c r="F6" s="166"/>
      <c r="G6" s="168"/>
      <c r="H6" s="168"/>
    </row>
    <row r="7" spans="1:8">
      <c r="A7" s="65">
        <v>0</v>
      </c>
      <c r="B7" s="62">
        <v>-0.16666666666666666</v>
      </c>
      <c r="C7" s="16">
        <v>1</v>
      </c>
      <c r="D7" s="74">
        <v>6.0999999999999999E-2</v>
      </c>
      <c r="E7" s="74">
        <v>6.4000000000000001E-2</v>
      </c>
      <c r="F7" s="74">
        <v>8.7999999999999995E-2</v>
      </c>
      <c r="G7" s="16">
        <f>(C7*1000*AVERAGE(D7:F7))/$B$2</f>
        <v>1.1823480432972524</v>
      </c>
      <c r="H7" s="19">
        <f>(C7*1000*STDEV(D7:F7))/$B$2</f>
        <v>0.2464387774679222</v>
      </c>
    </row>
    <row r="8" spans="1:8">
      <c r="A8" s="66">
        <v>0</v>
      </c>
      <c r="B8" s="64">
        <v>0.16666666666666666</v>
      </c>
      <c r="C8" s="16">
        <v>1</v>
      </c>
      <c r="D8" s="74">
        <v>0.124</v>
      </c>
      <c r="E8" s="74">
        <v>0.11799999999999999</v>
      </c>
      <c r="F8" s="74">
        <v>0.109</v>
      </c>
      <c r="G8" s="16">
        <f t="shared" ref="G8:G17" si="0">(C8*1000*AVERAGE(D8:F8))/$B$2</f>
        <v>1.9483763530391343</v>
      </c>
      <c r="H8" s="19">
        <f t="shared" ref="H8:H17" si="1">(C8*1000*STDEV(D8:F8))/$B$2</f>
        <v>0.12572580241916317</v>
      </c>
    </row>
    <row r="9" spans="1:8">
      <c r="A9" s="66">
        <v>1</v>
      </c>
      <c r="B9" s="64">
        <v>2</v>
      </c>
      <c r="C9" s="16">
        <v>1</v>
      </c>
      <c r="D9" s="74">
        <v>0.1</v>
      </c>
      <c r="E9" s="74">
        <v>0.13100000000000001</v>
      </c>
      <c r="F9" s="74">
        <v>0.106</v>
      </c>
      <c r="G9" s="16">
        <f t="shared" si="0"/>
        <v>1.8706633361087985</v>
      </c>
      <c r="H9" s="19">
        <f t="shared" si="1"/>
        <v>0.27380210835722379</v>
      </c>
    </row>
    <row r="10" spans="1:8">
      <c r="A10" s="66">
        <v>2</v>
      </c>
      <c r="B10" s="64">
        <v>3.3333333333333335</v>
      </c>
      <c r="C10" s="16">
        <v>1</v>
      </c>
      <c r="D10" s="74">
        <v>0.13200000000000001</v>
      </c>
      <c r="E10" s="74">
        <v>9.5000000000000001E-2</v>
      </c>
      <c r="F10" s="74">
        <v>0.10199999999999999</v>
      </c>
      <c r="G10" s="16">
        <f t="shared" si="0"/>
        <v>1.8262558978628922</v>
      </c>
      <c r="H10" s="19">
        <f t="shared" si="1"/>
        <v>0.32731663586579068</v>
      </c>
    </row>
    <row r="11" spans="1:8">
      <c r="A11" s="66">
        <v>3</v>
      </c>
      <c r="B11" s="64">
        <v>4.666666666666667</v>
      </c>
      <c r="C11" s="16">
        <v>1</v>
      </c>
      <c r="D11" s="74">
        <v>0.112</v>
      </c>
      <c r="E11" s="74">
        <v>0.114</v>
      </c>
      <c r="F11" s="74">
        <v>0.11600000000000001</v>
      </c>
      <c r="G11" s="16">
        <f t="shared" si="0"/>
        <v>1.8984179850124896</v>
      </c>
      <c r="H11" s="19">
        <f t="shared" si="1"/>
        <v>3.3305578684429675E-2</v>
      </c>
    </row>
    <row r="12" spans="1:8">
      <c r="A12" s="66">
        <v>4</v>
      </c>
      <c r="B12" s="64">
        <v>6</v>
      </c>
      <c r="C12" s="16">
        <v>1</v>
      </c>
      <c r="D12" s="74">
        <v>0.114</v>
      </c>
      <c r="E12" s="74">
        <v>0.12</v>
      </c>
      <c r="F12" s="74">
        <v>0.109</v>
      </c>
      <c r="G12" s="16">
        <f t="shared" si="0"/>
        <v>1.9039689147932279</v>
      </c>
      <c r="H12" s="19">
        <f t="shared" si="1"/>
        <v>9.1716412111342224E-2</v>
      </c>
    </row>
    <row r="13" spans="1:8">
      <c r="A13" s="66">
        <v>5</v>
      </c>
      <c r="B13" s="64">
        <v>7.333333333333333</v>
      </c>
      <c r="C13" s="16">
        <v>1</v>
      </c>
      <c r="D13" s="74">
        <v>0.11600000000000001</v>
      </c>
      <c r="E13" s="74">
        <v>0.122</v>
      </c>
      <c r="F13" s="74">
        <v>0.129</v>
      </c>
      <c r="G13" s="16">
        <f t="shared" si="0"/>
        <v>2.0371912295309467</v>
      </c>
      <c r="H13" s="19">
        <f t="shared" si="1"/>
        <v>0.10834982678847148</v>
      </c>
    </row>
    <row r="14" spans="1:8">
      <c r="A14" s="66">
        <v>6</v>
      </c>
      <c r="B14" s="64">
        <v>8.6666666666666661</v>
      </c>
      <c r="C14" s="16">
        <v>1</v>
      </c>
      <c r="D14" s="74">
        <v>0.17299999999999999</v>
      </c>
      <c r="E14" s="74">
        <v>0.188</v>
      </c>
      <c r="F14" s="74">
        <v>0.182</v>
      </c>
      <c r="G14" s="16">
        <f t="shared" si="0"/>
        <v>3.0141548709408821</v>
      </c>
      <c r="H14" s="19">
        <f t="shared" si="1"/>
        <v>0.12572580241916331</v>
      </c>
    </row>
    <row r="15" spans="1:8">
      <c r="A15" s="66">
        <v>7</v>
      </c>
      <c r="B15" s="64">
        <v>10</v>
      </c>
      <c r="C15" s="16">
        <v>1</v>
      </c>
      <c r="D15" s="19">
        <v>0.32800000000000001</v>
      </c>
      <c r="E15" s="19">
        <v>0.30199999999999999</v>
      </c>
      <c r="F15" s="19">
        <v>0.28399999999999997</v>
      </c>
      <c r="G15" s="16">
        <f t="shared" si="0"/>
        <v>5.0735498195947821</v>
      </c>
      <c r="H15" s="19">
        <f t="shared" si="1"/>
        <v>0.36837435521592171</v>
      </c>
    </row>
    <row r="16" spans="1:8">
      <c r="A16" s="66">
        <v>8</v>
      </c>
      <c r="B16" s="64">
        <v>11.333333333333334</v>
      </c>
      <c r="C16" s="16">
        <v>1</v>
      </c>
      <c r="D16" s="19">
        <v>0.73299999999999998</v>
      </c>
      <c r="E16" s="19">
        <v>0.76300000000000001</v>
      </c>
      <c r="F16" s="19">
        <v>0.79400000000000004</v>
      </c>
      <c r="G16" s="16">
        <f t="shared" si="0"/>
        <v>12.711629197890646</v>
      </c>
      <c r="H16" s="19">
        <f t="shared" si="1"/>
        <v>0.50793282414030227</v>
      </c>
    </row>
    <row r="17" spans="1:8">
      <c r="A17" s="66">
        <v>9</v>
      </c>
      <c r="B17" s="64">
        <v>12.666666666666666</v>
      </c>
      <c r="C17" s="16">
        <v>1</v>
      </c>
      <c r="D17" s="19">
        <v>1.9630000000000001</v>
      </c>
      <c r="E17" s="19">
        <v>1.913</v>
      </c>
      <c r="F17" s="19">
        <v>1.992</v>
      </c>
      <c r="G17" s="16">
        <f t="shared" si="0"/>
        <v>32.572855953372198</v>
      </c>
      <c r="H17" s="19">
        <f t="shared" si="1"/>
        <v>0.6654868010886954</v>
      </c>
    </row>
    <row r="18" spans="1:8">
      <c r="A18" s="66">
        <v>10</v>
      </c>
      <c r="B18" s="64">
        <v>14</v>
      </c>
      <c r="C18" s="16">
        <v>1</v>
      </c>
      <c r="D18" s="19">
        <v>2.7530000000000001</v>
      </c>
      <c r="E18" s="19">
        <v>2.8220000000000001</v>
      </c>
      <c r="F18" s="19">
        <v>2.8079999999999998</v>
      </c>
      <c r="G18" s="16">
        <f t="shared" ref="G18:G23" si="2">(C18*1000*AVERAGE(D18:F18))/$B$2</f>
        <v>46.533444351928942</v>
      </c>
      <c r="H18" s="19">
        <f t="shared" ref="H18:H23" si="3">(C18*1000*STDEV(D18:F18))/$B$2</f>
        <v>0.6073894228496366</v>
      </c>
    </row>
    <row r="19" spans="1:8">
      <c r="A19" s="66">
        <v>11</v>
      </c>
      <c r="B19" s="64">
        <v>15.333333333333334</v>
      </c>
      <c r="C19" s="16">
        <v>1</v>
      </c>
      <c r="D19" s="19">
        <v>2.8780000000000001</v>
      </c>
      <c r="E19" s="19">
        <v>2.9079999999999999</v>
      </c>
      <c r="F19" s="19">
        <v>2.8620000000000001</v>
      </c>
      <c r="G19" s="16">
        <f t="shared" si="2"/>
        <v>48.004440743824588</v>
      </c>
      <c r="H19" s="19">
        <f t="shared" si="3"/>
        <v>0.3888821512769785</v>
      </c>
    </row>
    <row r="20" spans="1:8">
      <c r="A20" s="66">
        <v>12</v>
      </c>
      <c r="B20" s="64">
        <v>16.666666666666668</v>
      </c>
      <c r="C20" s="16">
        <v>1</v>
      </c>
      <c r="D20" s="19">
        <v>2.891</v>
      </c>
      <c r="E20" s="19">
        <v>2.9289999999999998</v>
      </c>
      <c r="F20" s="19">
        <v>2.8490000000000002</v>
      </c>
      <c r="G20" s="16">
        <f t="shared" si="2"/>
        <v>48.1210102692201</v>
      </c>
      <c r="H20" s="19">
        <f t="shared" si="3"/>
        <v>0.66638906237952145</v>
      </c>
    </row>
    <row r="21" spans="1:8">
      <c r="A21" s="66">
        <v>13</v>
      </c>
      <c r="B21" s="64">
        <v>18</v>
      </c>
      <c r="C21" s="16">
        <v>1</v>
      </c>
      <c r="D21" s="19">
        <v>2.81</v>
      </c>
      <c r="E21" s="19">
        <v>2.823</v>
      </c>
      <c r="F21" s="19">
        <v>2.8159999999999998</v>
      </c>
      <c r="G21" s="16">
        <f t="shared" si="2"/>
        <v>46.899805717457674</v>
      </c>
      <c r="H21" s="19">
        <f t="shared" si="3"/>
        <v>0.10834982678847073</v>
      </c>
    </row>
    <row r="22" spans="1:8">
      <c r="A22" s="66">
        <v>14</v>
      </c>
      <c r="B22" s="64">
        <v>24</v>
      </c>
      <c r="C22" s="16">
        <v>1</v>
      </c>
      <c r="D22" s="19">
        <v>2.9540000000000002</v>
      </c>
      <c r="E22" s="19">
        <v>2.9980000000000002</v>
      </c>
      <c r="F22" s="19">
        <v>3.0059999999999998</v>
      </c>
      <c r="G22" s="16">
        <f t="shared" si="2"/>
        <v>49.725228975853454</v>
      </c>
      <c r="H22" s="19">
        <f t="shared" si="3"/>
        <v>0.46627810158201283</v>
      </c>
    </row>
    <row r="23" spans="1:8">
      <c r="A23" s="66">
        <v>15</v>
      </c>
      <c r="B23" s="64">
        <v>30</v>
      </c>
      <c r="C23" s="16">
        <v>1</v>
      </c>
      <c r="D23" s="19">
        <v>2.8969999999999998</v>
      </c>
      <c r="E23" s="19">
        <v>2.948</v>
      </c>
      <c r="F23" s="19">
        <v>2.887</v>
      </c>
      <c r="G23" s="16">
        <f t="shared" si="2"/>
        <v>48.470718845406608</v>
      </c>
      <c r="H23" s="19">
        <f t="shared" si="3"/>
        <v>0.54481181048304084</v>
      </c>
    </row>
    <row r="24" spans="1:8">
      <c r="A24" s="66">
        <v>16</v>
      </c>
      <c r="B24" s="64">
        <v>48</v>
      </c>
      <c r="C24" s="16">
        <v>1</v>
      </c>
      <c r="D24" s="19">
        <v>2.9660000000000002</v>
      </c>
      <c r="E24" s="19">
        <v>2.9729999999999999</v>
      </c>
      <c r="F24" s="19" t="s">
        <v>327</v>
      </c>
      <c r="G24" s="16">
        <f t="shared" ref="G24" si="4">(C24*1000*AVERAGE(D24:F24))/$B$2</f>
        <v>49.450457951706916</v>
      </c>
      <c r="H24" s="19">
        <f t="shared" ref="H24" si="5">(C24*1000*STDEV(D24:F24))/$B$2</f>
        <v>8.2427101886854315E-2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15" sqref="G15:G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3" t="s">
        <v>4</v>
      </c>
      <c r="B1" s="133" t="s">
        <v>117</v>
      </c>
      <c r="C1" s="133" t="s">
        <v>117</v>
      </c>
      <c r="D1" s="133" t="s">
        <v>5</v>
      </c>
      <c r="E1" s="4" t="s">
        <v>7</v>
      </c>
      <c r="F1" s="4" t="s">
        <v>9</v>
      </c>
      <c r="G1" s="132" t="s">
        <v>11</v>
      </c>
      <c r="H1" s="132" t="s">
        <v>12</v>
      </c>
      <c r="I1" s="4" t="s">
        <v>13</v>
      </c>
      <c r="J1" s="4" t="s">
        <v>16</v>
      </c>
      <c r="K1" s="4" t="s">
        <v>16</v>
      </c>
    </row>
    <row r="2" spans="1:11">
      <c r="A2" s="134"/>
      <c r="B2" s="134"/>
      <c r="C2" s="134"/>
      <c r="D2" s="134"/>
      <c r="E2" s="5" t="s">
        <v>8</v>
      </c>
      <c r="F2" s="5" t="s">
        <v>10</v>
      </c>
      <c r="G2" s="132"/>
      <c r="H2" s="132"/>
      <c r="I2" s="5" t="s">
        <v>14</v>
      </c>
      <c r="J2" s="5" t="s">
        <v>17</v>
      </c>
      <c r="K2" s="5" t="s">
        <v>141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55</v>
      </c>
      <c r="F3" s="1">
        <f>E3</f>
        <v>55</v>
      </c>
      <c r="G3" s="1">
        <v>0</v>
      </c>
      <c r="H3" s="1">
        <v>0</v>
      </c>
      <c r="I3" s="1">
        <f>$F$22+G3+H3</f>
        <v>1500</v>
      </c>
      <c r="J3" s="13">
        <f>F3*1500/I3</f>
        <v>55</v>
      </c>
      <c r="K3" s="13">
        <f>$F$23-J3</f>
        <v>1528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>
        <v>45</v>
      </c>
      <c r="F4" s="1">
        <f>E4+F3</f>
        <v>100</v>
      </c>
      <c r="G4" s="40">
        <v>0</v>
      </c>
      <c r="H4" s="40">
        <v>0</v>
      </c>
      <c r="I4" s="1">
        <f t="shared" ref="I4:I20" si="1">$F$23-F3+G4+H4</f>
        <v>1528</v>
      </c>
      <c r="J4" s="13">
        <f>E4*K3/I4</f>
        <v>45</v>
      </c>
      <c r="K4" s="13">
        <f>K3-J4</f>
        <v>1483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49</v>
      </c>
      <c r="F5" s="1">
        <f t="shared" ref="F5:F18" si="2">E5+F4</f>
        <v>149</v>
      </c>
      <c r="G5" s="40">
        <v>0</v>
      </c>
      <c r="H5" s="40">
        <v>0</v>
      </c>
      <c r="I5" s="40">
        <f>$F$23-F4+G5+H5</f>
        <v>1483</v>
      </c>
      <c r="J5" s="13">
        <f>E5*K4/I5</f>
        <v>49</v>
      </c>
      <c r="K5" s="13">
        <f>K4-J5</f>
        <v>1434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65</v>
      </c>
      <c r="F6" s="1">
        <f t="shared" si="2"/>
        <v>214</v>
      </c>
      <c r="G6" s="40">
        <v>0</v>
      </c>
      <c r="H6" s="40">
        <v>0</v>
      </c>
      <c r="I6" s="40">
        <f t="shared" si="1"/>
        <v>1434</v>
      </c>
      <c r="J6" s="13">
        <f>E6*K5/I6</f>
        <v>65</v>
      </c>
      <c r="K6" s="13">
        <f t="shared" ref="K6:K13" si="3">K5-J6</f>
        <v>1369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48</v>
      </c>
      <c r="F7" s="1">
        <f t="shared" si="2"/>
        <v>262</v>
      </c>
      <c r="G7" s="40">
        <v>0</v>
      </c>
      <c r="H7" s="40">
        <v>0</v>
      </c>
      <c r="I7" s="40">
        <f t="shared" si="1"/>
        <v>1369</v>
      </c>
      <c r="J7" s="13">
        <f>E7*K6/I7</f>
        <v>48</v>
      </c>
      <c r="K7" s="13">
        <f>K6-J7</f>
        <v>1321</v>
      </c>
    </row>
    <row r="8" spans="1:11">
      <c r="A8" s="1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">
        <v>48</v>
      </c>
      <c r="F8" s="1">
        <f t="shared" si="2"/>
        <v>310</v>
      </c>
      <c r="G8" s="40">
        <v>0</v>
      </c>
      <c r="H8" s="40">
        <v>0</v>
      </c>
      <c r="I8" s="40">
        <f t="shared" si="1"/>
        <v>1321</v>
      </c>
      <c r="J8" s="13">
        <f t="shared" ref="J8:J13" si="5">E8*K7/I8</f>
        <v>48</v>
      </c>
      <c r="K8" s="13">
        <f t="shared" si="3"/>
        <v>1273</v>
      </c>
    </row>
    <row r="9" spans="1:11">
      <c r="A9" s="1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">
        <v>55</v>
      </c>
      <c r="F9" s="1">
        <f t="shared" si="2"/>
        <v>365</v>
      </c>
      <c r="G9" s="40">
        <v>1</v>
      </c>
      <c r="H9" s="40">
        <v>0</v>
      </c>
      <c r="I9" s="40">
        <f t="shared" si="1"/>
        <v>1274</v>
      </c>
      <c r="J9" s="13">
        <f t="shared" si="5"/>
        <v>54.956828885400313</v>
      </c>
      <c r="K9" s="13">
        <f t="shared" si="3"/>
        <v>1218.0431711145998</v>
      </c>
    </row>
    <row r="10" spans="1:11">
      <c r="A10" s="1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">
        <v>51</v>
      </c>
      <c r="F10" s="1">
        <f t="shared" si="2"/>
        <v>416</v>
      </c>
      <c r="G10" s="40">
        <v>3</v>
      </c>
      <c r="H10" s="40">
        <v>0</v>
      </c>
      <c r="I10" s="40">
        <f t="shared" si="1"/>
        <v>1221</v>
      </c>
      <c r="J10" s="13">
        <f t="shared" si="5"/>
        <v>50.876496090781806</v>
      </c>
      <c r="K10" s="13">
        <f t="shared" si="3"/>
        <v>1167.166675023818</v>
      </c>
    </row>
    <row r="11" spans="1:11">
      <c r="A11" s="1">
        <v>7</v>
      </c>
      <c r="B11" s="32">
        <v>80</v>
      </c>
      <c r="C11" s="32">
        <f t="shared" si="4"/>
        <v>600</v>
      </c>
      <c r="D11" s="13">
        <f t="shared" si="0"/>
        <v>10</v>
      </c>
      <c r="E11" s="1">
        <v>44</v>
      </c>
      <c r="F11" s="1">
        <f t="shared" si="2"/>
        <v>460</v>
      </c>
      <c r="G11" s="40">
        <v>8</v>
      </c>
      <c r="H11" s="40">
        <v>0</v>
      </c>
      <c r="I11" s="40">
        <f t="shared" si="1"/>
        <v>1175</v>
      </c>
      <c r="J11" s="13">
        <f t="shared" si="5"/>
        <v>43.706666979615314</v>
      </c>
      <c r="K11" s="13">
        <f t="shared" si="3"/>
        <v>1123.4600080442026</v>
      </c>
    </row>
    <row r="12" spans="1:11">
      <c r="A12" s="1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">
        <v>47</v>
      </c>
      <c r="F12" s="1">
        <f t="shared" si="2"/>
        <v>507</v>
      </c>
      <c r="G12" s="40">
        <v>17</v>
      </c>
      <c r="H12" s="40">
        <v>0</v>
      </c>
      <c r="I12" s="40">
        <f t="shared" si="1"/>
        <v>1140</v>
      </c>
      <c r="J12" s="13">
        <f t="shared" si="5"/>
        <v>46.3180880509452</v>
      </c>
      <c r="K12" s="13">
        <f t="shared" si="3"/>
        <v>1077.1419199932575</v>
      </c>
    </row>
    <row r="13" spans="1:11">
      <c r="A13" s="1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">
        <v>54</v>
      </c>
      <c r="F13" s="1">
        <f t="shared" si="2"/>
        <v>561</v>
      </c>
      <c r="G13" s="40">
        <v>38</v>
      </c>
      <c r="H13" s="40">
        <v>0</v>
      </c>
      <c r="I13" s="40">
        <f t="shared" si="1"/>
        <v>1114</v>
      </c>
      <c r="J13" s="13">
        <f t="shared" si="5"/>
        <v>52.213342620858079</v>
      </c>
      <c r="K13" s="13">
        <f t="shared" si="3"/>
        <v>1024.9285773723993</v>
      </c>
    </row>
    <row r="14" spans="1:11">
      <c r="A14" s="37">
        <v>10</v>
      </c>
      <c r="B14" s="32">
        <v>80</v>
      </c>
      <c r="C14" s="32">
        <f t="shared" si="4"/>
        <v>840</v>
      </c>
      <c r="D14" s="13">
        <f t="shared" si="0"/>
        <v>14</v>
      </c>
      <c r="E14" s="3">
        <v>46</v>
      </c>
      <c r="F14" s="37">
        <f t="shared" si="2"/>
        <v>607</v>
      </c>
      <c r="G14" s="40">
        <v>58</v>
      </c>
      <c r="H14" s="40">
        <v>0</v>
      </c>
      <c r="I14" s="40">
        <f t="shared" si="1"/>
        <v>1080</v>
      </c>
      <c r="J14" s="13">
        <f t="shared" ref="J14:J19" si="6">E14*K13/I14</f>
        <v>43.654365332528123</v>
      </c>
      <c r="K14" s="13">
        <f t="shared" ref="K14:K19" si="7">K13-J14</f>
        <v>981.27421203987126</v>
      </c>
    </row>
    <row r="15" spans="1:11">
      <c r="A15" s="37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82">
        <v>53</v>
      </c>
      <c r="F15" s="37">
        <f t="shared" si="2"/>
        <v>660</v>
      </c>
      <c r="G15" s="40">
        <v>61</v>
      </c>
      <c r="H15" s="40">
        <v>0</v>
      </c>
      <c r="I15" s="40">
        <f t="shared" si="1"/>
        <v>1037</v>
      </c>
      <c r="J15" s="13">
        <f t="shared" si="6"/>
        <v>50.15191247648329</v>
      </c>
      <c r="K15" s="13">
        <f t="shared" si="7"/>
        <v>931.12229956338797</v>
      </c>
    </row>
    <row r="16" spans="1:11">
      <c r="A16" s="37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37">
        <v>54</v>
      </c>
      <c r="F16" s="37">
        <f t="shared" si="2"/>
        <v>714</v>
      </c>
      <c r="G16" s="40">
        <v>61</v>
      </c>
      <c r="H16" s="40">
        <v>2</v>
      </c>
      <c r="I16" s="40">
        <f t="shared" si="1"/>
        <v>986</v>
      </c>
      <c r="J16" s="13">
        <f t="shared" si="6"/>
        <v>50.994527562295083</v>
      </c>
      <c r="K16" s="13">
        <f t="shared" si="7"/>
        <v>880.12777200109292</v>
      </c>
    </row>
    <row r="17" spans="1:11">
      <c r="A17" s="37">
        <v>13</v>
      </c>
      <c r="B17" s="32">
        <v>80</v>
      </c>
      <c r="C17" s="32">
        <f t="shared" si="4"/>
        <v>1080</v>
      </c>
      <c r="D17" s="13">
        <f t="shared" si="0"/>
        <v>18</v>
      </c>
      <c r="E17" s="37">
        <v>52</v>
      </c>
      <c r="F17" s="37">
        <f t="shared" si="2"/>
        <v>766</v>
      </c>
      <c r="G17" s="40">
        <v>61</v>
      </c>
      <c r="H17" s="40">
        <v>2</v>
      </c>
      <c r="I17" s="40">
        <f t="shared" si="1"/>
        <v>932</v>
      </c>
      <c r="J17" s="13">
        <f t="shared" si="6"/>
        <v>49.105841356284152</v>
      </c>
      <c r="K17" s="13">
        <f t="shared" si="7"/>
        <v>831.02193064480878</v>
      </c>
    </row>
    <row r="18" spans="1:11">
      <c r="A18" s="37">
        <v>14</v>
      </c>
      <c r="B18" s="32">
        <v>360</v>
      </c>
      <c r="C18" s="32">
        <f t="shared" si="4"/>
        <v>1440</v>
      </c>
      <c r="D18" s="13">
        <f t="shared" si="0"/>
        <v>24</v>
      </c>
      <c r="E18" s="37">
        <v>65</v>
      </c>
      <c r="F18" s="37">
        <f t="shared" si="2"/>
        <v>831</v>
      </c>
      <c r="G18" s="40">
        <v>61</v>
      </c>
      <c r="H18" s="40">
        <v>3</v>
      </c>
      <c r="I18" s="40">
        <f t="shared" si="1"/>
        <v>881</v>
      </c>
      <c r="J18" s="13">
        <f t="shared" si="6"/>
        <v>61.312628254157282</v>
      </c>
      <c r="K18" s="13">
        <f t="shared" si="7"/>
        <v>769.70930239065149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 t="shared" si="0"/>
        <v>30</v>
      </c>
      <c r="E19" s="37">
        <v>45</v>
      </c>
      <c r="F19" s="37">
        <f>E19+F18</f>
        <v>876</v>
      </c>
      <c r="G19" s="40">
        <v>61</v>
      </c>
      <c r="H19" s="40">
        <v>3</v>
      </c>
      <c r="I19" s="40">
        <f t="shared" si="1"/>
        <v>816</v>
      </c>
      <c r="J19" s="13">
        <f t="shared" si="6"/>
        <v>42.447204175955051</v>
      </c>
      <c r="K19" s="13">
        <f t="shared" si="7"/>
        <v>727.26209821469638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89</v>
      </c>
      <c r="F20" s="40">
        <f t="shared" ref="F20" si="8">E20+F19</f>
        <v>965</v>
      </c>
      <c r="G20" s="40">
        <v>61</v>
      </c>
      <c r="H20" s="40">
        <v>3</v>
      </c>
      <c r="I20" s="40">
        <f t="shared" si="1"/>
        <v>771</v>
      </c>
      <c r="J20" s="13">
        <f t="shared" ref="J20" si="9">E20*K19/I20</f>
        <v>83.951137147999972</v>
      </c>
      <c r="K20" s="13">
        <f t="shared" ref="K20" si="10">K19-J20</f>
        <v>643.31096106669645</v>
      </c>
    </row>
    <row r="22" spans="1:11">
      <c r="A22" s="129" t="s">
        <v>15</v>
      </c>
      <c r="B22" s="130"/>
      <c r="C22" s="130"/>
      <c r="D22" s="130"/>
      <c r="E22" s="131"/>
      <c r="F22" s="1">
        <v>1500</v>
      </c>
    </row>
    <row r="23" spans="1:11">
      <c r="A23" s="129" t="s">
        <v>15</v>
      </c>
      <c r="B23" s="130"/>
      <c r="C23" s="130"/>
      <c r="D23" s="130"/>
      <c r="E23" s="131"/>
      <c r="F23" s="40">
        <f>F22+75+1+7</f>
        <v>1583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61" t="s">
        <v>67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8" t="s">
        <v>4</v>
      </c>
      <c r="B6" s="28" t="s">
        <v>60</v>
      </c>
      <c r="C6" s="28" t="s">
        <v>19</v>
      </c>
      <c r="D6" s="166"/>
      <c r="E6" s="166"/>
      <c r="F6" s="166"/>
      <c r="G6" s="168"/>
      <c r="H6" s="168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61" t="s">
        <v>66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8" t="s">
        <v>4</v>
      </c>
      <c r="B6" s="28" t="s">
        <v>60</v>
      </c>
      <c r="C6" s="28" t="s">
        <v>19</v>
      </c>
      <c r="D6" s="166"/>
      <c r="E6" s="166"/>
      <c r="F6" s="166"/>
      <c r="G6" s="168"/>
      <c r="H6" s="168"/>
    </row>
    <row r="7" spans="1:8">
      <c r="A7" s="65">
        <v>0</v>
      </c>
      <c r="B7" s="62">
        <v>-0.16666666666666666</v>
      </c>
      <c r="C7" s="16">
        <v>1</v>
      </c>
      <c r="D7" s="80">
        <v>0</v>
      </c>
      <c r="E7" s="81">
        <v>0</v>
      </c>
      <c r="F7" s="81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6">
        <v>0</v>
      </c>
      <c r="B8" s="64">
        <v>0.16666666666666666</v>
      </c>
      <c r="C8" s="16">
        <v>1</v>
      </c>
      <c r="D8" s="80">
        <v>0</v>
      </c>
      <c r="E8" s="81">
        <v>0</v>
      </c>
      <c r="F8" s="81">
        <v>0</v>
      </c>
      <c r="G8" s="16">
        <f>(C8*1000*AVERAGE(D8:F8))/$B$2</f>
        <v>0</v>
      </c>
      <c r="H8" s="19">
        <f t="shared" ref="H8:H17" si="0">(C8*1000*STDEV(D8:F8))/$B$2</f>
        <v>0</v>
      </c>
    </row>
    <row r="9" spans="1:8">
      <c r="A9" s="66">
        <v>1</v>
      </c>
      <c r="B9" s="64">
        <v>2</v>
      </c>
      <c r="C9" s="16">
        <v>1</v>
      </c>
      <c r="D9" s="80">
        <v>0</v>
      </c>
      <c r="E9" s="81">
        <v>0</v>
      </c>
      <c r="F9" s="81">
        <v>0</v>
      </c>
      <c r="G9" s="16">
        <f t="shared" ref="G9:G17" si="1">(C9*1000*AVERAGE(D9:F9))/$B$2</f>
        <v>0</v>
      </c>
      <c r="H9" s="19">
        <f t="shared" si="0"/>
        <v>0</v>
      </c>
    </row>
    <row r="10" spans="1:8">
      <c r="A10" s="66">
        <v>2</v>
      </c>
      <c r="B10" s="64">
        <v>3.3333333333333335</v>
      </c>
      <c r="C10" s="16">
        <v>1</v>
      </c>
      <c r="D10" s="80">
        <v>0</v>
      </c>
      <c r="E10" s="81">
        <v>0</v>
      </c>
      <c r="F10" s="81">
        <v>0</v>
      </c>
      <c r="G10" s="16">
        <f t="shared" si="1"/>
        <v>0</v>
      </c>
      <c r="H10" s="19">
        <f t="shared" si="0"/>
        <v>0</v>
      </c>
    </row>
    <row r="11" spans="1:8">
      <c r="A11" s="66">
        <v>3</v>
      </c>
      <c r="B11" s="64">
        <v>4.666666666666667</v>
      </c>
      <c r="C11" s="16">
        <v>1</v>
      </c>
      <c r="D11" s="80">
        <v>1.2999999999999999E-2</v>
      </c>
      <c r="E11" s="81">
        <v>1.4E-2</v>
      </c>
      <c r="F11" s="81">
        <v>1.2E-2</v>
      </c>
      <c r="G11" s="16">
        <f t="shared" si="1"/>
        <v>0.14754284417205765</v>
      </c>
      <c r="H11" s="19">
        <f t="shared" si="0"/>
        <v>1.1349449551696743E-2</v>
      </c>
    </row>
    <row r="12" spans="1:8">
      <c r="A12" s="66">
        <v>4</v>
      </c>
      <c r="B12" s="64">
        <v>6</v>
      </c>
      <c r="C12" s="16">
        <v>1</v>
      </c>
      <c r="D12" s="80">
        <v>2.3E-2</v>
      </c>
      <c r="E12" s="81">
        <v>2.8000000000000001E-2</v>
      </c>
      <c r="F12" s="81">
        <v>2.1000000000000001E-2</v>
      </c>
      <c r="G12" s="16">
        <f>(C12*1000*AVERAGE(D12:F12))/$B$2</f>
        <v>0.27238678924072185</v>
      </c>
      <c r="H12" s="19">
        <f t="shared" si="0"/>
        <v>4.0921022306934389E-2</v>
      </c>
    </row>
    <row r="13" spans="1:8">
      <c r="A13" s="66">
        <v>5</v>
      </c>
      <c r="B13" s="64">
        <v>7.333333333333333</v>
      </c>
      <c r="C13" s="16">
        <v>1</v>
      </c>
      <c r="D13" s="80">
        <v>6.5000000000000002E-2</v>
      </c>
      <c r="E13" s="81">
        <v>6.4000000000000001E-2</v>
      </c>
      <c r="F13" s="81">
        <v>6.0999999999999999E-2</v>
      </c>
      <c r="G13" s="16">
        <f t="shared" si="1"/>
        <v>0.71879847160746035</v>
      </c>
      <c r="H13" s="19">
        <f t="shared" si="0"/>
        <v>2.3625763244423278E-2</v>
      </c>
    </row>
    <row r="14" spans="1:8">
      <c r="A14" s="66">
        <v>6</v>
      </c>
      <c r="B14" s="64">
        <v>8.6666666666666661</v>
      </c>
      <c r="C14" s="16">
        <v>1</v>
      </c>
      <c r="D14" s="55">
        <v>0.154</v>
      </c>
      <c r="E14" s="55">
        <v>0.159</v>
      </c>
      <c r="F14" s="55">
        <v>0.16</v>
      </c>
      <c r="G14" s="16">
        <f t="shared" si="1"/>
        <v>1.7894298793175196</v>
      </c>
      <c r="H14" s="19">
        <f t="shared" si="0"/>
        <v>3.6483375935357186E-2</v>
      </c>
    </row>
    <row r="15" spans="1:8">
      <c r="A15" s="66">
        <v>7</v>
      </c>
      <c r="B15" s="64">
        <v>10</v>
      </c>
      <c r="C15" s="16">
        <v>1</v>
      </c>
      <c r="D15" s="55">
        <v>0.40100000000000002</v>
      </c>
      <c r="E15" s="55">
        <v>0.39700000000000002</v>
      </c>
      <c r="F15" s="55">
        <v>0.40400000000000003</v>
      </c>
      <c r="G15" s="16">
        <f t="shared" si="1"/>
        <v>4.5473461203798289</v>
      </c>
      <c r="H15" s="19">
        <f t="shared" si="0"/>
        <v>3.985795692071558E-2</v>
      </c>
    </row>
    <row r="16" spans="1:8">
      <c r="A16" s="66">
        <v>8</v>
      </c>
      <c r="B16" s="64">
        <v>11.333333333333334</v>
      </c>
      <c r="C16" s="16">
        <v>1</v>
      </c>
      <c r="D16" s="56">
        <v>0.66800000000000004</v>
      </c>
      <c r="E16" s="56">
        <v>0.66700000000000004</v>
      </c>
      <c r="F16" s="56">
        <v>0.68100000000000005</v>
      </c>
      <c r="G16" s="16">
        <f t="shared" si="1"/>
        <v>7.6268300987402116</v>
      </c>
      <c r="H16" s="19">
        <f t="shared" si="0"/>
        <v>8.8642034682858487E-2</v>
      </c>
    </row>
    <row r="17" spans="1:8">
      <c r="A17" s="66">
        <v>9</v>
      </c>
      <c r="B17" s="64">
        <v>12.666666666666666</v>
      </c>
      <c r="C17" s="16">
        <v>1</v>
      </c>
      <c r="D17" s="56">
        <v>1.101</v>
      </c>
      <c r="E17" s="56">
        <v>1.0489999999999999</v>
      </c>
      <c r="F17" s="56">
        <v>1.1040000000000001</v>
      </c>
      <c r="G17" s="16">
        <f t="shared" si="1"/>
        <v>12.3103696137404</v>
      </c>
      <c r="H17" s="19">
        <f t="shared" si="0"/>
        <v>0.35097763685072442</v>
      </c>
    </row>
    <row r="18" spans="1:8">
      <c r="A18" s="66">
        <v>10</v>
      </c>
      <c r="B18" s="64">
        <v>14</v>
      </c>
      <c r="C18" s="16">
        <v>1</v>
      </c>
      <c r="D18" s="56">
        <v>1.3979999999999999</v>
      </c>
      <c r="E18" s="56">
        <v>1.4350000000000001</v>
      </c>
      <c r="F18" s="56">
        <v>1.427</v>
      </c>
      <c r="G18" s="16">
        <f t="shared" ref="G18:G23" si="2">(C18*1000*AVERAGE(D18:F18))/$B$2</f>
        <v>16.116218363409374</v>
      </c>
      <c r="H18" s="19">
        <f t="shared" ref="H18:H23" si="3">(C18*1000*STDEV(D18:F18))/$B$2</f>
        <v>0.22095020240530999</v>
      </c>
    </row>
    <row r="19" spans="1:8">
      <c r="A19" s="66">
        <v>11</v>
      </c>
      <c r="B19" s="64">
        <v>15.333333333333334</v>
      </c>
      <c r="C19" s="16">
        <v>1</v>
      </c>
      <c r="D19" s="56">
        <v>1.4630000000000001</v>
      </c>
      <c r="E19" s="56">
        <v>1.4690000000000001</v>
      </c>
      <c r="F19" s="56">
        <v>1.456</v>
      </c>
      <c r="G19" s="16">
        <f t="shared" si="2"/>
        <v>16.600461544281767</v>
      </c>
      <c r="H19" s="19">
        <f t="shared" si="3"/>
        <v>7.3844139128904487E-2</v>
      </c>
    </row>
    <row r="20" spans="1:8">
      <c r="A20" s="66">
        <v>12</v>
      </c>
      <c r="B20" s="64">
        <v>16.666666666666668</v>
      </c>
      <c r="C20" s="16">
        <v>1</v>
      </c>
      <c r="D20" s="56">
        <v>1.4750000000000001</v>
      </c>
      <c r="E20" s="56">
        <v>1.4770000000000001</v>
      </c>
      <c r="F20" s="56">
        <v>1.4450000000000001</v>
      </c>
      <c r="G20" s="16">
        <f t="shared" si="2"/>
        <v>16.634509892936862</v>
      </c>
      <c r="H20" s="19">
        <f t="shared" si="3"/>
        <v>0.20344765497293177</v>
      </c>
    </row>
    <row r="21" spans="1:8">
      <c r="A21" s="66">
        <v>13</v>
      </c>
      <c r="B21" s="64">
        <v>18</v>
      </c>
      <c r="C21" s="16">
        <v>1</v>
      </c>
      <c r="D21" s="56">
        <v>1.42</v>
      </c>
      <c r="E21" s="56">
        <v>1.4430000000000001</v>
      </c>
      <c r="F21" s="56">
        <v>1.425</v>
      </c>
      <c r="G21" s="16">
        <f t="shared" si="2"/>
        <v>16.222146559225209</v>
      </c>
      <c r="H21" s="19">
        <f t="shared" si="3"/>
        <v>0.13729237931089272</v>
      </c>
    </row>
    <row r="22" spans="1:8">
      <c r="A22" s="66">
        <v>14</v>
      </c>
      <c r="B22" s="64">
        <v>24</v>
      </c>
      <c r="C22" s="16">
        <v>1</v>
      </c>
      <c r="D22" s="56">
        <v>1.5169999999999999</v>
      </c>
      <c r="E22" s="56">
        <v>1.548</v>
      </c>
      <c r="F22" s="56">
        <v>1.538</v>
      </c>
      <c r="G22" s="16">
        <f t="shared" si="2"/>
        <v>17.413838762153368</v>
      </c>
      <c r="H22" s="19">
        <f t="shared" si="3"/>
        <v>0.17957014771393146</v>
      </c>
    </row>
    <row r="23" spans="1:8">
      <c r="A23" s="66">
        <v>15</v>
      </c>
      <c r="B23" s="64">
        <v>30</v>
      </c>
      <c r="C23" s="16">
        <v>1</v>
      </c>
      <c r="D23" s="56">
        <v>1.5</v>
      </c>
      <c r="E23" s="56">
        <v>1.53</v>
      </c>
      <c r="F23" s="56">
        <v>1.518</v>
      </c>
      <c r="G23" s="16">
        <f t="shared" si="2"/>
        <v>17.20576552037226</v>
      </c>
      <c r="H23" s="19">
        <f t="shared" si="3"/>
        <v>0.17137293009353663</v>
      </c>
    </row>
    <row r="24" spans="1:8">
      <c r="A24" s="66">
        <v>16</v>
      </c>
      <c r="B24" s="64">
        <v>48</v>
      </c>
      <c r="C24" s="16">
        <v>1</v>
      </c>
      <c r="D24" s="56">
        <v>1.5469999999999999</v>
      </c>
      <c r="E24" s="56">
        <v>1.5720000000000001</v>
      </c>
      <c r="F24" s="56">
        <v>1.544</v>
      </c>
      <c r="G24" s="16">
        <f t="shared" ref="G24" si="4">(C24*1000*AVERAGE(D24:F24))/$B$2</f>
        <v>17.640827753187303</v>
      </c>
      <c r="H24" s="19">
        <f t="shared" ref="H24" si="5">(C24*1000*STDEV(D24:F24))/$B$2</f>
        <v>0.17447663992131404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61" t="s">
        <v>42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2" t="s">
        <v>4</v>
      </c>
      <c r="B6" s="22" t="s">
        <v>60</v>
      </c>
      <c r="C6" s="22" t="s">
        <v>19</v>
      </c>
      <c r="D6" s="166"/>
      <c r="E6" s="166"/>
      <c r="F6" s="166"/>
      <c r="G6" s="168"/>
      <c r="H6" s="168"/>
    </row>
    <row r="7" spans="1:8">
      <c r="A7" s="65">
        <v>0</v>
      </c>
      <c r="B7" s="62">
        <v>-0.16666666666666666</v>
      </c>
      <c r="C7" s="16">
        <v>1</v>
      </c>
      <c r="D7" s="42">
        <v>0.19</v>
      </c>
      <c r="E7" s="42">
        <v>0.189</v>
      </c>
      <c r="F7" s="42">
        <v>0.189</v>
      </c>
      <c r="G7" s="16">
        <f>(C7*1000*AVERAGE(D7:F7))/$B$2</f>
        <v>2.1018354055654234</v>
      </c>
      <c r="H7" s="19">
        <f>(C7*1000*STDEV(D7:F7))/$B$2</f>
        <v>6.4093058302578405E-3</v>
      </c>
    </row>
    <row r="8" spans="1:8">
      <c r="A8" s="66">
        <v>0</v>
      </c>
      <c r="B8" s="64">
        <v>0.16666666666666666</v>
      </c>
      <c r="C8" s="16">
        <v>1</v>
      </c>
      <c r="D8" s="42">
        <v>0.191</v>
      </c>
      <c r="E8" s="42">
        <v>0.187</v>
      </c>
      <c r="F8" s="42">
        <v>0.188</v>
      </c>
      <c r="G8" s="16">
        <f t="shared" ref="G8:G23" si="0">(C8*1000*AVERAGE(D8:F8))/$B$2</f>
        <v>2.0944345766725876</v>
      </c>
      <c r="H8" s="19">
        <f t="shared" ref="H8:H23" si="1">(C8*1000*STDEV(D8:F8))/$B$2</f>
        <v>2.3109080811124942E-2</v>
      </c>
    </row>
    <row r="9" spans="1:8">
      <c r="A9" s="66">
        <v>1</v>
      </c>
      <c r="B9" s="64">
        <v>2</v>
      </c>
      <c r="C9" s="16">
        <v>1</v>
      </c>
      <c r="D9" s="42">
        <v>0.187</v>
      </c>
      <c r="E9" s="42">
        <v>0.186</v>
      </c>
      <c r="F9" s="42">
        <v>0.189</v>
      </c>
      <c r="G9" s="16">
        <f t="shared" si="0"/>
        <v>2.0796329188869156</v>
      </c>
      <c r="H9" s="19">
        <f t="shared" si="1"/>
        <v>1.6957429303418606E-2</v>
      </c>
    </row>
    <row r="10" spans="1:8">
      <c r="A10" s="66">
        <v>2</v>
      </c>
      <c r="B10" s="64">
        <v>3.3333333333333335</v>
      </c>
      <c r="C10" s="16">
        <v>1</v>
      </c>
      <c r="D10" s="55">
        <v>0.189</v>
      </c>
      <c r="E10" s="55">
        <v>0.188</v>
      </c>
      <c r="F10" s="55">
        <v>0.189</v>
      </c>
      <c r="G10" s="16">
        <f t="shared" si="0"/>
        <v>2.0944345766725876</v>
      </c>
      <c r="H10" s="19">
        <f t="shared" si="1"/>
        <v>6.4093058302578405E-3</v>
      </c>
    </row>
    <row r="11" spans="1:8">
      <c r="A11" s="66">
        <v>3</v>
      </c>
      <c r="B11" s="64">
        <v>4.666666666666667</v>
      </c>
      <c r="C11" s="16">
        <v>1</v>
      </c>
      <c r="D11" s="55">
        <v>0.19</v>
      </c>
      <c r="E11" s="55">
        <v>0.192</v>
      </c>
      <c r="F11" s="55">
        <v>0.187</v>
      </c>
      <c r="G11" s="16">
        <f t="shared" si="0"/>
        <v>2.1055358200118413</v>
      </c>
      <c r="H11" s="19">
        <f t="shared" si="1"/>
        <v>2.7937516412339981E-2</v>
      </c>
    </row>
    <row r="12" spans="1:8">
      <c r="A12" s="66">
        <v>4</v>
      </c>
      <c r="B12" s="64">
        <v>6</v>
      </c>
      <c r="C12" s="16">
        <v>1</v>
      </c>
      <c r="D12" s="55">
        <v>0.188</v>
      </c>
      <c r="E12" s="55">
        <v>0.193</v>
      </c>
      <c r="F12" s="55">
        <v>0.189</v>
      </c>
      <c r="G12" s="16">
        <f t="shared" si="0"/>
        <v>2.1092362344582596</v>
      </c>
      <c r="H12" s="19">
        <f t="shared" si="1"/>
        <v>2.937112911927834E-2</v>
      </c>
    </row>
    <row r="13" spans="1:8">
      <c r="A13" s="66">
        <v>5</v>
      </c>
      <c r="B13" s="64">
        <v>7.333333333333333</v>
      </c>
      <c r="C13" s="16">
        <v>1</v>
      </c>
      <c r="D13" s="55">
        <v>0.19500000000000001</v>
      </c>
      <c r="E13" s="55">
        <v>0.19600000000000001</v>
      </c>
      <c r="F13" s="55">
        <v>0.19800000000000001</v>
      </c>
      <c r="G13" s="16">
        <f t="shared" si="0"/>
        <v>2.1795441089402012</v>
      </c>
      <c r="H13" s="19">
        <f t="shared" si="1"/>
        <v>1.6957429303418606E-2</v>
      </c>
    </row>
    <row r="14" spans="1:8">
      <c r="A14" s="66">
        <v>6</v>
      </c>
      <c r="B14" s="64">
        <v>8.6666666666666661</v>
      </c>
      <c r="C14" s="16">
        <v>1</v>
      </c>
      <c r="D14" s="55">
        <v>0.19700000000000001</v>
      </c>
      <c r="E14" s="55">
        <v>0.2</v>
      </c>
      <c r="F14" s="55">
        <v>0.19900000000000001</v>
      </c>
      <c r="G14" s="16">
        <f t="shared" si="0"/>
        <v>2.2054470100651273</v>
      </c>
      <c r="H14" s="19">
        <f t="shared" si="1"/>
        <v>1.6957429303418606E-2</v>
      </c>
    </row>
    <row r="15" spans="1:8">
      <c r="A15" s="66">
        <v>7</v>
      </c>
      <c r="B15" s="64">
        <v>10</v>
      </c>
      <c r="C15" s="16">
        <v>1</v>
      </c>
      <c r="D15" s="55">
        <v>0.20399999999999999</v>
      </c>
      <c r="E15" s="55">
        <v>0.2</v>
      </c>
      <c r="F15" s="55">
        <v>0.20100000000000001</v>
      </c>
      <c r="G15" s="16">
        <f t="shared" si="0"/>
        <v>2.2387507400828892</v>
      </c>
      <c r="H15" s="19">
        <f t="shared" si="1"/>
        <v>2.3109080811124772E-2</v>
      </c>
    </row>
    <row r="16" spans="1:8">
      <c r="A16" s="66">
        <v>8</v>
      </c>
      <c r="B16" s="64">
        <v>11.333333333333334</v>
      </c>
      <c r="C16" s="16">
        <v>1</v>
      </c>
      <c r="D16" s="55">
        <v>0.221</v>
      </c>
      <c r="E16" s="55">
        <v>0.218</v>
      </c>
      <c r="F16" s="55">
        <v>0.222</v>
      </c>
      <c r="G16" s="16">
        <f t="shared" si="0"/>
        <v>2.4459739490822971</v>
      </c>
      <c r="H16" s="19">
        <f t="shared" si="1"/>
        <v>2.3109080811124942E-2</v>
      </c>
    </row>
    <row r="17" spans="1:8">
      <c r="A17" s="66">
        <v>9</v>
      </c>
      <c r="B17" s="64">
        <v>12.666666666666666</v>
      </c>
      <c r="C17" s="16">
        <v>1</v>
      </c>
      <c r="D17" s="55">
        <v>0.40699999999999997</v>
      </c>
      <c r="E17" s="55">
        <v>0.40300000000000002</v>
      </c>
      <c r="F17" s="55">
        <v>0.41</v>
      </c>
      <c r="G17" s="16">
        <f t="shared" si="0"/>
        <v>4.5145056246299591</v>
      </c>
      <c r="H17" s="19">
        <f t="shared" si="1"/>
        <v>3.8986285349513997E-2</v>
      </c>
    </row>
    <row r="18" spans="1:8">
      <c r="A18" s="66">
        <v>10</v>
      </c>
      <c r="B18" s="64">
        <v>14</v>
      </c>
      <c r="C18" s="16">
        <v>1</v>
      </c>
      <c r="D18" s="124">
        <v>0.90600000000000003</v>
      </c>
      <c r="E18" s="124">
        <v>0.92500000000000004</v>
      </c>
      <c r="F18" s="124">
        <v>0.91600000000000004</v>
      </c>
      <c r="G18" s="16">
        <f t="shared" si="0"/>
        <v>10.165038484310243</v>
      </c>
      <c r="H18" s="19">
        <f t="shared" si="1"/>
        <v>0.10551049015233323</v>
      </c>
    </row>
    <row r="19" spans="1:8">
      <c r="A19" s="66">
        <v>11</v>
      </c>
      <c r="B19" s="64">
        <v>15.333333333333334</v>
      </c>
      <c r="C19" s="16">
        <v>1</v>
      </c>
      <c r="D19" s="125">
        <v>1.022</v>
      </c>
      <c r="E19" s="125">
        <v>1.03</v>
      </c>
      <c r="F19" s="125">
        <v>1.022</v>
      </c>
      <c r="G19" s="16">
        <f t="shared" si="0"/>
        <v>11.375074008288927</v>
      </c>
      <c r="H19" s="19">
        <f t="shared" si="1"/>
        <v>5.1274446642062724E-2</v>
      </c>
    </row>
    <row r="20" spans="1:8">
      <c r="A20" s="66">
        <v>12</v>
      </c>
      <c r="B20" s="64">
        <v>16.666666666666668</v>
      </c>
      <c r="C20" s="16">
        <v>1</v>
      </c>
      <c r="D20" s="125">
        <v>1.038</v>
      </c>
      <c r="E20" s="125">
        <v>1.0409999999999999</v>
      </c>
      <c r="F20" s="125">
        <v>1.0269999999999999</v>
      </c>
      <c r="G20" s="16">
        <f t="shared" si="0"/>
        <v>11.493487270574304</v>
      </c>
      <c r="H20" s="19">
        <f t="shared" si="1"/>
        <v>8.1828539030106812E-2</v>
      </c>
    </row>
    <row r="21" spans="1:8">
      <c r="A21" s="66">
        <v>13</v>
      </c>
      <c r="B21" s="64">
        <v>18</v>
      </c>
      <c r="C21" s="16">
        <v>1</v>
      </c>
      <c r="D21" s="125">
        <v>1.012</v>
      </c>
      <c r="E21" s="125">
        <v>1.022</v>
      </c>
      <c r="F21" s="125">
        <v>1.02</v>
      </c>
      <c r="G21" s="16">
        <f t="shared" si="0"/>
        <v>11.301065719360569</v>
      </c>
      <c r="H21" s="19">
        <f t="shared" si="1"/>
        <v>5.874225823855668E-2</v>
      </c>
    </row>
    <row r="22" spans="1:8">
      <c r="A22" s="66">
        <v>14</v>
      </c>
      <c r="B22" s="64">
        <v>24</v>
      </c>
      <c r="C22" s="16">
        <v>1</v>
      </c>
      <c r="D22" s="125">
        <v>1.056</v>
      </c>
      <c r="E22" s="125">
        <v>1.0760000000000001</v>
      </c>
      <c r="F22" s="125">
        <v>1.0649999999999999</v>
      </c>
      <c r="G22" s="16">
        <f t="shared" si="0"/>
        <v>11.830224985198344</v>
      </c>
      <c r="H22" s="19">
        <f t="shared" si="1"/>
        <v>0.11119730018736484</v>
      </c>
    </row>
    <row r="23" spans="1:8">
      <c r="A23" s="66">
        <v>15</v>
      </c>
      <c r="B23" s="64">
        <v>30</v>
      </c>
      <c r="C23" s="16">
        <v>1</v>
      </c>
      <c r="D23" s="125">
        <v>1.0349999999999999</v>
      </c>
      <c r="E23" s="125">
        <v>1.0449999999999999</v>
      </c>
      <c r="F23" s="125">
        <v>1.0469999999999999</v>
      </c>
      <c r="G23" s="16">
        <f t="shared" si="0"/>
        <v>11.571195973949081</v>
      </c>
      <c r="H23" s="19">
        <f t="shared" si="1"/>
        <v>7.1371009184376596E-2</v>
      </c>
    </row>
    <row r="24" spans="1:8">
      <c r="A24" s="66">
        <v>16</v>
      </c>
      <c r="B24" s="64">
        <v>48</v>
      </c>
      <c r="C24" s="16">
        <v>1</v>
      </c>
      <c r="D24" s="125">
        <v>1.0629999999999999</v>
      </c>
      <c r="E24" s="125">
        <v>1.073</v>
      </c>
      <c r="F24" s="125">
        <v>1.0680000000000001</v>
      </c>
      <c r="G24" s="16">
        <f t="shared" ref="G24" si="2">(C24*1000*AVERAGE(D24:F24))/$B$2</f>
        <v>11.856127886323268</v>
      </c>
      <c r="H24" s="19">
        <f t="shared" ref="H24" si="3">(C24*1000*STDEV(D24:F24))/$B$2</f>
        <v>5.5506216696270032E-2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61" t="s">
        <v>44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2" t="s">
        <v>4</v>
      </c>
      <c r="B6" s="22" t="s">
        <v>60</v>
      </c>
      <c r="C6" s="22" t="s">
        <v>19</v>
      </c>
      <c r="D6" s="166"/>
      <c r="E6" s="166"/>
      <c r="F6" s="166"/>
      <c r="G6" s="168"/>
      <c r="H6" s="168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30.5" customWidth="1"/>
  </cols>
  <sheetData>
    <row r="1" spans="1:5">
      <c r="B1" s="30" t="s">
        <v>78</v>
      </c>
      <c r="C1" s="30" t="s">
        <v>79</v>
      </c>
    </row>
    <row r="2" spans="1:5">
      <c r="A2" s="30" t="s">
        <v>144</v>
      </c>
      <c r="B2" s="31">
        <f>Metabolites!H4-Metabolites!H20</f>
        <v>51.408007696862036</v>
      </c>
      <c r="C2" s="31">
        <f>Metabolites!I4+Metabolites!I20</f>
        <v>1.2453860130419168</v>
      </c>
    </row>
    <row r="3" spans="1:5">
      <c r="A3" s="30" t="s">
        <v>183</v>
      </c>
      <c r="B3" s="31">
        <f>Metabolites!P20-Metabolites!P4</f>
        <v>50.476056563731255</v>
      </c>
      <c r="C3" s="31">
        <f>Metabolites!Q4+Metabolites!Q20</f>
        <v>0.21311011092468299</v>
      </c>
    </row>
    <row r="4" spans="1:5">
      <c r="A4" s="30" t="s">
        <v>184</v>
      </c>
      <c r="B4" s="31">
        <f>Metabolites!T4-Metabolites!T20</f>
        <v>2.9183865594901874</v>
      </c>
      <c r="C4" s="31">
        <f>Metabolites!U4+Metabolites!U20</f>
        <v>0.16013718869936996</v>
      </c>
    </row>
    <row r="5" spans="1:5">
      <c r="A5" s="30" t="s">
        <v>123</v>
      </c>
      <c r="B5" s="31">
        <f>Metabolites!L20-Metabolites!L4</f>
        <v>10.474726696539655</v>
      </c>
      <c r="C5" s="31">
        <f>Metabolites!M20+Metabolites!M4</f>
        <v>8.1953468794328382E-2</v>
      </c>
    </row>
    <row r="6" spans="1:5">
      <c r="A6" s="30" t="s">
        <v>124</v>
      </c>
      <c r="B6" s="31">
        <f>Metabolites!L41-Metabolites!L25</f>
        <v>18.701755847163938</v>
      </c>
      <c r="C6" s="31">
        <f>Metabolites!M41+Metabolites!M25</f>
        <v>0.18496975122113513</v>
      </c>
    </row>
    <row r="7" spans="1:5">
      <c r="A7" s="30" t="s">
        <v>80</v>
      </c>
      <c r="B7" s="31">
        <f>'H2'!G101</f>
        <v>52.91931504312327</v>
      </c>
    </row>
    <row r="8" spans="1:5">
      <c r="A8" s="30" t="s">
        <v>81</v>
      </c>
      <c r="B8" s="31">
        <f>'CO2'!G101</f>
        <v>39.67945016681896</v>
      </c>
    </row>
    <row r="9" spans="1:5">
      <c r="A9" s="30" t="s">
        <v>125</v>
      </c>
      <c r="B9" s="31">
        <f>Calculation!G20*1.5/1000</f>
        <v>9.1499999999999998E-2</v>
      </c>
    </row>
    <row r="10" spans="1:5" ht="16">
      <c r="A10" s="30" t="s">
        <v>126</v>
      </c>
      <c r="B10" s="31">
        <f>Calculation!H20*1.5/1000</f>
        <v>4.4999999999999997E-3</v>
      </c>
    </row>
    <row r="12" spans="1:5">
      <c r="A12" s="30" t="s">
        <v>82</v>
      </c>
      <c r="B12" s="68">
        <f>((4*$B$6)+(3*$B$5)+(2*$B$3)+(B8))/((6*$B$2)+($B$4))</f>
        <v>0.7928368019624279</v>
      </c>
    </row>
    <row r="14" spans="1:5">
      <c r="A14" s="59"/>
      <c r="B14" s="59"/>
      <c r="C14" s="59" t="s">
        <v>127</v>
      </c>
      <c r="D14" s="59" t="s">
        <v>128</v>
      </c>
    </row>
    <row r="15" spans="1:5">
      <c r="A15" s="59" t="s">
        <v>157</v>
      </c>
      <c r="B15" s="59" t="s">
        <v>129</v>
      </c>
      <c r="C15" s="60">
        <f>B2</f>
        <v>51.408007696862036</v>
      </c>
      <c r="D15" s="60">
        <f>B2</f>
        <v>51.408007696862036</v>
      </c>
      <c r="E15" s="59"/>
    </row>
    <row r="16" spans="1:5">
      <c r="A16" s="59" t="s">
        <v>130</v>
      </c>
      <c r="B16" s="59" t="s">
        <v>131</v>
      </c>
      <c r="C16" s="60">
        <f>2*C15</f>
        <v>102.81601539372407</v>
      </c>
      <c r="D16" s="60">
        <f>2*B2</f>
        <v>102.81601539372407</v>
      </c>
      <c r="E16" s="59"/>
    </row>
    <row r="17" spans="1:5">
      <c r="A17" s="59" t="s">
        <v>132</v>
      </c>
      <c r="B17" s="59" t="s">
        <v>133</v>
      </c>
      <c r="C17" s="60">
        <f>B5</f>
        <v>10.474726696539655</v>
      </c>
      <c r="D17" s="60">
        <f>B5</f>
        <v>10.474726696539655</v>
      </c>
      <c r="E17" s="59"/>
    </row>
    <row r="18" spans="1:5">
      <c r="A18" s="59" t="s">
        <v>134</v>
      </c>
      <c r="B18" s="59" t="s">
        <v>135</v>
      </c>
      <c r="C18" s="60">
        <f>B4</f>
        <v>2.9183865594901874</v>
      </c>
      <c r="D18" s="60">
        <f>B4</f>
        <v>2.9183865594901874</v>
      </c>
      <c r="E18" s="59"/>
    </row>
    <row r="19" spans="1:5">
      <c r="A19" s="59" t="s">
        <v>158</v>
      </c>
      <c r="B19" s="59" t="s">
        <v>136</v>
      </c>
      <c r="C19" s="77">
        <f>C16-C17-C18</f>
        <v>89.422902137694223</v>
      </c>
      <c r="D19" s="77">
        <f>B8</f>
        <v>39.67945016681896</v>
      </c>
      <c r="E19" s="59"/>
    </row>
    <row r="20" spans="1:5">
      <c r="A20" s="59" t="s">
        <v>156</v>
      </c>
      <c r="B20" s="59" t="s">
        <v>156</v>
      </c>
      <c r="C20" s="67">
        <f>C16-C17</f>
        <v>92.34128869718441</v>
      </c>
      <c r="D20" s="67"/>
      <c r="E20" s="59"/>
    </row>
    <row r="21" spans="1:5">
      <c r="A21" s="59" t="s">
        <v>159</v>
      </c>
      <c r="B21" s="59" t="s">
        <v>137</v>
      </c>
      <c r="C21" s="60">
        <f>B3</f>
        <v>50.476056563731255</v>
      </c>
      <c r="D21" s="60">
        <f>B3</f>
        <v>50.476056563731255</v>
      </c>
      <c r="E21" s="59"/>
    </row>
    <row r="22" spans="1:5">
      <c r="A22" s="59" t="s">
        <v>160</v>
      </c>
      <c r="B22" s="59" t="s">
        <v>139</v>
      </c>
      <c r="C22" s="60">
        <f>C16-C17+C21</f>
        <v>142.81734526091566</v>
      </c>
      <c r="D22" s="60">
        <f>B6</f>
        <v>18.701755847163938</v>
      </c>
      <c r="E22" s="59"/>
    </row>
    <row r="23" spans="1:5">
      <c r="A23" s="59" t="s">
        <v>161</v>
      </c>
      <c r="B23" s="59" t="s">
        <v>140</v>
      </c>
      <c r="C23" s="77">
        <f>C22/2</f>
        <v>71.408672630457829</v>
      </c>
      <c r="D23" s="77">
        <f>B6</f>
        <v>18.701755847163938</v>
      </c>
      <c r="E23" s="59"/>
    </row>
    <row r="24" spans="1:5">
      <c r="A24" t="s">
        <v>152</v>
      </c>
      <c r="B24" t="s">
        <v>153</v>
      </c>
      <c r="C24" s="31">
        <f>C20-C21</f>
        <v>41.865232133453155</v>
      </c>
      <c r="D24" s="31"/>
      <c r="E24" s="59"/>
    </row>
    <row r="25" spans="1:5">
      <c r="A25" t="s">
        <v>154</v>
      </c>
      <c r="B25" t="s">
        <v>155</v>
      </c>
      <c r="C25" s="76">
        <f>C24-C18</f>
        <v>38.946845573962968</v>
      </c>
      <c r="D25" s="76">
        <f>B7</f>
        <v>52.91931504312327</v>
      </c>
      <c r="E25" s="59"/>
    </row>
    <row r="26" spans="1:5">
      <c r="A26" s="59"/>
      <c r="B26" s="59"/>
      <c r="C26" s="59"/>
      <c r="D26" s="59"/>
      <c r="E26" s="59"/>
    </row>
    <row r="27" spans="1:5">
      <c r="A27" s="59"/>
      <c r="B27" s="59"/>
      <c r="C27" s="59"/>
      <c r="D27" s="59"/>
      <c r="E27" s="59"/>
    </row>
    <row r="28" spans="1:5">
      <c r="A28" s="59"/>
      <c r="B28" s="59"/>
      <c r="C28" s="59"/>
      <c r="D28" s="59"/>
      <c r="E28" s="59"/>
    </row>
    <row r="29" spans="1:5">
      <c r="C29" s="59"/>
      <c r="D29" s="59"/>
      <c r="E29" s="5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3" t="s">
        <v>4</v>
      </c>
      <c r="B1" s="133" t="s">
        <v>117</v>
      </c>
      <c r="C1" s="133" t="s">
        <v>117</v>
      </c>
      <c r="D1" s="133" t="s">
        <v>5</v>
      </c>
      <c r="E1" s="138" t="s">
        <v>18</v>
      </c>
      <c r="F1" s="138"/>
      <c r="G1" s="138"/>
      <c r="H1" s="138"/>
      <c r="I1" s="138" t="s">
        <v>20</v>
      </c>
      <c r="J1" s="138"/>
      <c r="K1" s="138"/>
      <c r="L1" s="138"/>
      <c r="M1" s="138" t="s">
        <v>21</v>
      </c>
      <c r="N1" s="138"/>
      <c r="O1" s="138"/>
      <c r="P1" s="138"/>
      <c r="Q1" s="38" t="s">
        <v>22</v>
      </c>
      <c r="R1" s="38" t="s">
        <v>22</v>
      </c>
      <c r="S1" s="38" t="s">
        <v>22</v>
      </c>
    </row>
    <row r="2" spans="1:19">
      <c r="A2" s="134"/>
      <c r="B2" s="134"/>
      <c r="C2" s="134"/>
      <c r="D2" s="134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Q3" s="135"/>
      <c r="R3" s="136"/>
      <c r="S3" s="137"/>
    </row>
    <row r="4" spans="1:19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3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3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3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3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3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3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3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3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3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3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3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3">
        <v>14</v>
      </c>
      <c r="B18" s="32">
        <v>360</v>
      </c>
      <c r="C18" s="32">
        <f t="shared" si="2"/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D1" workbookViewId="0">
      <selection activeCell="M4" sqref="M4:M20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3" t="s">
        <v>4</v>
      </c>
      <c r="B1" s="133" t="s">
        <v>117</v>
      </c>
      <c r="C1" s="133" t="s">
        <v>117</v>
      </c>
      <c r="D1" s="133" t="s">
        <v>5</v>
      </c>
      <c r="E1" s="132" t="s">
        <v>119</v>
      </c>
      <c r="F1" s="132"/>
      <c r="G1" s="132"/>
      <c r="H1" s="132"/>
      <c r="I1" s="132" t="s">
        <v>120</v>
      </c>
      <c r="J1" s="132"/>
      <c r="K1" s="132"/>
      <c r="L1" s="132"/>
      <c r="M1" s="132" t="s">
        <v>121</v>
      </c>
      <c r="N1" s="132"/>
      <c r="O1" s="132"/>
      <c r="P1" s="132"/>
      <c r="Q1" s="24" t="s">
        <v>122</v>
      </c>
      <c r="R1" s="24" t="s">
        <v>122</v>
      </c>
      <c r="S1" s="24" t="s">
        <v>122</v>
      </c>
      <c r="T1" s="57" t="s">
        <v>122</v>
      </c>
      <c r="U1" s="72" t="s">
        <v>119</v>
      </c>
      <c r="V1" s="72" t="s">
        <v>120</v>
      </c>
      <c r="W1" s="72" t="s">
        <v>121</v>
      </c>
      <c r="X1" s="72" t="s">
        <v>122</v>
      </c>
    </row>
    <row r="2" spans="1:24">
      <c r="A2" s="134"/>
      <c r="B2" s="134"/>
      <c r="C2" s="134"/>
      <c r="D2" s="134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8" t="s">
        <v>138</v>
      </c>
      <c r="U2" s="73" t="s">
        <v>148</v>
      </c>
      <c r="V2" s="73" t="s">
        <v>148</v>
      </c>
      <c r="W2" s="73" t="s">
        <v>148</v>
      </c>
      <c r="X2" s="73" t="s">
        <v>149</v>
      </c>
    </row>
    <row r="3" spans="1:24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39" t="s">
        <v>101</v>
      </c>
      <c r="R3" s="140"/>
      <c r="S3" s="141"/>
      <c r="T3" s="71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32">
        <v>1</v>
      </c>
      <c r="F4" s="32">
        <v>4175</v>
      </c>
      <c r="G4" s="32">
        <v>7</v>
      </c>
      <c r="H4" s="44">
        <f>('Flow cytometer'!F4/'Flow cytometer'!G4)*POWER(10,'Flow cytometer'!E4+2)*10.2</f>
        <v>6083571.4285714291</v>
      </c>
      <c r="I4" s="32">
        <v>1</v>
      </c>
      <c r="J4" s="32">
        <v>4553</v>
      </c>
      <c r="K4" s="32">
        <v>7</v>
      </c>
      <c r="L4" s="44">
        <f>('Flow cytometer'!J4/'Flow cytometer'!K4)*POWER(10,'Flow cytometer'!I4+2)*10.2</f>
        <v>6634371.4285714282</v>
      </c>
      <c r="M4" s="32">
        <v>1</v>
      </c>
      <c r="N4" s="32">
        <v>4776</v>
      </c>
      <c r="O4" s="32">
        <v>7</v>
      </c>
      <c r="P4" s="44">
        <f>('Flow cytometer'!N4/'Flow cytometer'!O4)*POWER(10,'Flow cytometer'!M4+2)*10.2</f>
        <v>6959314.2857142854</v>
      </c>
      <c r="Q4" s="47">
        <f>AVERAGE(H4,L4,P4)*Calculation!I4/Calculation!K3</f>
        <v>6559085.7142857136</v>
      </c>
      <c r="R4" s="48">
        <f>STDEV(H4,L4,P4)*Calculation!I4/Calculation!K3</f>
        <v>442698.92934229679</v>
      </c>
      <c r="S4" s="49">
        <f>LOG(Q4)</f>
        <v>6.8168433063095781</v>
      </c>
      <c r="T4" s="70">
        <f>LN(Q4)</f>
        <v>15.696361778384677</v>
      </c>
      <c r="U4" s="49">
        <f>LOG(H4)</f>
        <v>6.7841586115672818</v>
      </c>
      <c r="V4" s="49">
        <f>LOG(L4)</f>
        <v>6.8217997820558507</v>
      </c>
      <c r="W4" s="49">
        <f>LOG(P4)</f>
        <v>6.8425664498689738</v>
      </c>
      <c r="X4" s="49">
        <f xml:space="preserve"> STDEV(U4:W4)*Calculation!I4/Calculation!K3</f>
        <v>2.9607397113127831E-2</v>
      </c>
    </row>
    <row r="5" spans="1:24">
      <c r="A5" s="63">
        <v>1</v>
      </c>
      <c r="B5" s="32">
        <v>110</v>
      </c>
      <c r="C5" s="32">
        <f>C4+B5</f>
        <v>120</v>
      </c>
      <c r="D5" s="13">
        <f t="shared" si="0"/>
        <v>2</v>
      </c>
      <c r="E5" s="32">
        <v>1</v>
      </c>
      <c r="F5" s="32">
        <v>4781</v>
      </c>
      <c r="G5" s="32">
        <v>7</v>
      </c>
      <c r="H5" s="44">
        <f>('Flow cytometer'!F5/'Flow cytometer'!G5)*POWER(10,'Flow cytometer'!E5+2)*10.2</f>
        <v>6966599.9999999991</v>
      </c>
      <c r="I5" s="32">
        <v>1</v>
      </c>
      <c r="J5" s="32">
        <v>6027</v>
      </c>
      <c r="K5" s="32">
        <v>7</v>
      </c>
      <c r="L5" s="44">
        <f>('Flow cytometer'!J5/'Flow cytometer'!K5)*POWER(10,'Flow cytometer'!I5+2)*10.2</f>
        <v>8782200</v>
      </c>
      <c r="M5" s="32">
        <v>1</v>
      </c>
      <c r="N5" s="32">
        <v>5821</v>
      </c>
      <c r="O5" s="32">
        <v>7</v>
      </c>
      <c r="P5" s="44">
        <f>('Flow cytometer'!N5/'Flow cytometer'!O5)*POWER(10,'Flow cytometer'!M5+2)*10.2</f>
        <v>8482028.5714285709</v>
      </c>
      <c r="Q5" s="47">
        <f>AVERAGE(H5,L5,P5)*Calculation!I5/Calculation!K4</f>
        <v>8076942.8571428563</v>
      </c>
      <c r="R5" s="48">
        <f>STDEV(H5,L5,P5)*Calculation!I5/Calculation!K4</f>
        <v>973227.44871832302</v>
      </c>
      <c r="S5" s="49">
        <f t="shared" ref="S5:S19" si="1">LOG(Q5)</f>
        <v>6.9072470103401216</v>
      </c>
      <c r="T5" s="49">
        <f t="shared" ref="T5:T19" si="2">LN(Q5)</f>
        <v>15.904523999636854</v>
      </c>
      <c r="U5" s="49">
        <f t="shared" ref="U5:U20" si="3">LOG(H5)</f>
        <v>6.8430208754434503</v>
      </c>
      <c r="V5" s="49">
        <f t="shared" ref="V5:V20" si="4">LOG(L5)</f>
        <v>6.9436033232155721</v>
      </c>
      <c r="W5" s="49">
        <f t="shared" ref="W5:W20" si="5">LOG(P5)</f>
        <v>6.9284997310325416</v>
      </c>
      <c r="X5" s="49">
        <f xml:space="preserve"> STDEV(U5:W5)*Calculation!I5/Calculation!K4</f>
        <v>5.4239564356478802E-2</v>
      </c>
    </row>
    <row r="6" spans="1:24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E6" s="32">
        <v>1</v>
      </c>
      <c r="F6" s="32">
        <v>6637</v>
      </c>
      <c r="G6" s="32">
        <v>7</v>
      </c>
      <c r="H6" s="44">
        <f>('Flow cytometer'!F6/'Flow cytometer'!G6)*POWER(10,'Flow cytometer'!E6+2)*10.2</f>
        <v>9671057.1428571418</v>
      </c>
      <c r="I6" s="32">
        <v>1</v>
      </c>
      <c r="J6" s="32">
        <v>7665</v>
      </c>
      <c r="K6" s="32">
        <v>7</v>
      </c>
      <c r="L6" s="44">
        <f>('Flow cytometer'!J6/'Flow cytometer'!K6)*POWER(10,'Flow cytometer'!I6+2)*10.2</f>
        <v>11169000</v>
      </c>
      <c r="M6" s="32">
        <v>1</v>
      </c>
      <c r="N6" s="32">
        <v>7832</v>
      </c>
      <c r="O6" s="32">
        <v>7</v>
      </c>
      <c r="P6" s="44">
        <f>('Flow cytometer'!N6/'Flow cytometer'!O6)*POWER(10,'Flow cytometer'!M6+2)*10.2</f>
        <v>11412342.857142858</v>
      </c>
      <c r="Q6" s="47">
        <f>AVERAGE(H6,L6,P6)*Calculation!I6/Calculation!K5</f>
        <v>10750800</v>
      </c>
      <c r="R6" s="48">
        <f>STDEV(H6,L6,P6)*Calculation!I6/Calculation!K5</f>
        <v>942967.34550772188</v>
      </c>
      <c r="S6" s="49">
        <f t="shared" si="1"/>
        <v>7.0314407826384455</v>
      </c>
      <c r="T6" s="49">
        <f t="shared" si="2"/>
        <v>16.190490728373671</v>
      </c>
      <c r="U6" s="49">
        <f t="shared" si="3"/>
        <v>6.9854739493897036</v>
      </c>
      <c r="V6" s="49">
        <f t="shared" si="4"/>
        <v>7.0480142909380543</v>
      </c>
      <c r="W6" s="49">
        <f t="shared" si="5"/>
        <v>7.0573748105427425</v>
      </c>
      <c r="X6" s="49">
        <f xml:space="preserve"> STDEV(U6:W6)*Calculation!I6/Calculation!K5</f>
        <v>3.9091020884602784E-2</v>
      </c>
    </row>
    <row r="7" spans="1:24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E7" s="32">
        <v>1</v>
      </c>
      <c r="F7" s="32">
        <v>13450</v>
      </c>
      <c r="G7" s="32">
        <v>7</v>
      </c>
      <c r="H7" s="44">
        <f>('Flow cytometer'!F7/'Flow cytometer'!G7)*POWER(10,'Flow cytometer'!E7+2)*10.2</f>
        <v>19598571.428571425</v>
      </c>
      <c r="I7" s="32">
        <v>1</v>
      </c>
      <c r="J7" s="32">
        <v>13793</v>
      </c>
      <c r="K7" s="32">
        <v>7</v>
      </c>
      <c r="L7" s="44">
        <f>('Flow cytometer'!J7/'Flow cytometer'!K7)*POWER(10,'Flow cytometer'!I7+2)*10.2</f>
        <v>20098371.428571425</v>
      </c>
      <c r="M7" s="32">
        <v>1</v>
      </c>
      <c r="N7" s="32">
        <v>13604</v>
      </c>
      <c r="O7" s="32">
        <v>7</v>
      </c>
      <c r="P7" s="44">
        <f>('Flow cytometer'!N7/'Flow cytometer'!O7)*POWER(10,'Flow cytometer'!M7+2)*10.2</f>
        <v>19822971.428571425</v>
      </c>
      <c r="Q7" s="47">
        <f>AVERAGE(H7,L7,P7)*Calculation!I7/Calculation!K6</f>
        <v>19839971.428571425</v>
      </c>
      <c r="R7" s="48">
        <f>STDEV(H7,L7,P7)*Calculation!I7/Calculation!K6</f>
        <v>250333.29782511955</v>
      </c>
      <c r="S7" s="49">
        <f t="shared" si="1"/>
        <v>7.297541042393628</v>
      </c>
      <c r="T7" s="49">
        <f t="shared" si="2"/>
        <v>16.803209219727798</v>
      </c>
      <c r="U7" s="49">
        <f t="shared" si="3"/>
        <v>7.2922244160860874</v>
      </c>
      <c r="V7" s="49">
        <f t="shared" si="4"/>
        <v>7.303160867955838</v>
      </c>
      <c r="W7" s="49">
        <f t="shared" si="5"/>
        <v>7.2971687550083448</v>
      </c>
      <c r="X7" s="49">
        <f xml:space="preserve"> STDEV(U7:W7)*Calculation!I7/Calculation!K6</f>
        <v>5.4765847699248232E-3</v>
      </c>
    </row>
    <row r="8" spans="1:24">
      <c r="A8" s="63">
        <v>4</v>
      </c>
      <c r="B8" s="32">
        <v>80</v>
      </c>
      <c r="C8" s="32">
        <f t="shared" ref="C8:C18" si="6">C7+B8</f>
        <v>360</v>
      </c>
      <c r="D8" s="13">
        <f t="shared" si="0"/>
        <v>6</v>
      </c>
      <c r="E8" s="32">
        <v>2</v>
      </c>
      <c r="F8" s="32">
        <v>2076</v>
      </c>
      <c r="G8" s="32">
        <v>7</v>
      </c>
      <c r="H8" s="44">
        <f>('Flow cytometer'!F8/'Flow cytometer'!G8)*POWER(10,'Flow cytometer'!E8+2)*10.2</f>
        <v>30250285.714285709</v>
      </c>
      <c r="I8" s="32">
        <v>2</v>
      </c>
      <c r="J8" s="32">
        <v>2445</v>
      </c>
      <c r="K8" s="32">
        <v>7</v>
      </c>
      <c r="L8" s="44">
        <f>('Flow cytometer'!J8/'Flow cytometer'!K8)*POWER(10,'Flow cytometer'!I8+2)*10.2</f>
        <v>35627142.857142851</v>
      </c>
      <c r="M8" s="32">
        <v>2</v>
      </c>
      <c r="N8" s="32">
        <v>2442</v>
      </c>
      <c r="O8" s="32">
        <v>7</v>
      </c>
      <c r="P8" s="44">
        <f>('Flow cytometer'!N8/'Flow cytometer'!O8)*POWER(10,'Flow cytometer'!M8+2)*10.2</f>
        <v>35583428.571428567</v>
      </c>
      <c r="Q8" s="47">
        <f>AVERAGE(H8,L8,P8)*Calculation!I8/Calculation!K7</f>
        <v>33820285.714285709</v>
      </c>
      <c r="R8" s="48">
        <f>STDEV(H8,L8,P8)*Calculation!I8/Calculation!K7</f>
        <v>3091787.9511204963</v>
      </c>
      <c r="S8" s="49">
        <f t="shared" si="1"/>
        <v>7.5291772722035786</v>
      </c>
      <c r="T8" s="49">
        <f t="shared" si="2"/>
        <v>17.336571349485531</v>
      </c>
      <c r="U8" s="49">
        <f t="shared" si="3"/>
        <v>7.4807294809240812</v>
      </c>
      <c r="V8" s="49">
        <f t="shared" si="4"/>
        <v>7.5517809952072996</v>
      </c>
      <c r="W8" s="49">
        <f t="shared" si="5"/>
        <v>7.5512477913565244</v>
      </c>
      <c r="X8" s="49">
        <f xml:space="preserve"> STDEV(U8:W8)*Calculation!I8/Calculation!K7</f>
        <v>4.0868557789029161E-2</v>
      </c>
    </row>
    <row r="9" spans="1:24">
      <c r="A9" s="63">
        <v>5</v>
      </c>
      <c r="B9" s="32">
        <v>80</v>
      </c>
      <c r="C9" s="32">
        <f t="shared" si="6"/>
        <v>440</v>
      </c>
      <c r="D9" s="13">
        <f t="shared" si="0"/>
        <v>7.333333333333333</v>
      </c>
      <c r="E9" s="32">
        <v>2</v>
      </c>
      <c r="F9" s="32">
        <v>6144</v>
      </c>
      <c r="G9" s="32">
        <v>7</v>
      </c>
      <c r="H9" s="44">
        <f>('Flow cytometer'!F9/'Flow cytometer'!G9)*POWER(10,'Flow cytometer'!E9+2)*10.2</f>
        <v>89526857.142857134</v>
      </c>
      <c r="I9" s="32">
        <v>2</v>
      </c>
      <c r="J9" s="32">
        <v>6420</v>
      </c>
      <c r="K9" s="32">
        <v>7</v>
      </c>
      <c r="L9" s="44">
        <f>('Flow cytometer'!J9/'Flow cytometer'!K9)*POWER(10,'Flow cytometer'!I9+2)*10.2</f>
        <v>93548571.428571418</v>
      </c>
      <c r="M9" s="32">
        <v>2</v>
      </c>
      <c r="N9" s="32">
        <v>6068</v>
      </c>
      <c r="O9" s="32">
        <v>7</v>
      </c>
      <c r="P9" s="44">
        <f>('Flow cytometer'!N9/'Flow cytometer'!O9)*POWER(10,'Flow cytometer'!M9+2)*10.2</f>
        <v>88419428.571428567</v>
      </c>
      <c r="Q9" s="47">
        <f>AVERAGE(H9,L9,P9)*Calculation!I9/Calculation!K8</f>
        <v>90569376.276512146</v>
      </c>
      <c r="R9" s="48">
        <f>STDEV(H9,L9,P9)*Calculation!I9/Calculation!K8</f>
        <v>2701153.6926294784</v>
      </c>
      <c r="S9" s="49">
        <f t="shared" si="1"/>
        <v>7.9569813769002984</v>
      </c>
      <c r="T9" s="49">
        <f t="shared" si="2"/>
        <v>18.321626703681865</v>
      </c>
      <c r="U9" s="49">
        <f t="shared" si="3"/>
        <v>7.9519533387711165</v>
      </c>
      <c r="V9" s="49">
        <f t="shared" si="4"/>
        <v>7.9710371598165137</v>
      </c>
      <c r="W9" s="49">
        <f t="shared" si="5"/>
        <v>7.946547703862354</v>
      </c>
      <c r="X9" s="49">
        <f xml:space="preserve"> STDEV(U9:W9)*Calculation!I9/Calculation!K8</f>
        <v>1.2875736255841683E-2</v>
      </c>
    </row>
    <row r="10" spans="1:24">
      <c r="A10" s="63">
        <v>6</v>
      </c>
      <c r="B10" s="32">
        <v>80</v>
      </c>
      <c r="C10" s="32">
        <f t="shared" si="6"/>
        <v>520</v>
      </c>
      <c r="D10" s="13">
        <f t="shared" si="0"/>
        <v>8.6666666666666661</v>
      </c>
      <c r="E10" s="32">
        <v>2</v>
      </c>
      <c r="F10" s="32">
        <v>16160</v>
      </c>
      <c r="G10" s="32">
        <v>7</v>
      </c>
      <c r="H10" s="44">
        <f>('Flow cytometer'!F10/'Flow cytometer'!G10)*POWER(10,'Flow cytometer'!E10+2)*10.2</f>
        <v>235474285.71428567</v>
      </c>
      <c r="I10" s="32">
        <v>2</v>
      </c>
      <c r="J10" s="32">
        <v>18109</v>
      </c>
      <c r="K10" s="32">
        <v>7</v>
      </c>
      <c r="L10" s="44">
        <f>('Flow cytometer'!J10/'Flow cytometer'!K10)*POWER(10,'Flow cytometer'!I10+2)*10.2</f>
        <v>263873999.99999997</v>
      </c>
      <c r="M10" s="32">
        <v>2</v>
      </c>
      <c r="N10" s="32">
        <v>18061</v>
      </c>
      <c r="O10" s="32">
        <v>7</v>
      </c>
      <c r="P10" s="44">
        <f>('Flow cytometer'!N10/'Flow cytometer'!O10)*POWER(10,'Flow cytometer'!M10+2)*10.2</f>
        <v>263174571.42857143</v>
      </c>
      <c r="Q10" s="47">
        <f>AVERAGE(H10,L10,P10)*Calculation!I10/Calculation!K9</f>
        <v>254791299.86267442</v>
      </c>
      <c r="R10" s="48">
        <f>STDEV(H10,L10,P10)*Calculation!I10/Calculation!K9</f>
        <v>16237772.671231786</v>
      </c>
      <c r="S10" s="49">
        <f t="shared" si="1"/>
        <v>8.406184594439841</v>
      </c>
      <c r="T10" s="49">
        <f t="shared" si="2"/>
        <v>19.355955336113375</v>
      </c>
      <c r="U10" s="49">
        <f t="shared" si="3"/>
        <v>8.3719434881862274</v>
      </c>
      <c r="V10" s="49">
        <f t="shared" si="4"/>
        <v>8.4213966004784613</v>
      </c>
      <c r="W10" s="49">
        <f t="shared" si="5"/>
        <v>8.4202439243729152</v>
      </c>
      <c r="X10" s="49">
        <f xml:space="preserve"> STDEV(U10:W10)*Calculation!I10/Calculation!K9</f>
        <v>2.8293420269071501E-2</v>
      </c>
    </row>
    <row r="11" spans="1:24">
      <c r="A11" s="63">
        <v>7</v>
      </c>
      <c r="B11" s="32">
        <v>80</v>
      </c>
      <c r="C11" s="32">
        <f t="shared" si="6"/>
        <v>600</v>
      </c>
      <c r="D11" s="13">
        <f t="shared" si="0"/>
        <v>10</v>
      </c>
      <c r="E11" s="32">
        <v>3</v>
      </c>
      <c r="F11" s="32">
        <v>3892</v>
      </c>
      <c r="G11" s="32">
        <v>7</v>
      </c>
      <c r="H11" s="44">
        <f>('Flow cytometer'!F11/'Flow cytometer'!G11)*POWER(10,'Flow cytometer'!E11+2)*10.2</f>
        <v>567120000</v>
      </c>
      <c r="I11" s="32">
        <v>3</v>
      </c>
      <c r="J11" s="32">
        <v>3993</v>
      </c>
      <c r="K11" s="32">
        <v>7</v>
      </c>
      <c r="L11" s="44">
        <f>('Flow cytometer'!J11/'Flow cytometer'!K11)*POWER(10,'Flow cytometer'!I11+2)*10.2</f>
        <v>581837142.85714281</v>
      </c>
      <c r="M11" s="32">
        <v>3</v>
      </c>
      <c r="N11" s="32">
        <v>3760</v>
      </c>
      <c r="O11" s="32">
        <v>7</v>
      </c>
      <c r="P11" s="44">
        <f>('Flow cytometer'!N11/'Flow cytometer'!O11)*POWER(10,'Flow cytometer'!M11+2)*10.2</f>
        <v>547885714.28571415</v>
      </c>
      <c r="Q11" s="47">
        <f>AVERAGE(H11,L11,P11)*Calculation!I11/Calculation!K10</f>
        <v>569410350.66883099</v>
      </c>
      <c r="R11" s="48">
        <f>STDEV(H11,L11,P11)*Calculation!I11/Calculation!K10</f>
        <v>17139989.872826248</v>
      </c>
      <c r="S11" s="49">
        <f t="shared" si="1"/>
        <v>8.7554253574324683</v>
      </c>
      <c r="T11" s="49">
        <f t="shared" si="2"/>
        <v>20.160111910846066</v>
      </c>
      <c r="U11" s="49">
        <f t="shared" si="3"/>
        <v>8.7536749633439754</v>
      </c>
      <c r="V11" s="49">
        <f t="shared" si="4"/>
        <v>8.764801441941998</v>
      </c>
      <c r="W11" s="49">
        <f t="shared" si="5"/>
        <v>8.738689976675321</v>
      </c>
      <c r="X11" s="49">
        <f xml:space="preserve"> STDEV(U11:W11)*Calculation!I11/Calculation!K10</f>
        <v>1.3191101587712513E-2</v>
      </c>
    </row>
    <row r="12" spans="1:24">
      <c r="A12" s="63">
        <v>8</v>
      </c>
      <c r="B12" s="32">
        <v>80</v>
      </c>
      <c r="C12" s="32">
        <f t="shared" si="6"/>
        <v>680</v>
      </c>
      <c r="D12" s="13">
        <f t="shared" si="0"/>
        <v>11.333333333333334</v>
      </c>
      <c r="E12" s="32">
        <v>3</v>
      </c>
      <c r="F12" s="32">
        <v>10575</v>
      </c>
      <c r="G12" s="32">
        <v>7</v>
      </c>
      <c r="H12" s="44">
        <f>('Flow cytometer'!F12/'Flow cytometer'!G12)*POWER(10,'Flow cytometer'!E12+2)*10.2</f>
        <v>1540928571.4285712</v>
      </c>
      <c r="I12" s="32">
        <v>3</v>
      </c>
      <c r="J12" s="32">
        <v>10085</v>
      </c>
      <c r="K12" s="32">
        <v>7</v>
      </c>
      <c r="L12" s="44">
        <f>('Flow cytometer'!J12/'Flow cytometer'!K12)*POWER(10,'Flow cytometer'!I12+2)*10.2</f>
        <v>1469528571.4285712</v>
      </c>
      <c r="M12" s="32">
        <v>3</v>
      </c>
      <c r="N12" s="32">
        <v>11420</v>
      </c>
      <c r="O12" s="32">
        <v>7</v>
      </c>
      <c r="P12" s="44">
        <f>('Flow cytometer'!N12/'Flow cytometer'!O12)*POWER(10,'Flow cytometer'!M12+2)*10.2</f>
        <v>1664057142.8571427</v>
      </c>
      <c r="Q12" s="47">
        <f>AVERAGE(H12,L12,P12)*Calculation!I12/Calculation!K11</f>
        <v>1581111402.143955</v>
      </c>
      <c r="R12" s="48">
        <f>STDEV(H12,L12,P12)*Calculation!I12/Calculation!K11</f>
        <v>99852642.743737593</v>
      </c>
      <c r="S12" s="49">
        <f t="shared" si="1"/>
        <v>9.1989624705849113</v>
      </c>
      <c r="T12" s="49">
        <f t="shared" si="2"/>
        <v>21.181393855780495</v>
      </c>
      <c r="U12" s="49">
        <f t="shared" si="3"/>
        <v>9.1877825077947399</v>
      </c>
      <c r="V12" s="49">
        <f t="shared" si="4"/>
        <v>9.1671780342964446</v>
      </c>
      <c r="W12" s="49">
        <f t="shared" si="5"/>
        <v>9.2211682356574904</v>
      </c>
      <c r="X12" s="49">
        <f xml:space="preserve"> STDEV(U12:W12)*Calculation!I12/Calculation!K11</f>
        <v>2.7647206028305921E-2</v>
      </c>
    </row>
    <row r="13" spans="1:24">
      <c r="A13" s="63">
        <v>9</v>
      </c>
      <c r="B13" s="32">
        <v>80</v>
      </c>
      <c r="C13" s="32">
        <f t="shared" si="6"/>
        <v>760</v>
      </c>
      <c r="D13" s="13">
        <f t="shared" si="0"/>
        <v>12.666666666666666</v>
      </c>
      <c r="E13" s="32">
        <v>3</v>
      </c>
      <c r="F13" s="32">
        <v>22198</v>
      </c>
      <c r="G13" s="32">
        <v>7</v>
      </c>
      <c r="H13" s="44">
        <f>('Flow cytometer'!F13/'Flow cytometer'!G13)*POWER(10,'Flow cytometer'!E13+2)*10.2</f>
        <v>3234565714.2857141</v>
      </c>
      <c r="I13" s="32">
        <v>3</v>
      </c>
      <c r="J13" s="32">
        <v>23681</v>
      </c>
      <c r="K13" s="32">
        <v>7</v>
      </c>
      <c r="L13" s="44">
        <f>('Flow cytometer'!J13/'Flow cytometer'!K13)*POWER(10,'Flow cytometer'!I13+2)*10.2</f>
        <v>3450659999.9999995</v>
      </c>
      <c r="M13" s="32">
        <v>3</v>
      </c>
      <c r="N13" s="32">
        <v>25631</v>
      </c>
      <c r="O13" s="32">
        <v>7</v>
      </c>
      <c r="P13" s="44">
        <f>('Flow cytometer'!N13/'Flow cytometer'!O13)*POWER(10,'Flow cytometer'!M13+2)*10.2</f>
        <v>3734802857.1428571</v>
      </c>
      <c r="Q13" s="47">
        <f>AVERAGE(H13,L13,P13)*Calculation!I13/Calculation!K12</f>
        <v>3592195114.7174392</v>
      </c>
      <c r="R13" s="48">
        <f>STDEV(H13,L13,P13)*Calculation!I13/Calculation!K12</f>
        <v>259473802.17873609</v>
      </c>
      <c r="S13" s="49">
        <f t="shared" si="1"/>
        <v>9.5553599179016633</v>
      </c>
      <c r="T13" s="49">
        <f t="shared" si="2"/>
        <v>22.002029305153176</v>
      </c>
      <c r="U13" s="49">
        <f t="shared" si="3"/>
        <v>9.5098159788067775</v>
      </c>
      <c r="V13" s="49">
        <f t="shared" si="4"/>
        <v>9.5379021695498984</v>
      </c>
      <c r="W13" s="49">
        <f t="shared" si="5"/>
        <v>9.5722676823723933</v>
      </c>
      <c r="X13" s="49">
        <f xml:space="preserve"> STDEV(U13:W13)*Calculation!I13/Calculation!K12</f>
        <v>3.2348719104715838E-2</v>
      </c>
    </row>
    <row r="14" spans="1:24">
      <c r="A14" s="63">
        <v>10</v>
      </c>
      <c r="B14" s="32">
        <v>80</v>
      </c>
      <c r="C14" s="32">
        <f t="shared" si="6"/>
        <v>840</v>
      </c>
      <c r="D14" s="13">
        <f t="shared" si="0"/>
        <v>14</v>
      </c>
      <c r="E14" s="32">
        <v>3</v>
      </c>
      <c r="F14" s="32">
        <v>31253</v>
      </c>
      <c r="G14" s="32">
        <v>7</v>
      </c>
      <c r="H14" s="44">
        <f>('Flow cytometer'!F14/'Flow cytometer'!G14)*POWER(10,'Flow cytometer'!E14+2)*10.2</f>
        <v>4554008571.4285707</v>
      </c>
      <c r="I14" s="32">
        <v>3</v>
      </c>
      <c r="J14" s="32">
        <v>33778</v>
      </c>
      <c r="K14" s="32">
        <v>7</v>
      </c>
      <c r="L14" s="44">
        <f>('Flow cytometer'!J14/'Flow cytometer'!K14)*POWER(10,'Flow cytometer'!I14+2)*10.2</f>
        <v>4921937142.8571424</v>
      </c>
      <c r="M14" s="32">
        <v>3</v>
      </c>
      <c r="N14" s="32">
        <v>33760</v>
      </c>
      <c r="O14" s="32">
        <v>7</v>
      </c>
      <c r="P14" s="44">
        <f>('Flow cytometer'!N14/'Flow cytometer'!O14)*POWER(10,'Flow cytometer'!M14+2)*10.2</f>
        <v>4919314285.7142859</v>
      </c>
      <c r="Q14" s="47">
        <f>AVERAGE(H14,L14,P14)*Calculation!I14/Calculation!K13</f>
        <v>5056248517.6145658</v>
      </c>
      <c r="R14" s="48">
        <f>STDEV(H14,L14,P14)*Calculation!I14/Calculation!K13</f>
        <v>223044043.50852084</v>
      </c>
      <c r="S14" s="49">
        <f t="shared" si="1"/>
        <v>9.7038284116303828</v>
      </c>
      <c r="T14" s="49">
        <f t="shared" si="2"/>
        <v>22.343890645592207</v>
      </c>
      <c r="U14" s="49">
        <f t="shared" si="3"/>
        <v>9.658393843696917</v>
      </c>
      <c r="V14" s="49">
        <f t="shared" si="4"/>
        <v>9.6921360631082294</v>
      </c>
      <c r="W14" s="49">
        <f t="shared" si="5"/>
        <v>9.6919045697012773</v>
      </c>
      <c r="X14" s="49">
        <f xml:space="preserve"> STDEV(U14:W14)*Calculation!I14/Calculation!K13</f>
        <v>2.0457782537914256E-2</v>
      </c>
    </row>
    <row r="15" spans="1:24">
      <c r="A15" s="63">
        <v>11</v>
      </c>
      <c r="B15" s="32">
        <v>80</v>
      </c>
      <c r="C15" s="32">
        <f t="shared" si="6"/>
        <v>920</v>
      </c>
      <c r="D15" s="13">
        <f t="shared" si="0"/>
        <v>15.333333333333334</v>
      </c>
      <c r="E15" s="32">
        <v>3</v>
      </c>
      <c r="F15" s="32">
        <v>34272</v>
      </c>
      <c r="G15" s="32">
        <v>7</v>
      </c>
      <c r="H15" s="44">
        <f>('Flow cytometer'!F15/'Flow cytometer'!G15)*POWER(10,'Flow cytometer'!E15+2)*10.2</f>
        <v>4993920000</v>
      </c>
      <c r="I15" s="32">
        <v>3</v>
      </c>
      <c r="J15" s="32">
        <v>31883</v>
      </c>
      <c r="K15" s="32">
        <v>7</v>
      </c>
      <c r="L15" s="44">
        <f>('Flow cytometer'!J15/'Flow cytometer'!K15)*POWER(10,'Flow cytometer'!I15+2)*10.2</f>
        <v>4645808571.4285707</v>
      </c>
      <c r="M15" s="32">
        <v>3</v>
      </c>
      <c r="N15" s="32">
        <v>33647</v>
      </c>
      <c r="O15" s="32">
        <v>7</v>
      </c>
      <c r="P15" s="44">
        <f>('Flow cytometer'!N15/'Flow cytometer'!O15)*POWER(10,'Flow cytometer'!M15+2)*10.2</f>
        <v>4902848571.4285707</v>
      </c>
      <c r="Q15" s="47">
        <f>AVERAGE(H15,L15,P15)*Calculation!I15/Calculation!K14</f>
        <v>5122812873.3398647</v>
      </c>
      <c r="R15" s="48">
        <f>STDEV(H15,L15,P15)*Calculation!I15/Calculation!K14</f>
        <v>190781496.67468074</v>
      </c>
      <c r="S15" s="49">
        <f t="shared" si="1"/>
        <v>9.7095084922104853</v>
      </c>
      <c r="T15" s="49">
        <f t="shared" si="2"/>
        <v>22.356969514462957</v>
      </c>
      <c r="U15" s="49">
        <f t="shared" si="3"/>
        <v>9.6984415808994218</v>
      </c>
      <c r="V15" s="49">
        <f t="shared" si="4"/>
        <v>9.6670613109129846</v>
      </c>
      <c r="W15" s="49">
        <f t="shared" si="5"/>
        <v>9.6904484799056601</v>
      </c>
      <c r="X15" s="49">
        <f xml:space="preserve"> STDEV(U15:W15)*Calculation!I15/Calculation!K14</f>
        <v>1.723339209726394E-2</v>
      </c>
    </row>
    <row r="16" spans="1:24">
      <c r="A16" s="63">
        <v>12</v>
      </c>
      <c r="B16" s="32">
        <v>80</v>
      </c>
      <c r="C16" s="32">
        <f t="shared" si="6"/>
        <v>1000</v>
      </c>
      <c r="D16" s="13">
        <f t="shared" si="0"/>
        <v>16.666666666666668</v>
      </c>
      <c r="E16" s="32">
        <v>3</v>
      </c>
      <c r="F16" s="32">
        <v>32145</v>
      </c>
      <c r="G16" s="32">
        <v>7</v>
      </c>
      <c r="H16" s="44">
        <f>('Flow cytometer'!F16/'Flow cytometer'!G16)*POWER(10,'Flow cytometer'!E16+2)*10.2</f>
        <v>4683985714.2857132</v>
      </c>
      <c r="I16" s="32">
        <v>3</v>
      </c>
      <c r="J16" s="32">
        <v>33117</v>
      </c>
      <c r="K16" s="32">
        <v>7</v>
      </c>
      <c r="L16" s="44">
        <f>('Flow cytometer'!J16/'Flow cytometer'!K16)*POWER(10,'Flow cytometer'!I16+2)*10.2</f>
        <v>4825620000</v>
      </c>
      <c r="M16" s="32">
        <v>3</v>
      </c>
      <c r="N16" s="32">
        <v>35920</v>
      </c>
      <c r="O16" s="32">
        <v>7</v>
      </c>
      <c r="P16" s="44">
        <f>('Flow cytometer'!N16/'Flow cytometer'!O16)*POWER(10,'Flow cytometer'!M16+2)*10.2</f>
        <v>5234057142.8571424</v>
      </c>
      <c r="Q16" s="47">
        <f>AVERAGE(H16,L16,P16)*Calculation!I16/Calculation!K15</f>
        <v>5204204139.4417295</v>
      </c>
      <c r="R16" s="48">
        <f>STDEV(H16,L16,P16)*Calculation!I16/Calculation!K15</f>
        <v>302449626.64335203</v>
      </c>
      <c r="S16" s="49">
        <f t="shared" si="1"/>
        <v>9.7163543238031238</v>
      </c>
      <c r="T16" s="49">
        <f t="shared" si="2"/>
        <v>22.372732624237312</v>
      </c>
      <c r="U16" s="49">
        <f t="shared" si="3"/>
        <v>9.670615561845171</v>
      </c>
      <c r="V16" s="49">
        <f t="shared" si="4"/>
        <v>9.6835531198104832</v>
      </c>
      <c r="W16" s="49">
        <f t="shared" si="5"/>
        <v>9.718838459742928</v>
      </c>
      <c r="X16" s="49">
        <f xml:space="preserve"> STDEV(U16:W16)*Calculation!I16/Calculation!K15</f>
        <v>2.6430625602549065E-2</v>
      </c>
    </row>
    <row r="17" spans="1:24">
      <c r="A17" s="63">
        <v>13</v>
      </c>
      <c r="B17" s="32">
        <v>80</v>
      </c>
      <c r="C17" s="32">
        <f t="shared" si="6"/>
        <v>1080</v>
      </c>
      <c r="D17" s="13">
        <f t="shared" si="0"/>
        <v>18</v>
      </c>
      <c r="E17" s="32">
        <v>3</v>
      </c>
      <c r="F17" s="32">
        <v>28342</v>
      </c>
      <c r="G17" s="32">
        <v>7</v>
      </c>
      <c r="H17" s="44">
        <f>('Flow cytometer'!F17/'Flow cytometer'!G17)*POWER(10,'Flow cytometer'!E17+2)*10.2</f>
        <v>4129834285.7142854</v>
      </c>
      <c r="I17" s="32">
        <v>3</v>
      </c>
      <c r="J17" s="32">
        <v>32481</v>
      </c>
      <c r="K17" s="32">
        <v>7</v>
      </c>
      <c r="L17" s="44">
        <f>('Flow cytometer'!J17/'Flow cytometer'!K17)*POWER(10,'Flow cytometer'!I17+2)*10.2</f>
        <v>4732945714.2857132</v>
      </c>
      <c r="M17" s="32">
        <v>3</v>
      </c>
      <c r="N17" s="32">
        <v>33802</v>
      </c>
      <c r="O17" s="32">
        <v>7</v>
      </c>
      <c r="P17" s="44">
        <f>('Flow cytometer'!N17/'Flow cytometer'!O17)*POWER(10,'Flow cytometer'!M17+2)*10.2</f>
        <v>4925434285.7142859</v>
      </c>
      <c r="Q17" s="47">
        <f>AVERAGE(H17,L17,P17)*Calculation!I17/Calculation!K16</f>
        <v>4866950808.3915472</v>
      </c>
      <c r="R17" s="48">
        <f>STDEV(H17,L17,P17)*Calculation!I17/Calculation!K16</f>
        <v>439549197.79844004</v>
      </c>
      <c r="S17" s="49">
        <f t="shared" si="1"/>
        <v>9.6872569567320888</v>
      </c>
      <c r="T17" s="49">
        <f t="shared" si="2"/>
        <v>22.305733460574171</v>
      </c>
      <c r="U17" s="49">
        <f t="shared" si="3"/>
        <v>9.6159326254472592</v>
      </c>
      <c r="V17" s="49">
        <f t="shared" si="4"/>
        <v>9.6751315232464918</v>
      </c>
      <c r="W17" s="49">
        <f t="shared" si="5"/>
        <v>9.6924445291633905</v>
      </c>
      <c r="X17" s="49">
        <f xml:space="preserve"> STDEV(U17:W17)*Calculation!I17/Calculation!K16</f>
        <v>4.2485954687140351E-2</v>
      </c>
    </row>
    <row r="18" spans="1:24">
      <c r="A18" s="63">
        <v>14</v>
      </c>
      <c r="B18" s="32">
        <v>360</v>
      </c>
      <c r="C18" s="32">
        <f t="shared" si="6"/>
        <v>1440</v>
      </c>
      <c r="D18" s="13">
        <f t="shared" si="0"/>
        <v>24</v>
      </c>
      <c r="E18" s="32">
        <v>3</v>
      </c>
      <c r="F18" s="32">
        <v>37516</v>
      </c>
      <c r="G18" s="32">
        <v>7</v>
      </c>
      <c r="H18" s="44">
        <f>('Flow cytometer'!F18/'Flow cytometer'!G18)*POWER(10,'Flow cytometer'!E18+2)*10.2</f>
        <v>5466617142.8571424</v>
      </c>
      <c r="I18" s="32">
        <v>3</v>
      </c>
      <c r="J18" s="32">
        <v>36703</v>
      </c>
      <c r="K18" s="32">
        <v>7</v>
      </c>
      <c r="L18" s="44">
        <f>('Flow cytometer'!J18/'Flow cytometer'!K18)*POWER(10,'Flow cytometer'!I18+2)*10.2</f>
        <v>5348151428.5714283</v>
      </c>
      <c r="M18" s="32">
        <v>3</v>
      </c>
      <c r="N18" s="32">
        <v>39744</v>
      </c>
      <c r="O18" s="32">
        <v>7</v>
      </c>
      <c r="P18" s="44">
        <f>('Flow cytometer'!N18/'Flow cytometer'!O18)*POWER(10,'Flow cytometer'!M18+2)*10.2</f>
        <v>5791268571.4285707</v>
      </c>
      <c r="Q18" s="47">
        <f>AVERAGE(H18,L18,P18)*Calculation!I18/Calculation!K17</f>
        <v>5868244139.47995</v>
      </c>
      <c r="R18" s="48">
        <f>STDEV(H18,L18,P18)*Calculation!I18/Calculation!K17</f>
        <v>243211370.6578511</v>
      </c>
      <c r="S18" s="49">
        <f t="shared" si="1"/>
        <v>9.7685081737164641</v>
      </c>
      <c r="T18" s="49">
        <f t="shared" si="2"/>
        <v>22.492821301590023</v>
      </c>
      <c r="U18" s="49">
        <f t="shared" si="3"/>
        <v>9.7377186589351172</v>
      </c>
      <c r="V18" s="49">
        <f t="shared" si="4"/>
        <v>9.7282036954601647</v>
      </c>
      <c r="W18" s="49">
        <f t="shared" si="5"/>
        <v>9.7627737059081277</v>
      </c>
      <c r="X18" s="49">
        <f xml:space="preserve"> STDEV(U18:W18)*Calculation!I18/Calculation!K17</f>
        <v>1.8931625559054095E-2</v>
      </c>
    </row>
    <row r="19" spans="1:24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E19" s="32">
        <v>3</v>
      </c>
      <c r="F19" s="32">
        <v>31408</v>
      </c>
      <c r="G19" s="32">
        <v>7</v>
      </c>
      <c r="H19" s="44">
        <f>('Flow cytometer'!F19/'Flow cytometer'!G19)*POWER(10,'Flow cytometer'!E19+2)*10.2</f>
        <v>4576594285.7142859</v>
      </c>
      <c r="I19" s="32">
        <v>3</v>
      </c>
      <c r="J19" s="32">
        <v>30132</v>
      </c>
      <c r="K19" s="32">
        <v>7</v>
      </c>
      <c r="L19" s="44">
        <f>('Flow cytometer'!J19/'Flow cytometer'!K19)*POWER(10,'Flow cytometer'!I19+2)*10.2</f>
        <v>4390662857.1428566</v>
      </c>
      <c r="M19" s="32">
        <v>3</v>
      </c>
      <c r="N19" s="32">
        <v>30193</v>
      </c>
      <c r="O19" s="32">
        <v>7</v>
      </c>
      <c r="P19" s="44">
        <f>('Flow cytometer'!N19/'Flow cytometer'!O19)*POWER(10,'Flow cytometer'!M19+2)*10.2</f>
        <v>4399551428.5714283</v>
      </c>
      <c r="Q19" s="47">
        <f>AVERAGE(H19,L19,P19)*Calculation!I19/Calculation!K18</f>
        <v>4723565013.6177044</v>
      </c>
      <c r="R19" s="48">
        <f>STDEV(H19,L19,P19)*Calculation!I19/Calculation!K18</f>
        <v>111183146.04739089</v>
      </c>
      <c r="S19" s="49">
        <f t="shared" si="1"/>
        <v>9.6742698972218335</v>
      </c>
      <c r="T19" s="49">
        <f t="shared" si="2"/>
        <v>22.275829650944033</v>
      </c>
      <c r="U19" s="49">
        <f t="shared" si="3"/>
        <v>9.6605424140035918</v>
      </c>
      <c r="V19" s="49">
        <f t="shared" si="4"/>
        <v>9.6425300905082079</v>
      </c>
      <c r="W19" s="49">
        <f t="shared" si="5"/>
        <v>9.643408398752733</v>
      </c>
      <c r="X19" s="49">
        <f xml:space="preserve"> STDEV(U19:W19)*Calculation!I19/Calculation!K18</f>
        <v>1.0766122992516213E-2</v>
      </c>
    </row>
    <row r="20" spans="1:24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E20" s="32">
        <v>3</v>
      </c>
      <c r="F20" s="32">
        <v>28618</v>
      </c>
      <c r="G20" s="32">
        <v>7</v>
      </c>
      <c r="H20" s="44">
        <f>('Flow cytometer'!F20/'Flow cytometer'!G20)*POWER(10,'Flow cytometer'!E20+2)*10.2</f>
        <v>4170051428.5714278</v>
      </c>
      <c r="I20" s="32">
        <v>3</v>
      </c>
      <c r="J20" s="32">
        <v>27915</v>
      </c>
      <c r="K20" s="32">
        <v>7</v>
      </c>
      <c r="L20" s="44">
        <f>('Flow cytometer'!J20/'Flow cytometer'!K20)*POWER(10,'Flow cytometer'!I20+2)*10.2</f>
        <v>4067614285.7142854</v>
      </c>
      <c r="M20" s="32">
        <v>3</v>
      </c>
      <c r="N20" s="32">
        <v>30408</v>
      </c>
      <c r="O20" s="32">
        <v>7</v>
      </c>
      <c r="P20" s="44">
        <f>('Flow cytometer'!N20/'Flow cytometer'!O20)*POWER(10,'Flow cytometer'!M20+2)*10.2</f>
        <v>4430880000</v>
      </c>
      <c r="Q20" s="47">
        <f>AVERAGE(H20,L20,P20)*Calculation!I20/Calculation!K19</f>
        <v>4476812770.2019644</v>
      </c>
      <c r="R20" s="48">
        <f>STDEV(H20,L20,P20)*Calculation!I20/Calculation!K19</f>
        <v>198563914.09500915</v>
      </c>
      <c r="S20" s="49">
        <f t="shared" ref="S20" si="7">LOG(Q20)</f>
        <v>9.6509689316475846</v>
      </c>
      <c r="T20" s="49">
        <f t="shared" ref="T20" si="8">LN(Q20)</f>
        <v>22.222177194960398</v>
      </c>
      <c r="U20" s="49">
        <f t="shared" si="3"/>
        <v>9.6201414110905574</v>
      </c>
      <c r="V20" s="49">
        <f t="shared" si="4"/>
        <v>9.6093397639341092</v>
      </c>
      <c r="W20" s="49">
        <f t="shared" si="5"/>
        <v>9.646489988342708</v>
      </c>
      <c r="X20" s="49">
        <f xml:space="preserve"> STDEV(U20:W20)*Calculation!I20/Calculation!K19</f>
        <v>2.0258867278461361E-2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21" workbookViewId="0">
      <selection activeCell="M41" sqref="M41"/>
    </sheetView>
  </sheetViews>
  <sheetFormatPr baseColWidth="10" defaultColWidth="8.83203125" defaultRowHeight="14" x14ac:dyDescent="0"/>
  <cols>
    <col min="1" max="2" width="8.83203125" style="84"/>
    <col min="3" max="3" width="9.83203125" style="84" customWidth="1"/>
    <col min="4" max="17" width="8.83203125" style="84"/>
    <col min="18" max="18" width="13.83203125" style="84" bestFit="1" customWidth="1"/>
    <col min="19" max="16384" width="8.83203125" style="84"/>
  </cols>
  <sheetData>
    <row r="1" spans="2:18">
      <c r="B1" s="145" t="s">
        <v>4</v>
      </c>
      <c r="C1" s="147" t="s">
        <v>185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3" t="s">
        <v>22</v>
      </c>
      <c r="Q1" s="83" t="s">
        <v>22</v>
      </c>
      <c r="R1" s="83" t="s">
        <v>22</v>
      </c>
    </row>
    <row r="2" spans="2:18">
      <c r="B2" s="146"/>
      <c r="C2" s="146"/>
      <c r="D2" s="85" t="s">
        <v>19</v>
      </c>
      <c r="E2" s="85" t="s">
        <v>68</v>
      </c>
      <c r="F2" s="85" t="s">
        <v>69</v>
      </c>
      <c r="G2" s="85" t="s">
        <v>70</v>
      </c>
      <c r="H2" s="85" t="s">
        <v>19</v>
      </c>
      <c r="I2" s="85" t="s">
        <v>68</v>
      </c>
      <c r="J2" s="85" t="s">
        <v>69</v>
      </c>
      <c r="K2" s="85" t="s">
        <v>70</v>
      </c>
      <c r="L2" s="85" t="s">
        <v>19</v>
      </c>
      <c r="M2" s="85" t="s">
        <v>68</v>
      </c>
      <c r="N2" s="85" t="s">
        <v>69</v>
      </c>
      <c r="O2" s="85" t="s">
        <v>71</v>
      </c>
      <c r="P2" s="86" t="s">
        <v>70</v>
      </c>
      <c r="Q2" s="86" t="s">
        <v>23</v>
      </c>
      <c r="R2" s="86" t="s">
        <v>72</v>
      </c>
    </row>
    <row r="3" spans="2:18">
      <c r="B3" s="87"/>
      <c r="C3" s="87"/>
      <c r="D3" s="88"/>
      <c r="E3" s="88"/>
      <c r="F3" s="88"/>
      <c r="G3" s="89"/>
      <c r="H3" s="88"/>
      <c r="I3" s="88"/>
      <c r="J3" s="88"/>
      <c r="K3" s="89"/>
      <c r="L3" s="88"/>
      <c r="M3" s="88"/>
      <c r="N3" s="88"/>
      <c r="O3" s="89"/>
      <c r="P3" s="142"/>
      <c r="Q3" s="143"/>
      <c r="R3" s="144"/>
    </row>
    <row r="4" spans="2:18">
      <c r="B4" s="90" t="s">
        <v>186</v>
      </c>
      <c r="C4" s="91">
        <v>500</v>
      </c>
      <c r="D4" s="91">
        <v>3</v>
      </c>
      <c r="E4" s="91">
        <v>14133</v>
      </c>
      <c r="F4" s="91">
        <v>7</v>
      </c>
      <c r="G4" s="89">
        <f>(E4/F4)*(10.2)*POWER(10,D4+2)</f>
        <v>2059380000</v>
      </c>
      <c r="H4" s="91">
        <v>3</v>
      </c>
      <c r="I4" s="91">
        <v>15082</v>
      </c>
      <c r="J4" s="91">
        <v>7</v>
      </c>
      <c r="K4" s="89">
        <f t="shared" ref="K4:K18" si="0">(I4/J4)*(10.2)*POWER(10,H4+2)</f>
        <v>2197662857.1428571</v>
      </c>
      <c r="L4" s="91">
        <v>3</v>
      </c>
      <c r="M4" s="91">
        <v>15922</v>
      </c>
      <c r="N4" s="91">
        <v>7</v>
      </c>
      <c r="O4" s="89">
        <f t="shared" ref="O4:O19" si="1">(M4/N4)*(10.2)*POWER(10,L4+2)</f>
        <v>2320062857.1428571</v>
      </c>
      <c r="P4" s="92">
        <f t="shared" ref="P4:P19" si="2">AVERAGE(O4,K4,G4)</f>
        <v>2192368571.4285712</v>
      </c>
      <c r="Q4" s="92">
        <f t="shared" ref="Q4:Q19" si="3">STDEV(O4,K4,G4)</f>
        <v>130422046.05801573</v>
      </c>
      <c r="R4" s="93">
        <f>LOG(P4)</f>
        <v>9.3409135676416426</v>
      </c>
    </row>
    <row r="5" spans="2:18">
      <c r="B5" s="90" t="s">
        <v>187</v>
      </c>
      <c r="C5" s="91">
        <v>500</v>
      </c>
      <c r="D5" s="91">
        <v>2</v>
      </c>
      <c r="E5" s="91">
        <v>16544</v>
      </c>
      <c r="F5" s="91">
        <v>7</v>
      </c>
      <c r="G5" s="89">
        <f t="shared" ref="G5:G19" si="4">(E5/F5)*(10.2)*POWER(10,D5+2)</f>
        <v>241069714.2857143</v>
      </c>
      <c r="H5" s="91">
        <v>2</v>
      </c>
      <c r="I5" s="91">
        <v>15924</v>
      </c>
      <c r="J5" s="91">
        <v>7</v>
      </c>
      <c r="K5" s="89">
        <f t="shared" si="0"/>
        <v>232035428.57142854</v>
      </c>
      <c r="L5" s="91">
        <v>2</v>
      </c>
      <c r="M5" s="91">
        <v>15173</v>
      </c>
      <c r="N5" s="91">
        <v>7</v>
      </c>
      <c r="O5" s="89">
        <f t="shared" si="1"/>
        <v>221092285.71428567</v>
      </c>
      <c r="P5" s="92">
        <f t="shared" si="2"/>
        <v>231399142.85714284</v>
      </c>
      <c r="Q5" s="92">
        <f t="shared" si="3"/>
        <v>10003902.124385577</v>
      </c>
      <c r="R5" s="93">
        <f t="shared" ref="R5:R19" si="5">LOG(P5)</f>
        <v>8.3643617459160655</v>
      </c>
    </row>
    <row r="6" spans="2:18">
      <c r="B6" s="90" t="s">
        <v>188</v>
      </c>
      <c r="C6" s="91">
        <v>500</v>
      </c>
      <c r="D6" s="91">
        <v>1</v>
      </c>
      <c r="E6" s="91">
        <v>18107</v>
      </c>
      <c r="F6" s="91">
        <v>7</v>
      </c>
      <c r="G6" s="89">
        <f t="shared" si="4"/>
        <v>26384485.714285713</v>
      </c>
      <c r="H6" s="91">
        <v>1</v>
      </c>
      <c r="I6" s="91">
        <v>18423</v>
      </c>
      <c r="J6" s="91">
        <v>7</v>
      </c>
      <c r="K6" s="89">
        <f t="shared" si="0"/>
        <v>26844942.857142854</v>
      </c>
      <c r="L6" s="91">
        <v>1</v>
      </c>
      <c r="M6" s="91">
        <v>17005</v>
      </c>
      <c r="N6" s="91">
        <v>7</v>
      </c>
      <c r="O6" s="89">
        <f t="shared" si="1"/>
        <v>24778714.285714284</v>
      </c>
      <c r="P6" s="92">
        <f t="shared" si="2"/>
        <v>26002714.285714284</v>
      </c>
      <c r="Q6" s="92">
        <f t="shared" si="3"/>
        <v>1084729.0883451225</v>
      </c>
      <c r="R6" s="93">
        <f t="shared" si="5"/>
        <v>7.4150186840393397</v>
      </c>
    </row>
    <row r="7" spans="2:18">
      <c r="B7" s="90" t="s">
        <v>189</v>
      </c>
      <c r="C7" s="91">
        <v>500</v>
      </c>
      <c r="D7" s="91">
        <v>1</v>
      </c>
      <c r="E7" s="91">
        <v>1825</v>
      </c>
      <c r="F7" s="91">
        <v>7</v>
      </c>
      <c r="G7" s="89">
        <f t="shared" si="4"/>
        <v>2659285.7142857141</v>
      </c>
      <c r="H7" s="91">
        <v>1</v>
      </c>
      <c r="I7" s="91">
        <v>1808</v>
      </c>
      <c r="J7" s="91">
        <v>7</v>
      </c>
      <c r="K7" s="89">
        <f t="shared" si="0"/>
        <v>2634514.2857142854</v>
      </c>
      <c r="L7" s="91">
        <v>1</v>
      </c>
      <c r="M7" s="91">
        <v>1822</v>
      </c>
      <c r="N7" s="91">
        <v>7</v>
      </c>
      <c r="O7" s="89">
        <f t="shared" si="1"/>
        <v>2654914.2857142854</v>
      </c>
      <c r="P7" s="92">
        <f t="shared" si="2"/>
        <v>2649571.4285714286</v>
      </c>
      <c r="Q7" s="92">
        <f t="shared" si="3"/>
        <v>13221.78165770719</v>
      </c>
      <c r="R7" s="93">
        <f t="shared" si="5"/>
        <v>6.4231756319523594</v>
      </c>
    </row>
    <row r="8" spans="2:18">
      <c r="B8" s="90" t="s">
        <v>190</v>
      </c>
      <c r="C8" s="91">
        <v>500</v>
      </c>
      <c r="D8" s="91">
        <v>0</v>
      </c>
      <c r="E8" s="91">
        <v>2306</v>
      </c>
      <c r="F8" s="91">
        <v>7</v>
      </c>
      <c r="G8" s="89">
        <f t="shared" si="4"/>
        <v>336017.14285714284</v>
      </c>
      <c r="H8" s="91">
        <v>0</v>
      </c>
      <c r="I8" s="91">
        <v>2052</v>
      </c>
      <c r="J8" s="91">
        <v>7</v>
      </c>
      <c r="K8" s="89">
        <f t="shared" si="0"/>
        <v>299005.71428571432</v>
      </c>
      <c r="L8" s="91">
        <v>0</v>
      </c>
      <c r="M8" s="91">
        <v>2049</v>
      </c>
      <c r="N8" s="91">
        <v>7</v>
      </c>
      <c r="O8" s="89">
        <f t="shared" si="1"/>
        <v>298568.57142857142</v>
      </c>
      <c r="P8" s="92">
        <f t="shared" si="2"/>
        <v>311197.14285714284</v>
      </c>
      <c r="Q8" s="92">
        <f t="shared" si="3"/>
        <v>21495.861775453133</v>
      </c>
      <c r="R8" s="93">
        <f t="shared" si="5"/>
        <v>5.4930356010198587</v>
      </c>
    </row>
    <row r="9" spans="2:18">
      <c r="B9" s="90" t="s">
        <v>191</v>
      </c>
      <c r="C9" s="91">
        <v>1000</v>
      </c>
      <c r="D9" s="91">
        <v>3</v>
      </c>
      <c r="E9" s="91">
        <v>13995</v>
      </c>
      <c r="F9" s="91">
        <v>7</v>
      </c>
      <c r="G9" s="89">
        <f t="shared" si="4"/>
        <v>2039271428.5714283</v>
      </c>
      <c r="H9" s="91">
        <v>3</v>
      </c>
      <c r="I9" s="91">
        <v>13769</v>
      </c>
      <c r="J9" s="91">
        <v>7</v>
      </c>
      <c r="K9" s="89">
        <f t="shared" si="0"/>
        <v>2006339999.9999998</v>
      </c>
      <c r="L9" s="91">
        <v>3</v>
      </c>
      <c r="M9" s="91">
        <v>15093</v>
      </c>
      <c r="N9" s="91">
        <v>7</v>
      </c>
      <c r="O9" s="89">
        <f t="shared" si="1"/>
        <v>2199265714.2857146</v>
      </c>
      <c r="P9" s="92">
        <f t="shared" si="2"/>
        <v>2081625714.2857141</v>
      </c>
      <c r="Q9" s="92">
        <f t="shared" si="3"/>
        <v>103201244.89045103</v>
      </c>
      <c r="R9" s="93">
        <f t="shared" si="5"/>
        <v>9.3184026440827186</v>
      </c>
    </row>
    <row r="10" spans="2:18">
      <c r="B10" s="90" t="s">
        <v>192</v>
      </c>
      <c r="C10" s="91">
        <v>900</v>
      </c>
      <c r="D10" s="91">
        <v>3</v>
      </c>
      <c r="E10" s="91">
        <v>6387</v>
      </c>
      <c r="F10" s="91">
        <v>7</v>
      </c>
      <c r="G10" s="89">
        <f t="shared" si="4"/>
        <v>930677142.85714281</v>
      </c>
      <c r="H10" s="91">
        <v>3</v>
      </c>
      <c r="I10" s="91">
        <v>7378</v>
      </c>
      <c r="J10" s="91">
        <v>7</v>
      </c>
      <c r="K10" s="89">
        <f t="shared" si="0"/>
        <v>1075080000</v>
      </c>
      <c r="L10" s="91">
        <v>3</v>
      </c>
      <c r="M10" s="91">
        <v>6564</v>
      </c>
      <c r="N10" s="91">
        <v>7</v>
      </c>
      <c r="O10" s="89">
        <f t="shared" si="1"/>
        <v>956468571.42857134</v>
      </c>
      <c r="P10" s="92">
        <f t="shared" si="2"/>
        <v>987408571.42857134</v>
      </c>
      <c r="Q10" s="92">
        <f t="shared" si="3"/>
        <v>77013044.270143658</v>
      </c>
      <c r="R10" s="93">
        <f t="shared" si="5"/>
        <v>8.9944968928936131</v>
      </c>
    </row>
    <row r="11" spans="2:18">
      <c r="B11" s="90" t="s">
        <v>193</v>
      </c>
      <c r="C11" s="91">
        <v>900</v>
      </c>
      <c r="D11" s="91">
        <v>3</v>
      </c>
      <c r="E11" s="91">
        <v>3341</v>
      </c>
      <c r="F11" s="91">
        <v>7</v>
      </c>
      <c r="G11" s="89">
        <f t="shared" si="4"/>
        <v>486831428.5714286</v>
      </c>
      <c r="H11" s="91">
        <v>3</v>
      </c>
      <c r="I11" s="91">
        <v>3712</v>
      </c>
      <c r="J11" s="91">
        <v>7</v>
      </c>
      <c r="K11" s="89">
        <f t="shared" si="0"/>
        <v>540891428.57142866</v>
      </c>
      <c r="L11" s="91">
        <v>3</v>
      </c>
      <c r="M11" s="91">
        <v>3690</v>
      </c>
      <c r="N11" s="91">
        <v>7</v>
      </c>
      <c r="O11" s="89">
        <f t="shared" si="1"/>
        <v>537685714.28571427</v>
      </c>
      <c r="P11" s="92">
        <f t="shared" si="2"/>
        <v>521802857.14285713</v>
      </c>
      <c r="Q11" s="92">
        <f t="shared" si="3"/>
        <v>30328530.516088422</v>
      </c>
      <c r="R11" s="93">
        <f t="shared" si="5"/>
        <v>8.7175064527595634</v>
      </c>
    </row>
    <row r="12" spans="2:18">
      <c r="B12" s="90" t="s">
        <v>194</v>
      </c>
      <c r="C12" s="91">
        <v>900</v>
      </c>
      <c r="D12" s="91">
        <v>2</v>
      </c>
      <c r="E12" s="91">
        <v>19134</v>
      </c>
      <c r="F12" s="91">
        <v>7</v>
      </c>
      <c r="G12" s="89">
        <f>(E12/F12)*(10.2)*POWER(10,D12+2)</f>
        <v>278809714.28571427</v>
      </c>
      <c r="H12" s="91">
        <v>2</v>
      </c>
      <c r="I12" s="91">
        <v>18838</v>
      </c>
      <c r="J12" s="91">
        <v>7</v>
      </c>
      <c r="K12" s="89">
        <f t="shared" si="0"/>
        <v>274496571.42857146</v>
      </c>
      <c r="L12" s="91">
        <v>2</v>
      </c>
      <c r="M12" s="91">
        <v>18096</v>
      </c>
      <c r="N12" s="91">
        <v>7</v>
      </c>
      <c r="O12" s="89">
        <f t="shared" si="1"/>
        <v>263684571.42857143</v>
      </c>
      <c r="P12" s="92">
        <f t="shared" si="2"/>
        <v>272330285.71428573</v>
      </c>
      <c r="Q12" s="92">
        <f t="shared" si="3"/>
        <v>7791795.8109272597</v>
      </c>
      <c r="R12" s="93">
        <f t="shared" si="5"/>
        <v>8.4350959416969342</v>
      </c>
    </row>
    <row r="13" spans="2:18">
      <c r="B13" s="90" t="s">
        <v>195</v>
      </c>
      <c r="C13" s="91">
        <v>900</v>
      </c>
      <c r="D13" s="91">
        <v>2</v>
      </c>
      <c r="E13" s="91">
        <v>9224</v>
      </c>
      <c r="F13" s="91">
        <v>7</v>
      </c>
      <c r="G13" s="89">
        <f t="shared" si="4"/>
        <v>134406857.14285713</v>
      </c>
      <c r="H13" s="91">
        <v>2</v>
      </c>
      <c r="I13" s="91">
        <v>9341</v>
      </c>
      <c r="J13" s="91">
        <v>7</v>
      </c>
      <c r="K13" s="89">
        <f t="shared" si="0"/>
        <v>136111714.28571427</v>
      </c>
      <c r="L13" s="91">
        <v>2</v>
      </c>
      <c r="M13" s="91">
        <v>9173</v>
      </c>
      <c r="N13" s="91">
        <v>7</v>
      </c>
      <c r="O13" s="89">
        <f t="shared" si="1"/>
        <v>133663714.28571427</v>
      </c>
      <c r="P13" s="92">
        <f t="shared" si="2"/>
        <v>134727428.57142857</v>
      </c>
      <c r="Q13" s="92">
        <f t="shared" si="3"/>
        <v>1255089.8496172463</v>
      </c>
      <c r="R13" s="93">
        <f t="shared" si="5"/>
        <v>8.1294560208497231</v>
      </c>
    </row>
    <row r="14" spans="2:18">
      <c r="B14" s="90" t="s">
        <v>196</v>
      </c>
      <c r="C14" s="91">
        <v>900</v>
      </c>
      <c r="D14" s="91">
        <v>2</v>
      </c>
      <c r="E14" s="91">
        <v>4238</v>
      </c>
      <c r="F14" s="91">
        <v>7</v>
      </c>
      <c r="G14" s="89">
        <f t="shared" si="4"/>
        <v>61753714.285714284</v>
      </c>
      <c r="H14" s="91">
        <v>2</v>
      </c>
      <c r="I14" s="91">
        <v>4832</v>
      </c>
      <c r="J14" s="91">
        <v>7</v>
      </c>
      <c r="K14" s="89">
        <f t="shared" si="0"/>
        <v>70409142.857142866</v>
      </c>
      <c r="L14" s="91">
        <v>2</v>
      </c>
      <c r="M14" s="91">
        <v>4770</v>
      </c>
      <c r="N14" s="91">
        <v>7</v>
      </c>
      <c r="O14" s="89">
        <f t="shared" si="1"/>
        <v>69505714.285714284</v>
      </c>
      <c r="P14" s="92">
        <f t="shared" si="2"/>
        <v>67222857.142857134</v>
      </c>
      <c r="Q14" s="92">
        <f t="shared" si="3"/>
        <v>4757907.9950957391</v>
      </c>
      <c r="R14" s="93">
        <f t="shared" si="5"/>
        <v>7.8275169671487372</v>
      </c>
    </row>
    <row r="15" spans="2:18">
      <c r="B15" s="90" t="s">
        <v>197</v>
      </c>
      <c r="C15" s="91">
        <v>900</v>
      </c>
      <c r="D15" s="91">
        <v>1</v>
      </c>
      <c r="E15" s="91">
        <v>22411</v>
      </c>
      <c r="F15" s="91">
        <v>7</v>
      </c>
      <c r="G15" s="89">
        <f t="shared" si="4"/>
        <v>32656028.571428567</v>
      </c>
      <c r="H15" s="91">
        <v>1</v>
      </c>
      <c r="I15" s="91">
        <v>23826</v>
      </c>
      <c r="J15" s="91">
        <v>7</v>
      </c>
      <c r="K15" s="89">
        <f t="shared" si="0"/>
        <v>34717885.714285716</v>
      </c>
      <c r="L15" s="91">
        <v>1</v>
      </c>
      <c r="M15" s="91">
        <v>24471</v>
      </c>
      <c r="N15" s="91">
        <v>7</v>
      </c>
      <c r="O15" s="89">
        <f t="shared" si="1"/>
        <v>35657742.857142851</v>
      </c>
      <c r="P15" s="92">
        <f t="shared" si="2"/>
        <v>34343885.714285709</v>
      </c>
      <c r="Q15" s="92">
        <f t="shared" si="3"/>
        <v>1535408.4678890193</v>
      </c>
      <c r="R15" s="93">
        <f t="shared" si="5"/>
        <v>7.5358494302775298</v>
      </c>
    </row>
    <row r="16" spans="2:18">
      <c r="B16" s="90" t="s">
        <v>198</v>
      </c>
      <c r="C16" s="91">
        <v>900</v>
      </c>
      <c r="D16" s="91">
        <v>1</v>
      </c>
      <c r="E16" s="91">
        <v>12012</v>
      </c>
      <c r="F16" s="91">
        <v>7</v>
      </c>
      <c r="G16" s="89">
        <f t="shared" si="4"/>
        <v>17503199.999999996</v>
      </c>
      <c r="H16" s="91">
        <v>1</v>
      </c>
      <c r="I16" s="91">
        <v>12668</v>
      </c>
      <c r="J16" s="91">
        <v>7</v>
      </c>
      <c r="K16" s="89">
        <f t="shared" si="0"/>
        <v>18459085.714285713</v>
      </c>
      <c r="L16" s="91">
        <v>1</v>
      </c>
      <c r="M16" s="91">
        <v>11470</v>
      </c>
      <c r="N16" s="91">
        <v>7</v>
      </c>
      <c r="O16" s="89">
        <f t="shared" si="1"/>
        <v>16713428.571428573</v>
      </c>
      <c r="P16" s="92">
        <f t="shared" si="2"/>
        <v>17558571.428571429</v>
      </c>
      <c r="Q16" s="92">
        <f t="shared" si="3"/>
        <v>874144.84579420183</v>
      </c>
      <c r="R16" s="93">
        <f t="shared" si="5"/>
        <v>7.2444891786585481</v>
      </c>
    </row>
    <row r="17" spans="2:18">
      <c r="B17" s="90" t="s">
        <v>199</v>
      </c>
      <c r="C17" s="91">
        <v>900</v>
      </c>
      <c r="D17" s="91">
        <v>1</v>
      </c>
      <c r="E17" s="91">
        <v>5750</v>
      </c>
      <c r="F17" s="91">
        <v>7</v>
      </c>
      <c r="G17" s="89">
        <f t="shared" si="4"/>
        <v>8378571.4285714272</v>
      </c>
      <c r="H17" s="91">
        <v>1</v>
      </c>
      <c r="I17" s="91">
        <v>5481</v>
      </c>
      <c r="J17" s="91">
        <v>7</v>
      </c>
      <c r="K17" s="89">
        <f t="shared" si="0"/>
        <v>7986599.9999999991</v>
      </c>
      <c r="L17" s="91">
        <v>1</v>
      </c>
      <c r="M17" s="91">
        <v>5831</v>
      </c>
      <c r="N17" s="91">
        <v>7</v>
      </c>
      <c r="O17" s="89">
        <f t="shared" si="1"/>
        <v>8496599.9999999981</v>
      </c>
      <c r="P17" s="92">
        <f t="shared" si="2"/>
        <v>8287257.1428571418</v>
      </c>
      <c r="Q17" s="92">
        <f t="shared" si="3"/>
        <v>266980.75601367303</v>
      </c>
      <c r="R17" s="93">
        <f t="shared" si="5"/>
        <v>6.9184108146481318</v>
      </c>
    </row>
    <row r="18" spans="2:18">
      <c r="B18" s="90" t="s">
        <v>200</v>
      </c>
      <c r="C18" s="91">
        <v>900</v>
      </c>
      <c r="D18" s="91">
        <v>1</v>
      </c>
      <c r="E18" s="91">
        <v>2868</v>
      </c>
      <c r="F18" s="91">
        <v>7</v>
      </c>
      <c r="G18" s="89">
        <f t="shared" si="4"/>
        <v>4179085.7142857141</v>
      </c>
      <c r="H18" s="91">
        <v>1</v>
      </c>
      <c r="I18" s="91">
        <v>2835</v>
      </c>
      <c r="J18" s="91">
        <v>7</v>
      </c>
      <c r="K18" s="89">
        <f t="shared" si="0"/>
        <v>4131000</v>
      </c>
      <c r="L18" s="91">
        <v>1</v>
      </c>
      <c r="M18" s="91">
        <v>2976</v>
      </c>
      <c r="N18" s="91">
        <v>7</v>
      </c>
      <c r="O18" s="89">
        <f t="shared" si="1"/>
        <v>4336457.1428571427</v>
      </c>
      <c r="P18" s="92">
        <f t="shared" si="2"/>
        <v>4215514.2857142854</v>
      </c>
      <c r="Q18" s="92">
        <f t="shared" si="3"/>
        <v>107463.6682790979</v>
      </c>
      <c r="R18" s="93">
        <f t="shared" si="5"/>
        <v>6.6248505653956435</v>
      </c>
    </row>
    <row r="19" spans="2:18">
      <c r="B19" s="90" t="s">
        <v>201</v>
      </c>
      <c r="C19" s="91">
        <v>900</v>
      </c>
      <c r="D19" s="91">
        <v>0</v>
      </c>
      <c r="E19" s="91">
        <v>10096</v>
      </c>
      <c r="F19" s="91">
        <v>7</v>
      </c>
      <c r="G19" s="89">
        <f t="shared" si="4"/>
        <v>1471131.4285714284</v>
      </c>
      <c r="H19" s="91">
        <v>0</v>
      </c>
      <c r="I19" s="91">
        <v>8923</v>
      </c>
      <c r="J19" s="91">
        <v>7</v>
      </c>
      <c r="K19" s="89">
        <f>(I19/J19)*(10.2)*POWER(10,H19+2)</f>
        <v>1300208.5714285716</v>
      </c>
      <c r="L19" s="91">
        <v>0</v>
      </c>
      <c r="M19" s="91">
        <v>8050</v>
      </c>
      <c r="N19" s="91">
        <v>7</v>
      </c>
      <c r="O19" s="89">
        <f t="shared" si="1"/>
        <v>1173000</v>
      </c>
      <c r="P19" s="92">
        <f t="shared" si="2"/>
        <v>1314780</v>
      </c>
      <c r="Q19" s="92">
        <f t="shared" si="3"/>
        <v>149598.9039848533</v>
      </c>
      <c r="R19" s="93">
        <f t="shared" si="5"/>
        <v>6.118853089115321</v>
      </c>
    </row>
    <row r="20" spans="2:18" ht="15" thickBot="1"/>
    <row r="21" spans="2:18" ht="55" customHeight="1" thickBot="1">
      <c r="B21" s="94" t="s">
        <v>4</v>
      </c>
      <c r="C21" s="94" t="s">
        <v>202</v>
      </c>
      <c r="D21" s="94" t="s">
        <v>203</v>
      </c>
      <c r="E21" s="94" t="s">
        <v>204</v>
      </c>
      <c r="F21" s="94" t="s">
        <v>205</v>
      </c>
      <c r="G21" s="95" t="s">
        <v>206</v>
      </c>
      <c r="H21" s="96" t="s">
        <v>207</v>
      </c>
      <c r="I21" s="96" t="s">
        <v>208</v>
      </c>
      <c r="J21" s="96" t="s">
        <v>209</v>
      </c>
      <c r="K21" s="96" t="s">
        <v>210</v>
      </c>
      <c r="L21" s="96" t="s">
        <v>211</v>
      </c>
      <c r="M21" s="97" t="s">
        <v>212</v>
      </c>
    </row>
    <row r="23" spans="2:18">
      <c r="B23" s="90" t="s">
        <v>186</v>
      </c>
      <c r="C23" s="98">
        <v>16.382114410400391</v>
      </c>
      <c r="D23" s="98">
        <v>16.2430419921875</v>
      </c>
      <c r="E23" s="98">
        <v>16.416009902954102</v>
      </c>
      <c r="F23" s="98">
        <f>AVERAGE(C23:E23)</f>
        <v>16.347055435180664</v>
      </c>
      <c r="G23" s="84">
        <f>15*180/4*1000/900</f>
        <v>750</v>
      </c>
      <c r="H23" s="84">
        <f>LOG(G23)/LOG(2)</f>
        <v>9.5507467853832431</v>
      </c>
      <c r="I23" s="91">
        <f>C23-H23</f>
        <v>6.8313676250171476</v>
      </c>
      <c r="J23" s="91">
        <f>D23-H23</f>
        <v>6.6922952068042569</v>
      </c>
      <c r="K23" s="91">
        <f>E23-H23</f>
        <v>6.8652631175708585</v>
      </c>
      <c r="L23" s="99">
        <f>AVERAGE(I23:K23)</f>
        <v>6.796308649797421</v>
      </c>
    </row>
    <row r="24" spans="2:18">
      <c r="B24" s="90" t="s">
        <v>187</v>
      </c>
      <c r="C24" s="98">
        <v>20.246736526489258</v>
      </c>
      <c r="D24" s="98">
        <v>20.337041854858398</v>
      </c>
      <c r="E24" s="98">
        <v>20.223323822021484</v>
      </c>
      <c r="F24" s="98">
        <f t="shared" ref="F24:F38" si="6">AVERAGE(C24:E24)</f>
        <v>20.269034067789715</v>
      </c>
      <c r="G24" s="84">
        <f t="shared" ref="G24:G26" si="7">15*180/4*1000/900</f>
        <v>750</v>
      </c>
      <c r="H24" s="84">
        <f t="shared" ref="H24:H38" si="8">LOG(G24)/LOG(2)</f>
        <v>9.5507467853832431</v>
      </c>
      <c r="I24" s="91">
        <f t="shared" ref="I24:I38" si="9">C24-H24</f>
        <v>10.695989741106015</v>
      </c>
      <c r="J24" s="91">
        <f t="shared" ref="J24:J38" si="10">D24-H24</f>
        <v>10.786295069475155</v>
      </c>
      <c r="K24" s="91">
        <f t="shared" ref="K24:K38" si="11">E24-H24</f>
        <v>10.672577036638241</v>
      </c>
      <c r="L24" s="99">
        <f t="shared" ref="L24:L38" si="12">AVERAGE(I24:K24)</f>
        <v>10.71828728240647</v>
      </c>
    </row>
    <row r="25" spans="2:18">
      <c r="B25" s="90" t="s">
        <v>188</v>
      </c>
      <c r="C25" s="98">
        <v>23.471084594726562</v>
      </c>
      <c r="D25" s="98">
        <v>23.434993743896484</v>
      </c>
      <c r="E25" s="98">
        <v>23.65556526184082</v>
      </c>
      <c r="F25" s="98">
        <f t="shared" si="6"/>
        <v>23.520547866821289</v>
      </c>
      <c r="G25" s="84">
        <f t="shared" si="7"/>
        <v>750</v>
      </c>
      <c r="H25" s="84">
        <f t="shared" si="8"/>
        <v>9.5507467853832431</v>
      </c>
      <c r="I25" s="91">
        <f t="shared" si="9"/>
        <v>13.920337809343319</v>
      </c>
      <c r="J25" s="91">
        <f t="shared" si="10"/>
        <v>13.884246958513241</v>
      </c>
      <c r="K25" s="91">
        <f t="shared" si="11"/>
        <v>14.104818476457577</v>
      </c>
      <c r="L25" s="99">
        <f t="shared" si="12"/>
        <v>13.969801081438044</v>
      </c>
    </row>
    <row r="26" spans="2:18">
      <c r="B26" s="90" t="s">
        <v>189</v>
      </c>
      <c r="C26" s="98">
        <v>27.687118530273438</v>
      </c>
      <c r="D26" s="98">
        <v>27.683933258056641</v>
      </c>
      <c r="E26" s="98">
        <v>27.721792221069336</v>
      </c>
      <c r="F26" s="98">
        <f t="shared" si="6"/>
        <v>27.697614669799805</v>
      </c>
      <c r="G26" s="84">
        <f t="shared" si="7"/>
        <v>750</v>
      </c>
      <c r="H26" s="84">
        <f t="shared" si="8"/>
        <v>9.5507467853832431</v>
      </c>
      <c r="I26" s="91">
        <f t="shared" si="9"/>
        <v>18.136371744890194</v>
      </c>
      <c r="J26" s="91">
        <f t="shared" si="10"/>
        <v>18.133186472673398</v>
      </c>
      <c r="K26" s="91">
        <f t="shared" si="11"/>
        <v>18.171045435686093</v>
      </c>
      <c r="L26" s="99">
        <f t="shared" si="12"/>
        <v>18.146867884416562</v>
      </c>
    </row>
    <row r="27" spans="2:18">
      <c r="B27" s="90" t="s">
        <v>190</v>
      </c>
      <c r="C27" s="98">
        <v>31.580327987670898</v>
      </c>
      <c r="D27" s="98">
        <v>31.876550674438477</v>
      </c>
      <c r="E27" s="98">
        <v>31.972114562988281</v>
      </c>
      <c r="F27" s="98">
        <f t="shared" si="6"/>
        <v>31.809664408365887</v>
      </c>
      <c r="G27" s="84">
        <f>15*180/4*1000/900</f>
        <v>750</v>
      </c>
      <c r="H27" s="84">
        <f>LOG(G27)/LOG(2)</f>
        <v>9.5507467853832431</v>
      </c>
      <c r="I27" s="91">
        <f t="shared" si="9"/>
        <v>22.029581202287655</v>
      </c>
      <c r="J27" s="91">
        <f t="shared" si="10"/>
        <v>22.325803889055233</v>
      </c>
      <c r="K27" s="91">
        <f t="shared" si="11"/>
        <v>22.421367777605038</v>
      </c>
      <c r="L27" s="99">
        <f t="shared" si="12"/>
        <v>22.25891762298264</v>
      </c>
    </row>
    <row r="28" spans="2:18">
      <c r="B28" s="90" t="s">
        <v>191</v>
      </c>
      <c r="C28" s="98">
        <v>16.648801803588867</v>
      </c>
      <c r="D28" s="98">
        <v>17.485513687133789</v>
      </c>
      <c r="E28" s="98">
        <v>16.725131988525391</v>
      </c>
      <c r="F28" s="98">
        <f t="shared" si="6"/>
        <v>16.953149159749348</v>
      </c>
      <c r="G28" s="84">
        <f>15*180/4*1000/1000</f>
        <v>675</v>
      </c>
      <c r="H28" s="84">
        <f t="shared" si="8"/>
        <v>9.3987436919381935</v>
      </c>
      <c r="I28" s="91">
        <f t="shared" si="9"/>
        <v>7.2500581116506737</v>
      </c>
      <c r="J28" s="91">
        <f t="shared" si="10"/>
        <v>8.0867699951955956</v>
      </c>
      <c r="K28" s="91">
        <f t="shared" si="11"/>
        <v>7.3263882965871971</v>
      </c>
      <c r="L28" s="99">
        <f t="shared" si="12"/>
        <v>7.5544054678111552</v>
      </c>
    </row>
    <row r="29" spans="2:18">
      <c r="B29" s="90" t="s">
        <v>192</v>
      </c>
      <c r="C29" s="98">
        <v>19.15205192565918</v>
      </c>
      <c r="D29" s="98">
        <v>18.957448959350586</v>
      </c>
      <c r="E29" s="98">
        <v>18.855649948120117</v>
      </c>
      <c r="F29" s="98">
        <f t="shared" si="6"/>
        <v>18.988383611043293</v>
      </c>
      <c r="G29" s="84">
        <f>15*180/4*1000/500</f>
        <v>1350</v>
      </c>
      <c r="H29" s="84">
        <f t="shared" si="8"/>
        <v>10.398743691938193</v>
      </c>
      <c r="I29" s="91">
        <f t="shared" si="9"/>
        <v>8.7533082337209862</v>
      </c>
      <c r="J29" s="91">
        <f t="shared" si="10"/>
        <v>8.5587052674123925</v>
      </c>
      <c r="K29" s="91">
        <f t="shared" si="11"/>
        <v>8.4569062561819237</v>
      </c>
      <c r="L29" s="99">
        <f t="shared" si="12"/>
        <v>8.5896399191051014</v>
      </c>
    </row>
    <row r="30" spans="2:18">
      <c r="B30" s="90" t="s">
        <v>193</v>
      </c>
      <c r="C30" s="98">
        <v>19.934587478637695</v>
      </c>
      <c r="D30" s="98">
        <v>19.768661499023438</v>
      </c>
      <c r="E30" s="98">
        <v>19.823604583740234</v>
      </c>
      <c r="F30" s="98">
        <f t="shared" si="6"/>
        <v>19.842284520467121</v>
      </c>
      <c r="G30" s="84">
        <f t="shared" ref="G30:G38" si="13">15*180/4*1000/500</f>
        <v>1350</v>
      </c>
      <c r="H30" s="84">
        <f t="shared" si="8"/>
        <v>10.398743691938193</v>
      </c>
      <c r="I30" s="91">
        <f t="shared" si="9"/>
        <v>9.5358437866995018</v>
      </c>
      <c r="J30" s="91">
        <f t="shared" si="10"/>
        <v>9.369917807085244</v>
      </c>
      <c r="K30" s="91">
        <f t="shared" si="11"/>
        <v>9.4248608918020409</v>
      </c>
      <c r="L30" s="99">
        <f t="shared" si="12"/>
        <v>9.4435408285289295</v>
      </c>
    </row>
    <row r="31" spans="2:18">
      <c r="B31" s="90" t="s">
        <v>194</v>
      </c>
      <c r="C31" s="98">
        <v>20.650510787963867</v>
      </c>
      <c r="D31" s="98">
        <v>20.447122573852539</v>
      </c>
      <c r="E31" s="98">
        <v>20.447004318237305</v>
      </c>
      <c r="F31" s="98">
        <f t="shared" si="6"/>
        <v>20.51487922668457</v>
      </c>
      <c r="G31" s="84">
        <f t="shared" si="13"/>
        <v>1350</v>
      </c>
      <c r="H31" s="84">
        <f t="shared" si="8"/>
        <v>10.398743691938193</v>
      </c>
      <c r="I31" s="91">
        <f t="shared" si="9"/>
        <v>10.251767096025674</v>
      </c>
      <c r="J31" s="91">
        <f t="shared" si="10"/>
        <v>10.048378881914346</v>
      </c>
      <c r="K31" s="91">
        <f t="shared" si="11"/>
        <v>10.048260626299111</v>
      </c>
      <c r="L31" s="99">
        <f t="shared" si="12"/>
        <v>10.116135534746377</v>
      </c>
    </row>
    <row r="32" spans="2:18">
      <c r="B32" s="90" t="s">
        <v>195</v>
      </c>
      <c r="C32" s="98">
        <v>21.825428009033203</v>
      </c>
      <c r="D32" s="98">
        <v>21.617404937744141</v>
      </c>
      <c r="E32" s="98">
        <v>21.863065719604492</v>
      </c>
      <c r="F32" s="98">
        <f t="shared" si="6"/>
        <v>21.768632888793945</v>
      </c>
      <c r="G32" s="84">
        <f t="shared" si="13"/>
        <v>1350</v>
      </c>
      <c r="H32" s="84">
        <f t="shared" si="8"/>
        <v>10.398743691938193</v>
      </c>
      <c r="I32" s="91">
        <f t="shared" si="9"/>
        <v>11.42668431709501</v>
      </c>
      <c r="J32" s="91">
        <f t="shared" si="10"/>
        <v>11.218661245805947</v>
      </c>
      <c r="K32" s="91">
        <f t="shared" si="11"/>
        <v>11.464322027666299</v>
      </c>
      <c r="L32" s="99">
        <f t="shared" si="12"/>
        <v>11.369889196855752</v>
      </c>
    </row>
    <row r="33" spans="2:12">
      <c r="B33" s="90" t="s">
        <v>196</v>
      </c>
      <c r="C33" s="98">
        <v>22.909189224243164</v>
      </c>
      <c r="D33" s="98">
        <v>22.986705780029297</v>
      </c>
      <c r="E33" s="98">
        <v>23.151363372802734</v>
      </c>
      <c r="F33" s="98">
        <f t="shared" si="6"/>
        <v>23.015752792358398</v>
      </c>
      <c r="G33" s="84">
        <f>15*180/4*1000/500</f>
        <v>1350</v>
      </c>
      <c r="H33" s="84">
        <f t="shared" si="8"/>
        <v>10.398743691938193</v>
      </c>
      <c r="I33" s="91">
        <f t="shared" si="9"/>
        <v>12.510445532304971</v>
      </c>
      <c r="J33" s="91">
        <f t="shared" si="10"/>
        <v>12.587962088091103</v>
      </c>
      <c r="K33" s="91">
        <f t="shared" si="11"/>
        <v>12.752619680864541</v>
      </c>
      <c r="L33" s="99">
        <f t="shared" si="12"/>
        <v>12.617009100420205</v>
      </c>
    </row>
    <row r="34" spans="2:12">
      <c r="B34" s="90" t="s">
        <v>197</v>
      </c>
      <c r="C34" s="98">
        <v>24.431295394897461</v>
      </c>
      <c r="D34" s="98">
        <v>24.009675979614258</v>
      </c>
      <c r="E34" s="98">
        <v>23.951196670532227</v>
      </c>
      <c r="F34" s="98">
        <f t="shared" si="6"/>
        <v>24.130722681681316</v>
      </c>
      <c r="G34" s="84">
        <f t="shared" si="13"/>
        <v>1350</v>
      </c>
      <c r="H34" s="84">
        <f t="shared" si="8"/>
        <v>10.398743691938193</v>
      </c>
      <c r="I34" s="91">
        <f t="shared" si="9"/>
        <v>14.032551702959267</v>
      </c>
      <c r="J34" s="91">
        <f t="shared" si="10"/>
        <v>13.610932287676064</v>
      </c>
      <c r="K34" s="91">
        <f t="shared" si="11"/>
        <v>13.552452978594033</v>
      </c>
      <c r="L34" s="99">
        <f t="shared" si="12"/>
        <v>13.731978989743121</v>
      </c>
    </row>
    <row r="35" spans="2:12">
      <c r="B35" s="90" t="s">
        <v>198</v>
      </c>
      <c r="C35" s="98">
        <v>25.132335662841797</v>
      </c>
      <c r="D35" s="98">
        <v>24.967596054077148</v>
      </c>
      <c r="E35" s="98">
        <v>25.03386116027832</v>
      </c>
      <c r="F35" s="98">
        <f t="shared" si="6"/>
        <v>25.044597625732422</v>
      </c>
      <c r="G35" s="84">
        <f t="shared" si="13"/>
        <v>1350</v>
      </c>
      <c r="H35" s="84">
        <f t="shared" si="8"/>
        <v>10.398743691938193</v>
      </c>
      <c r="I35" s="91">
        <f t="shared" si="9"/>
        <v>14.733591970903603</v>
      </c>
      <c r="J35" s="91">
        <f t="shared" si="10"/>
        <v>14.568852362138955</v>
      </c>
      <c r="K35" s="91">
        <f t="shared" si="11"/>
        <v>14.635117468340127</v>
      </c>
      <c r="L35" s="99">
        <f t="shared" si="12"/>
        <v>14.645853933794228</v>
      </c>
    </row>
    <row r="36" spans="2:12">
      <c r="B36" s="90" t="s">
        <v>199</v>
      </c>
      <c r="C36" s="98">
        <v>26.708147048950195</v>
      </c>
      <c r="D36" s="98">
        <v>26.763067245483398</v>
      </c>
      <c r="E36" s="98"/>
      <c r="F36" s="98">
        <f t="shared" si="6"/>
        <v>26.735607147216797</v>
      </c>
      <c r="G36" s="84">
        <f t="shared" si="13"/>
        <v>1350</v>
      </c>
      <c r="H36" s="84">
        <f t="shared" si="8"/>
        <v>10.398743691938193</v>
      </c>
      <c r="I36" s="91">
        <f t="shared" si="9"/>
        <v>16.309403357012002</v>
      </c>
      <c r="J36" s="91">
        <f t="shared" si="10"/>
        <v>16.364323553545205</v>
      </c>
      <c r="K36" s="91"/>
      <c r="L36" s="99">
        <f t="shared" si="12"/>
        <v>16.336863455278603</v>
      </c>
    </row>
    <row r="37" spans="2:12">
      <c r="B37" s="90" t="s">
        <v>200</v>
      </c>
      <c r="C37" s="98">
        <v>27.613700866699219</v>
      </c>
      <c r="D37" s="98">
        <v>27.812423706054688</v>
      </c>
      <c r="E37" s="98">
        <v>27.789873123168945</v>
      </c>
      <c r="F37" s="98">
        <f t="shared" si="6"/>
        <v>27.738665898640949</v>
      </c>
      <c r="G37" s="84">
        <f t="shared" si="13"/>
        <v>1350</v>
      </c>
      <c r="H37" s="84">
        <f t="shared" si="8"/>
        <v>10.398743691938193</v>
      </c>
      <c r="I37" s="91">
        <f t="shared" si="9"/>
        <v>17.214957174761025</v>
      </c>
      <c r="J37" s="91">
        <f t="shared" si="10"/>
        <v>17.413680014116494</v>
      </c>
      <c r="K37" s="91">
        <f t="shared" si="11"/>
        <v>17.391129431230752</v>
      </c>
      <c r="L37" s="99">
        <f t="shared" si="12"/>
        <v>17.339922206702756</v>
      </c>
    </row>
    <row r="38" spans="2:12">
      <c r="B38" s="90" t="s">
        <v>201</v>
      </c>
      <c r="C38" s="98">
        <v>29.07282829284668</v>
      </c>
      <c r="D38" s="98">
        <v>28.964012145996094</v>
      </c>
      <c r="E38" s="98">
        <v>29.311826705932617</v>
      </c>
      <c r="F38" s="98">
        <f t="shared" si="6"/>
        <v>29.116222381591797</v>
      </c>
      <c r="G38" s="84">
        <f t="shared" si="13"/>
        <v>1350</v>
      </c>
      <c r="H38" s="84">
        <f t="shared" si="8"/>
        <v>10.398743691938193</v>
      </c>
      <c r="I38" s="91">
        <f t="shared" si="9"/>
        <v>18.674084600908486</v>
      </c>
      <c r="J38" s="91">
        <f t="shared" si="10"/>
        <v>18.5652684540579</v>
      </c>
      <c r="K38" s="91">
        <f t="shared" si="11"/>
        <v>18.913083013994424</v>
      </c>
      <c r="L38" s="99">
        <f t="shared" si="12"/>
        <v>18.717478689653603</v>
      </c>
    </row>
    <row r="40" spans="2:12">
      <c r="B40" s="90" t="s">
        <v>213</v>
      </c>
      <c r="C40" s="98">
        <v>15.713388442993164</v>
      </c>
      <c r="D40" s="98">
        <v>15.726656913757324</v>
      </c>
      <c r="E40" s="98">
        <v>15.612536430358887</v>
      </c>
      <c r="F40" s="98">
        <f>AVERAGE(C40:E40)</f>
        <v>15.684193929036459</v>
      </c>
    </row>
    <row r="42" spans="2:12">
      <c r="B42" s="100" t="s">
        <v>214</v>
      </c>
      <c r="C42" s="84" t="s">
        <v>215</v>
      </c>
    </row>
    <row r="43" spans="2:12">
      <c r="B43" s="97" t="s">
        <v>216</v>
      </c>
      <c r="C43" s="84" t="s">
        <v>215</v>
      </c>
    </row>
    <row r="44" spans="2:12">
      <c r="C44" s="101" t="s">
        <v>217</v>
      </c>
      <c r="D44" s="99">
        <v>-3.6977000000000002</v>
      </c>
    </row>
    <row r="45" spans="2:12">
      <c r="C45" s="101" t="s">
        <v>218</v>
      </c>
      <c r="D45" s="99">
        <v>41.616</v>
      </c>
    </row>
    <row r="48" spans="2:12">
      <c r="B48" s="97" t="s">
        <v>219</v>
      </c>
      <c r="D48" s="84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3"/>
  <sheetViews>
    <sheetView topLeftCell="A51" workbookViewId="0">
      <selection activeCell="H74" sqref="H74"/>
    </sheetView>
  </sheetViews>
  <sheetFormatPr baseColWidth="10" defaultColWidth="8.83203125" defaultRowHeight="14" x14ac:dyDescent="0"/>
  <cols>
    <col min="1" max="1" width="13.33203125" style="84" bestFit="1" customWidth="1"/>
    <col min="2" max="4" width="8.83203125" style="84"/>
    <col min="5" max="6" width="13.33203125" style="84" bestFit="1" customWidth="1"/>
    <col min="7" max="10" width="13.6640625" style="84" customWidth="1"/>
    <col min="11" max="11" width="16.5" style="84" bestFit="1" customWidth="1"/>
    <col min="12" max="12" width="17" style="84" customWidth="1"/>
    <col min="13" max="13" width="19.1640625" style="84" customWidth="1"/>
    <col min="14" max="14" width="17" style="84" customWidth="1"/>
    <col min="15" max="15" width="18.83203125" style="84" customWidth="1"/>
    <col min="16" max="16" width="18" style="84" customWidth="1"/>
    <col min="17" max="17" width="23.5" style="84" customWidth="1"/>
    <col min="18" max="18" width="18.5" style="84" customWidth="1"/>
    <col min="19" max="19" width="23.5" style="84" customWidth="1"/>
    <col min="20" max="16384" width="8.83203125" style="84"/>
  </cols>
  <sheetData>
    <row r="1" spans="1:19">
      <c r="A1" s="102" t="s">
        <v>220</v>
      </c>
    </row>
    <row r="2" spans="1:19">
      <c r="A2" s="133" t="s">
        <v>4</v>
      </c>
      <c r="B2" s="133" t="s">
        <v>117</v>
      </c>
      <c r="C2" s="133" t="s">
        <v>117</v>
      </c>
      <c r="D2" s="133" t="s">
        <v>5</v>
      </c>
      <c r="E2" s="145" t="s">
        <v>221</v>
      </c>
      <c r="F2" s="145" t="s">
        <v>222</v>
      </c>
      <c r="G2" s="145" t="s">
        <v>223</v>
      </c>
      <c r="H2" s="147" t="s">
        <v>224</v>
      </c>
      <c r="I2" s="147" t="s">
        <v>225</v>
      </c>
      <c r="J2" s="147" t="s">
        <v>226</v>
      </c>
      <c r="K2" s="145" t="s">
        <v>227</v>
      </c>
      <c r="L2" s="145" t="s">
        <v>228</v>
      </c>
      <c r="M2" s="145" t="s">
        <v>229</v>
      </c>
      <c r="N2" s="145" t="s">
        <v>230</v>
      </c>
      <c r="O2" s="145" t="s">
        <v>231</v>
      </c>
      <c r="P2" s="147" t="s">
        <v>232</v>
      </c>
      <c r="Q2" s="147" t="s">
        <v>233</v>
      </c>
      <c r="R2" s="150" t="s">
        <v>234</v>
      </c>
      <c r="S2" s="147" t="s">
        <v>235</v>
      </c>
    </row>
    <row r="3" spans="1:19">
      <c r="A3" s="134"/>
      <c r="B3" s="134"/>
      <c r="C3" s="134"/>
      <c r="D3" s="134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51"/>
      <c r="S3" s="146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8">
        <v>33.032985687255859</v>
      </c>
      <c r="F4" s="98">
        <v>33.971870422363281</v>
      </c>
      <c r="G4" s="98">
        <v>33.130165100097656</v>
      </c>
      <c r="H4" s="98">
        <f>E4-$H$61+$H$73</f>
        <v>34.158190691832338</v>
      </c>
      <c r="I4" s="98">
        <f>F4-$H$61+$H$73</f>
        <v>35.09707542693976</v>
      </c>
      <c r="J4" s="98">
        <f>G4-$H$61+$H$73</f>
        <v>34.255370104674135</v>
      </c>
      <c r="K4" s="103">
        <f>((H4-'Calibration R. intestinalis '!$D$45)/('Calibration R. intestinalis '!$D$44))+$C$24</f>
        <v>5.9488439869643361</v>
      </c>
      <c r="L4" s="103">
        <f>((I4-'Calibration R. intestinalis '!$D$45)/('Calibration R. intestinalis '!$D$44))+$C$24</f>
        <v>5.6949335196177628</v>
      </c>
      <c r="M4" s="103">
        <f>((J4-'Calibration R. intestinalis '!$D$45)/('Calibration R. intestinalis '!$D$44))+$C$24</f>
        <v>5.9225629439262857</v>
      </c>
      <c r="N4" s="104">
        <f>AVERAGE(K4:M4)</f>
        <v>5.8554468168361282</v>
      </c>
      <c r="O4" s="104">
        <f>STDEV(K4:M4)</f>
        <v>0.13962830029662843</v>
      </c>
      <c r="P4" s="99">
        <f>(AVERAGE(POWER(10,K4),POWER(10,L4),POWER(10,M4)))*Calculation!$I4/Calculation!$K3</f>
        <v>740314.31680735212</v>
      </c>
      <c r="Q4" s="105">
        <f>(STDEV(POWER(10,K4),POWER(10,L4),POWER(10,M4)))*Calculation!$I4/Calculation!$K3</f>
        <v>213723.57263440182</v>
      </c>
      <c r="R4" s="104">
        <f>LOG(P4)</f>
        <v>5.8694161482074207</v>
      </c>
      <c r="S4" s="104">
        <f>O4*Calculation!$I4/Calculation!$K3</f>
        <v>0.13962830029662843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6">
        <v>31.584823608398438</v>
      </c>
      <c r="F5" s="98">
        <v>32.302242279052734</v>
      </c>
      <c r="G5" s="98">
        <v>31.124626159667969</v>
      </c>
      <c r="H5" s="98">
        <f>E5-$H$61+$H$73</f>
        <v>32.710028612974916</v>
      </c>
      <c r="I5" s="98">
        <f>F5-$H$61+$H$73</f>
        <v>33.427447283629213</v>
      </c>
      <c r="J5" s="98">
        <f>G5-$H$61+$H$73</f>
        <v>32.249831164244448</v>
      </c>
      <c r="K5" s="103">
        <f>((H5-'Calibration R. intestinalis '!$D$45)/('Calibration R. intestinalis '!$D$44))+$C$24</f>
        <v>6.3404825944385559</v>
      </c>
      <c r="L5" s="103">
        <f>((I5-'Calibration R. intestinalis '!$D$45)/('Calibration R. intestinalis '!$D$44))+$C$24</f>
        <v>6.1464650509238581</v>
      </c>
      <c r="M5" s="103">
        <f>((J5-'Calibration R. intestinalis '!$D$45)/('Calibration R. intestinalis '!$D$44))+$C$24</f>
        <v>6.4649376472363675</v>
      </c>
      <c r="N5" s="104">
        <f t="shared" ref="N5:N20" si="1">AVERAGE(K5:M5)</f>
        <v>6.3172950975329272</v>
      </c>
      <c r="O5" s="104">
        <f t="shared" ref="O5:O20" si="2">STDEV(K5:M5)</f>
        <v>0.16049748801794084</v>
      </c>
      <c r="P5" s="99">
        <f>(AVERAGE(POWER(10,K5),POWER(10,L5),POWER(10,M5)))*Calculation!$I5/Calculation!$K4</f>
        <v>2169429.6867540893</v>
      </c>
      <c r="Q5" s="105">
        <f>(STDEV(POWER(10,K5),POWER(10,L5),POWER(10,M5)))*Calculation!$I5/Calculation!$K4</f>
        <v>758173.96077587828</v>
      </c>
      <c r="R5" s="104">
        <f t="shared" ref="R5:R20" si="3">LOG(P5)</f>
        <v>6.3363455788028391</v>
      </c>
      <c r="S5" s="104">
        <f>O5*Calculation!$I5/Calculation!$K4</f>
        <v>0.16049748801794084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8">
        <v>33.915130615234375</v>
      </c>
      <c r="F6" s="98">
        <v>32.329971313476562</v>
      </c>
      <c r="G6" s="98">
        <v>32.418094635009766</v>
      </c>
      <c r="H6" s="98">
        <f>E6-$H$61+$H$73</f>
        <v>35.040335619810854</v>
      </c>
      <c r="I6" s="98">
        <f>F6-$H$61+$H$73</f>
        <v>33.455176318053041</v>
      </c>
      <c r="J6" s="98">
        <f>G6-$H$61+$H$73</f>
        <v>33.543299639586245</v>
      </c>
      <c r="K6" s="103">
        <f>((H6-'Calibration R. intestinalis '!$D$45)/('Calibration R. intestinalis '!$D$44))+$C$24</f>
        <v>5.7102781411741113</v>
      </c>
      <c r="L6" s="103">
        <f>((I6-'Calibration R. intestinalis '!$D$45)/('Calibration R. intestinalis '!$D$44))+$C$24</f>
        <v>6.138966055758261</v>
      </c>
      <c r="M6" s="103">
        <f>((J6-'Calibration R. intestinalis '!$D$45)/('Calibration R. intestinalis '!$D$44))+$C$24</f>
        <v>6.1151341273884086</v>
      </c>
      <c r="N6" s="104">
        <f t="shared" si="1"/>
        <v>5.9881261081069264</v>
      </c>
      <c r="O6" s="104">
        <f t="shared" si="2"/>
        <v>0.240918263626859</v>
      </c>
      <c r="P6" s="99">
        <f>(AVERAGE(POWER(10,K6),POWER(10,L6),POWER(10,M6)))*Calculation!$I6/Calculation!$K5</f>
        <v>1064620.3631381618</v>
      </c>
      <c r="Q6" s="105">
        <f>(STDEV(POWER(10,K6),POWER(10,L6),POWER(10,M6)))*Calculation!$I6/Calculation!$K5</f>
        <v>478965.9538215088</v>
      </c>
      <c r="R6" s="104">
        <f t="shared" si="3"/>
        <v>6.0271947687256722</v>
      </c>
      <c r="S6" s="104">
        <f>O6*Calculation!$I6/Calculation!$K5</f>
        <v>0.24091826362685903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8">
        <v>34.2532958984375</v>
      </c>
      <c r="F7" s="98">
        <v>34.894718170166016</v>
      </c>
      <c r="G7" s="98">
        <v>34.315185546875</v>
      </c>
      <c r="H7" s="98">
        <f>E7-$H$61+$H$73</f>
        <v>35.378500903013979</v>
      </c>
      <c r="I7" s="98">
        <f>F7-$H$61+$H$73</f>
        <v>36.019923174742495</v>
      </c>
      <c r="J7" s="98">
        <f>G7-$H$61+$H$73</f>
        <v>35.440390551451479</v>
      </c>
      <c r="K7" s="103">
        <f>((H7-'Calibration R. intestinalis '!$D$45)/('Calibration R. intestinalis '!$D$44))+$C$24</f>
        <v>5.6188252696044527</v>
      </c>
      <c r="L7" s="103">
        <f>((I7-'Calibration R. intestinalis '!$D$45)/('Calibration R. intestinalis '!$D$44))+$C$24</f>
        <v>5.4453600691478137</v>
      </c>
      <c r="M7" s="103">
        <f>((J7-'Calibration R. intestinalis '!$D$45)/('Calibration R. intestinalis '!$D$44))+$C$24</f>
        <v>5.6020879333041851</v>
      </c>
      <c r="N7" s="104">
        <f t="shared" si="1"/>
        <v>5.5554244240188169</v>
      </c>
      <c r="O7" s="104">
        <f t="shared" si="2"/>
        <v>9.5685193559320897E-2</v>
      </c>
      <c r="P7" s="99">
        <f>(AVERAGE(POWER(10,K7),POWER(10,L7),POWER(10,M7)))*Calculation!$I7/Calculation!$K6</f>
        <v>364870.75121107278</v>
      </c>
      <c r="Q7" s="105">
        <f>(STDEV(POWER(10,K7),POWER(10,L7),POWER(10,M7)))*Calculation!$I7/Calculation!$K6</f>
        <v>74915.38084915145</v>
      </c>
      <c r="R7" s="104">
        <f t="shared" si="3"/>
        <v>5.5621390508221635</v>
      </c>
      <c r="S7" s="104">
        <f>O7*Calculation!$I7/Calculation!$K6</f>
        <v>9.5685193559320897E-2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8">
        <v>35.015079498291016</v>
      </c>
      <c r="F8" s="98">
        <v>35.521236419677734</v>
      </c>
      <c r="G8" s="98">
        <v>33.881378173828125</v>
      </c>
      <c r="H8" s="98">
        <f>E8-$H$61+$H$73</f>
        <v>36.140284502867495</v>
      </c>
      <c r="I8" s="98">
        <f>F8-$H$61+$H$73</f>
        <v>36.646441424254213</v>
      </c>
      <c r="J8" s="98">
        <f>G8-$H$61+$H$73</f>
        <v>35.006583178404604</v>
      </c>
      <c r="K8" s="103">
        <f>((H8-'Calibration R. intestinalis '!$D$45)/('Calibration R. intestinalis '!$D$44))+$C$24</f>
        <v>5.4128097464810203</v>
      </c>
      <c r="L8" s="103">
        <f>((I8-'Calibration R. intestinalis '!$D$45)/('Calibration R. intestinalis '!$D$44))+$C$24</f>
        <v>5.275925488324134</v>
      </c>
      <c r="M8" s="103">
        <f>((J8-'Calibration R. intestinalis '!$D$45)/('Calibration R. intestinalis '!$D$44))+$C$24</f>
        <v>5.719406096769819</v>
      </c>
      <c r="N8" s="104">
        <f t="shared" si="1"/>
        <v>5.4693804438583244</v>
      </c>
      <c r="O8" s="104">
        <f t="shared" si="2"/>
        <v>0.2270879683474108</v>
      </c>
      <c r="P8" s="99">
        <f>(AVERAGE(POWER(10,K8),POWER(10,L8),POWER(10,M8)))*Calculation!$I8/Calculation!$K7</f>
        <v>323854.98287209292</v>
      </c>
      <c r="Q8" s="105">
        <f>(STDEV(POWER(10,K8),POWER(10,L8),POWER(10,M8)))*Calculation!$I8/Calculation!$K7</f>
        <v>176899.88709021226</v>
      </c>
      <c r="R8" s="104">
        <f t="shared" si="3"/>
        <v>5.5103505835489548</v>
      </c>
      <c r="S8" s="104">
        <f>O8*Calculation!$I8/Calculation!$K7</f>
        <v>0.22708796834741077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8">
        <v>35.486373901367188</v>
      </c>
      <c r="F9" s="98">
        <v>36.729091644287109</v>
      </c>
      <c r="G9" s="98">
        <v>35.446063995361328</v>
      </c>
      <c r="H9" s="98">
        <f>E9-$H$61+$H$73</f>
        <v>36.611578905943666</v>
      </c>
      <c r="I9" s="98">
        <f>F9-$H$61+$H$73</f>
        <v>37.854296648863588</v>
      </c>
      <c r="J9" s="98">
        <f>G9-$H$61+$H$73</f>
        <v>36.571268999937807</v>
      </c>
      <c r="K9" s="103">
        <f>((H9-'Calibration R. intestinalis '!$D$45)/('Calibration R. intestinalis '!$D$44))+$C$24</f>
        <v>5.2853536513201984</v>
      </c>
      <c r="L9" s="103">
        <f>((I9-'Calibration R. intestinalis '!$D$45)/('Calibration R. intestinalis '!$D$44))+$C$24</f>
        <v>4.9492750773634357</v>
      </c>
      <c r="M9" s="103">
        <f>((J9-'Calibration R. intestinalis '!$D$45)/('Calibration R. intestinalis '!$D$44))+$C$24</f>
        <v>5.2962549970231647</v>
      </c>
      <c r="N9" s="104">
        <f t="shared" si="1"/>
        <v>5.1769612419022666</v>
      </c>
      <c r="O9" s="104">
        <f t="shared" si="2"/>
        <v>0.19725732426537793</v>
      </c>
      <c r="P9" s="99">
        <f>(AVERAGE(POWER(10,K9),POWER(10,L9),POWER(10,M9)))*Calculation!$I9/Calculation!$K8</f>
        <v>160025.28952817447</v>
      </c>
      <c r="Q9" s="105">
        <f>(STDEV(POWER(10,K9),POWER(10,L9),POWER(10,M9)))*Calculation!$I9/Calculation!$K8</f>
        <v>61518.521762512057</v>
      </c>
      <c r="R9" s="104">
        <f t="shared" si="3"/>
        <v>5.2041886216223965</v>
      </c>
      <c r="S9" s="104">
        <f>O9*Calculation!$I9/Calculation!$K8</f>
        <v>0.19741227895843794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8">
        <v>35.538055419921875</v>
      </c>
      <c r="F10" s="98">
        <v>34.489322662353516</v>
      </c>
      <c r="G10" s="98">
        <v>34.474128723144531</v>
      </c>
      <c r="H10" s="98">
        <f>E10-$H$61+$H$73</f>
        <v>36.663260424498354</v>
      </c>
      <c r="I10" s="98">
        <f>F10-$H$61+$H$73</f>
        <v>35.614527666929995</v>
      </c>
      <c r="J10" s="98">
        <f>G10-$H$61+$H$73</f>
        <v>35.59933372772101</v>
      </c>
      <c r="K10" s="103">
        <f>((H10-'Calibration R. intestinalis '!$D$45)/('Calibration R. intestinalis '!$D$44))+$B$24</f>
        <v>4.9926233841817167</v>
      </c>
      <c r="L10" s="103">
        <f>((I10-'Calibration R. intestinalis '!$D$45)/('Calibration R. intestinalis '!$D$44))+$B$24</f>
        <v>5.2762409728363826</v>
      </c>
      <c r="M10" s="103">
        <f>((J10-'Calibration R. intestinalis '!$D$45)/('Calibration R. intestinalis '!$D$44))+$B$24</f>
        <v>5.2803499971512231</v>
      </c>
      <c r="N10" s="104">
        <f t="shared" si="1"/>
        <v>5.1830714513897744</v>
      </c>
      <c r="O10" s="104">
        <f t="shared" si="2"/>
        <v>0.16494565998433713</v>
      </c>
      <c r="P10" s="99">
        <f>(AVERAGE(POWER(10,K10),POWER(10,L10),POWER(10,M10)))*Calculation!$I10/Calculation!$K9</f>
        <v>159693.19717456354</v>
      </c>
      <c r="Q10" s="105">
        <f>(STDEV(POWER(10,K10),POWER(10,L10),POWER(10,M10)))*Calculation!$I10/Calculation!$K9</f>
        <v>52955.332643002061</v>
      </c>
      <c r="R10" s="104">
        <f t="shared" si="3"/>
        <v>5.2032864158725101</v>
      </c>
      <c r="S10" s="104">
        <f>O10*Calculation!$I10/Calculation!$K9</f>
        <v>0.16534606951293929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8">
        <v>33.914150238037109</v>
      </c>
      <c r="F11" s="98">
        <v>33.990592956542969</v>
      </c>
      <c r="G11" s="98">
        <v>34.328075408935547</v>
      </c>
      <c r="H11" s="98">
        <f>E11-$H$61+$H$73</f>
        <v>35.039355242613588</v>
      </c>
      <c r="I11" s="98">
        <f>F11-$H$61+$H$73</f>
        <v>35.115797961119448</v>
      </c>
      <c r="J11" s="98">
        <f>G11-$H$61+$H$73</f>
        <v>35.453280413512026</v>
      </c>
      <c r="K11" s="103">
        <f>((H11-'Calibration R. intestinalis '!$D$45)/('Calibration R. intestinalis '!$D$44))+$B$24</f>
        <v>5.4317896718429015</v>
      </c>
      <c r="L11" s="103">
        <f>((I11-'Calibration R. intestinalis '!$D$45)/('Calibration R. intestinalis '!$D$44))+$B$24</f>
        <v>5.4111166268403705</v>
      </c>
      <c r="M11" s="103">
        <f>((J11-'Calibration R. intestinalis '!$D$45)/('Calibration R. intestinalis '!$D$44))+$B$24</f>
        <v>5.3198484189293511</v>
      </c>
      <c r="N11" s="104">
        <f t="shared" si="1"/>
        <v>5.3875849058708738</v>
      </c>
      <c r="O11" s="104">
        <f t="shared" si="2"/>
        <v>5.9565236881956009E-2</v>
      </c>
      <c r="P11" s="99">
        <f>(AVERAGE(POWER(10,K11),POWER(10,L11),POWER(10,M11)))*Calculation!$I11/Calculation!$K10</f>
        <v>247256.01488479457</v>
      </c>
      <c r="Q11" s="105">
        <f>(STDEV(POWER(10,K11),POWER(10,L11),POWER(10,M11)))*Calculation!$I11/Calculation!$K10</f>
        <v>32658.976641209854</v>
      </c>
      <c r="R11" s="104">
        <f t="shared" si="3"/>
        <v>5.39314686528237</v>
      </c>
      <c r="S11" s="104">
        <f>O11*Calculation!$I11/Calculation!$K10</f>
        <v>5.9965003143077289E-2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8">
        <v>35.657257080078125</v>
      </c>
      <c r="F12" s="98">
        <v>33.986667633056641</v>
      </c>
      <c r="G12" s="98">
        <v>34.711048126220703</v>
      </c>
      <c r="H12" s="98">
        <f>E12-$H$61+$H$73</f>
        <v>36.782462084654604</v>
      </c>
      <c r="I12" s="98">
        <f>F12-$H$61+$H$73</f>
        <v>35.11187263763312</v>
      </c>
      <c r="J12" s="98">
        <f>G12-$H$61+$H$73</f>
        <v>35.836253130797182</v>
      </c>
      <c r="K12" s="103">
        <f>((H12-'Calibration R. intestinalis '!$D$45)/('Calibration R. intestinalis '!$D$44))+$B$24</f>
        <v>4.9603866802424434</v>
      </c>
      <c r="L12" s="103">
        <f>((I12-'Calibration R. intestinalis '!$D$45)/('Calibration R. intestinalis '!$D$44))+$B$24</f>
        <v>5.4121781849674031</v>
      </c>
      <c r="M12" s="103">
        <f>((J12-'Calibration R. intestinalis '!$D$45)/('Calibration R. intestinalis '!$D$44))+$B$24</f>
        <v>5.2162778974470356</v>
      </c>
      <c r="N12" s="104">
        <f t="shared" si="1"/>
        <v>5.1962809208856271</v>
      </c>
      <c r="O12" s="104">
        <f t="shared" si="2"/>
        <v>0.22655860221829793</v>
      </c>
      <c r="P12" s="99">
        <f>(AVERAGE(POWER(10,K12),POWER(10,L12),POWER(10,M12)))*Calculation!$I12/Calculation!$K11</f>
        <v>173908.78029329694</v>
      </c>
      <c r="Q12" s="105">
        <f>(STDEV(POWER(10,K12),POWER(10,L12),POWER(10,M12)))*Calculation!$I12/Calculation!$K11</f>
        <v>84967.589512170554</v>
      </c>
      <c r="R12" s="104">
        <f t="shared" si="3"/>
        <v>5.2403215091830786</v>
      </c>
      <c r="S12" s="104">
        <f>O12*Calculation!$I12/Calculation!$K11</f>
        <v>0.22989408139101089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8">
        <v>34.980491638183594</v>
      </c>
      <c r="F13" s="98">
        <v>34.267078399658203</v>
      </c>
      <c r="G13" s="98">
        <v>34.560646057128906</v>
      </c>
      <c r="H13" s="98">
        <f>E13-$H$61+$H$73</f>
        <v>36.105696642760073</v>
      </c>
      <c r="I13" s="98">
        <f>F13-$H$61+$H$73</f>
        <v>35.392283404234682</v>
      </c>
      <c r="J13" s="98">
        <f>G13-$H$61+$H$73</f>
        <v>35.685851061705385</v>
      </c>
      <c r="K13" s="103">
        <f>((H13-'Calibration R. intestinalis '!$D$45)/('Calibration R. intestinalis '!$D$44))+$B$24</f>
        <v>5.1434100304045796</v>
      </c>
      <c r="L13" s="103">
        <f>((I13-'Calibration R. intestinalis '!$D$45)/('Calibration R. intestinalis '!$D$44))+$B$24</f>
        <v>5.3363443513406725</v>
      </c>
      <c r="M13" s="103">
        <f>((J13-'Calibration R. intestinalis '!$D$45)/('Calibration R. intestinalis '!$D$44))+$B$24</f>
        <v>5.2569523894533638</v>
      </c>
      <c r="N13" s="104">
        <f t="shared" si="1"/>
        <v>5.245568923732872</v>
      </c>
      <c r="O13" s="104">
        <f t="shared" si="2"/>
        <v>9.6969585528788566E-2</v>
      </c>
      <c r="P13" s="99">
        <f>(AVERAGE(POWER(10,K13),POWER(10,L13),POWER(10,M13)))*Calculation!$I13/Calculation!$K12</f>
        <v>185044.60233120425</v>
      </c>
      <c r="Q13" s="105">
        <f>(STDEV(POWER(10,K13),POWER(10,L13),POWER(10,M13)))*Calculation!$I13/Calculation!$K12</f>
        <v>40270.675046936121</v>
      </c>
      <c r="R13" s="104">
        <f t="shared" si="3"/>
        <v>5.2672764214389005</v>
      </c>
      <c r="S13" s="104">
        <f>O13*Calculation!$I13/Calculation!$K12</f>
        <v>0.10028773021826748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8">
        <v>35.125137329101562</v>
      </c>
      <c r="F14" s="98">
        <v>33.642368316650391</v>
      </c>
      <c r="G14" s="98">
        <v>34.338325500488281</v>
      </c>
      <c r="H14" s="98">
        <f>E14-$H$61+$H$73</f>
        <v>36.250342333678041</v>
      </c>
      <c r="I14" s="98">
        <f>F14-$H$61+$H$73</f>
        <v>34.76757332122687</v>
      </c>
      <c r="J14" s="98">
        <f>G14-$H$61+$H$73</f>
        <v>35.46353050506476</v>
      </c>
      <c r="K14" s="103">
        <f>((H14-'Calibration R. intestinalis '!$D$45)/('Calibration R. intestinalis '!$D$44))+$B$24</f>
        <v>5.10429228398979</v>
      </c>
      <c r="L14" s="103">
        <f>((I14-'Calibration R. intestinalis '!$D$45)/('Calibration R. intestinalis '!$D$44))+$B$24</f>
        <v>5.5052899345431534</v>
      </c>
      <c r="M14" s="103">
        <f>((J14-'Calibration R. intestinalis '!$D$45)/('Calibration R. intestinalis '!$D$44))+$B$24</f>
        <v>5.3170764007686744</v>
      </c>
      <c r="N14" s="104">
        <f t="shared" si="1"/>
        <v>5.308886206433872</v>
      </c>
      <c r="O14" s="104">
        <f t="shared" si="2"/>
        <v>0.20062424678926699</v>
      </c>
      <c r="P14" s="99">
        <f>(AVERAGE(POWER(10,K14),POWER(10,L14),POWER(10,M14)))*Calculation!$I14/Calculation!$K13</f>
        <v>229985.41175618031</v>
      </c>
      <c r="Q14" s="105">
        <f>(STDEV(POWER(10,K14),POWER(10,L14),POWER(10,M14)))*Calculation!$I14/Calculation!$K13</f>
        <v>102134.62724903757</v>
      </c>
      <c r="R14" s="104">
        <f t="shared" si="3"/>
        <v>5.3617002890840091</v>
      </c>
      <c r="S14" s="104">
        <f>O14*Calculation!$I14/Calculation!$K13</f>
        <v>0.21140418104829717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8">
        <v>35.402454376220703</v>
      </c>
      <c r="F15" s="98">
        <v>34.318027496337891</v>
      </c>
      <c r="G15" s="98">
        <v>33.978389739990234</v>
      </c>
      <c r="H15" s="98">
        <f>E15-$H$61+$H$73</f>
        <v>36.527659380797182</v>
      </c>
      <c r="I15" s="98">
        <f>F15-$H$61+$H$73</f>
        <v>35.44323250091437</v>
      </c>
      <c r="J15" s="98">
        <f>G15-$H$61+$H$73</f>
        <v>35.103594744566713</v>
      </c>
      <c r="K15" s="103">
        <f>((H15-'Calibration R. intestinalis '!$D$45)/('Calibration R. intestinalis '!$D$44))+$B$24</f>
        <v>5.0292951108499624</v>
      </c>
      <c r="L15" s="103">
        <f>((I15-'Calibration R. intestinalis '!$D$45)/('Calibration R. intestinalis '!$D$44))+$B$24</f>
        <v>5.3225657601408223</v>
      </c>
      <c r="M15" s="103">
        <f>((J15-'Calibration R. intestinalis '!$D$45)/('Calibration R. intestinalis '!$D$44))+$B$24</f>
        <v>5.4144168449631866</v>
      </c>
      <c r="N15" s="104">
        <f t="shared" si="1"/>
        <v>5.2554259053179901</v>
      </c>
      <c r="O15" s="104">
        <f t="shared" si="2"/>
        <v>0.20114797438904886</v>
      </c>
      <c r="P15" s="99">
        <f>(AVERAGE(POWER(10,K15),POWER(10,L15),POWER(10,M15)))*Calculation!$I15/Calculation!$K14</f>
        <v>203189.84965038486</v>
      </c>
      <c r="Q15" s="105">
        <f>(STDEV(POWER(10,K15),POWER(10,L15),POWER(10,M15)))*Calculation!$I15/Calculation!$K14</f>
        <v>82325.795474489525</v>
      </c>
      <c r="R15" s="104">
        <f t="shared" si="3"/>
        <v>5.3079020089714666</v>
      </c>
      <c r="S15" s="104">
        <f>O15*Calculation!$I15/Calculation!$K14</f>
        <v>0.21257100908402166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8">
        <v>35.207962036132812</v>
      </c>
      <c r="F16" s="98">
        <v>35.961555480957031</v>
      </c>
      <c r="G16" s="98">
        <v>33.817733764648438</v>
      </c>
      <c r="H16" s="98">
        <f>E16-$H$61+$H$73</f>
        <v>36.333167040709291</v>
      </c>
      <c r="I16" s="98">
        <f>F16-$H$61+$H$73</f>
        <v>37.08676048553351</v>
      </c>
      <c r="J16" s="98">
        <f>G16-$H$61+$H$73</f>
        <v>34.942938769224916</v>
      </c>
      <c r="K16" s="103">
        <f>((H16-'Calibration R. intestinalis '!$D$45)/('Calibration R. intestinalis '!$D$44))+$B$24</f>
        <v>5.0818933043453489</v>
      </c>
      <c r="L16" s="103">
        <f>((I16-'Calibration R. intestinalis '!$D$45)/('Calibration R. intestinalis '!$D$44))+$B$24</f>
        <v>4.8780927134850245</v>
      </c>
      <c r="M16" s="103">
        <f>((J16-'Calibration R. intestinalis '!$D$45)/('Calibration R. intestinalis '!$D$44))+$B$24</f>
        <v>5.4578643867707415</v>
      </c>
      <c r="N16" s="104">
        <f t="shared" si="1"/>
        <v>5.1392834682003716</v>
      </c>
      <c r="O16" s="104">
        <f t="shared" si="2"/>
        <v>0.29411566001593631</v>
      </c>
      <c r="P16" s="99">
        <f>(AVERAGE(POWER(10,K16),POWER(10,L16),POWER(10,M16)))*Calculation!$I16/Calculation!$K15</f>
        <v>170582.59359162854</v>
      </c>
      <c r="Q16" s="105">
        <f>(STDEV(POWER(10,K16),POWER(10,L16),POWER(10,M16)))*Calculation!$I16/Calculation!$K15</f>
        <v>117915.64087110422</v>
      </c>
      <c r="R16" s="104">
        <f t="shared" si="3"/>
        <v>5.231934713274752</v>
      </c>
      <c r="S16" s="104">
        <f>O16*Calculation!$I16/Calculation!$K15</f>
        <v>0.31145000061935585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8">
        <v>34.785903930664062</v>
      </c>
      <c r="F17" s="98">
        <v>35.672126770019531</v>
      </c>
      <c r="G17" s="98">
        <v>35.431507110595703</v>
      </c>
      <c r="H17" s="98">
        <f>E17-$H$61+$H$73</f>
        <v>35.911108935240541</v>
      </c>
      <c r="I17" s="98">
        <f>F17-$H$61+$H$73</f>
        <v>36.79733177459601</v>
      </c>
      <c r="J17" s="98">
        <f>G17-$H$61+$H$73</f>
        <v>36.556712115172182</v>
      </c>
      <c r="K17" s="103">
        <f>((H17-'Calibration R. intestinalis '!$D$45)/('Calibration R. intestinalis '!$D$44))+$B$24</f>
        <v>5.1960340149137423</v>
      </c>
      <c r="L17" s="103">
        <f>((I17-'Calibration R. intestinalis '!$D$45)/('Calibration R. intestinalis '!$D$44))+$B$24</f>
        <v>4.9563653453744427</v>
      </c>
      <c r="M17" s="103">
        <f>((J17-'Calibration R. intestinalis '!$D$45)/('Calibration R. intestinalis '!$D$44))+$B$24</f>
        <v>5.02143813641315</v>
      </c>
      <c r="N17" s="104">
        <f t="shared" si="1"/>
        <v>5.057945832233778</v>
      </c>
      <c r="O17" s="104">
        <f t="shared" si="2"/>
        <v>0.12393496956179534</v>
      </c>
      <c r="P17" s="99">
        <f>(AVERAGE(POWER(10,K17),POWER(10,L17),POWER(10,M17)))*Calculation!$I17/Calculation!$K16</f>
        <v>124442.6791076669</v>
      </c>
      <c r="Q17" s="105">
        <f>(STDEV(POWER(10,K17),POWER(10,L17),POWER(10,M17)))*Calculation!$I17/Calculation!$K16</f>
        <v>37070.576227309342</v>
      </c>
      <c r="R17" s="104">
        <f t="shared" si="3"/>
        <v>5.0949693523977029</v>
      </c>
      <c r="S17" s="104">
        <f>O17*Calculation!$I17/Calculation!$K16</f>
        <v>0.13123934422495398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8">
        <v>35.158233642578125</v>
      </c>
      <c r="F18" s="98">
        <v>34.844657897949219</v>
      </c>
      <c r="G18" s="98">
        <v>34.337245941162109</v>
      </c>
      <c r="H18" s="98">
        <f>E18-$H$61+$H$73</f>
        <v>36.283438647154604</v>
      </c>
      <c r="I18" s="98">
        <f>F18-$H$61+$H$73</f>
        <v>35.969862902525698</v>
      </c>
      <c r="J18" s="98">
        <f>G18-$H$61+$H$73</f>
        <v>35.462450945738588</v>
      </c>
      <c r="K18" s="103">
        <f>((H18-'Calibration R. intestinalis '!$D$45)/('Calibration R. intestinalis '!$D$44))+$B$24</f>
        <v>5.0953417705688624</v>
      </c>
      <c r="L18" s="103">
        <f>((I18-'Calibration R. intestinalis '!$D$45)/('Calibration R. intestinalis '!$D$44))+$B$24</f>
        <v>5.1801446871464396</v>
      </c>
      <c r="M18" s="103">
        <f>((J18-'Calibration R. intestinalis '!$D$45)/('Calibration R. intestinalis '!$D$44))+$B$24</f>
        <v>5.3173683550446222</v>
      </c>
      <c r="N18" s="104">
        <f t="shared" si="1"/>
        <v>5.1976182709199747</v>
      </c>
      <c r="O18" s="104">
        <f t="shared" si="2"/>
        <v>0.11203992882410714</v>
      </c>
      <c r="P18" s="99">
        <f>(AVERAGE(POWER(10,K18),POWER(10,L18),POWER(10,M18)))*Calculation!$I18/Calculation!$K17</f>
        <v>170902.92018939619</v>
      </c>
      <c r="Q18" s="105">
        <f>(STDEV(POWER(10,K18),POWER(10,L18),POWER(10,M18)))*Calculation!$I18/Calculation!$K17</f>
        <v>44967.928369099616</v>
      </c>
      <c r="R18" s="104">
        <f t="shared" si="3"/>
        <v>5.2327494835007595</v>
      </c>
      <c r="S18" s="104">
        <f>O18*Calculation!$I18/Calculation!$K17</f>
        <v>0.1187780654807139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8">
        <v>35.641883850097656</v>
      </c>
      <c r="F19" s="98">
        <v>35.889064788818359</v>
      </c>
      <c r="G19" s="98">
        <v>34.776050567626953</v>
      </c>
      <c r="H19" s="98">
        <f>E19-$H$61+$H$73</f>
        <v>36.767088854674135</v>
      </c>
      <c r="I19" s="98">
        <f>F19-$H$61+$H$73</f>
        <v>37.014269793394838</v>
      </c>
      <c r="J19" s="98">
        <f>G19-$H$61+$H$73</f>
        <v>35.901255572203432</v>
      </c>
      <c r="K19" s="103">
        <f>((H19-'Calibration R. intestinalis '!$D$45)/('Calibration R. intestinalis '!$D$44))+$B$24</f>
        <v>4.9645441916631832</v>
      </c>
      <c r="L19" s="103">
        <f>((I19-'Calibration R. intestinalis '!$D$45)/('Calibration R. intestinalis '!$D$44))+$B$24</f>
        <v>4.8976969788766667</v>
      </c>
      <c r="M19" s="103">
        <f>((J19-'Calibration R. intestinalis '!$D$45)/('Calibration R. intestinalis '!$D$44))+$B$24</f>
        <v>5.1986987424571094</v>
      </c>
      <c r="N19" s="104">
        <f t="shared" si="1"/>
        <v>5.02031330433232</v>
      </c>
      <c r="O19" s="104">
        <f t="shared" si="2"/>
        <v>0.15806062401990359</v>
      </c>
      <c r="P19" s="99">
        <f>(AVERAGE(POWER(10,K19),POWER(10,L19),POWER(10,M19)))*Calculation!$I19/Calculation!$K18</f>
        <v>116328.59282190083</v>
      </c>
      <c r="Q19" s="105">
        <f>(STDEV(POWER(10,K19),POWER(10,L19),POWER(10,M19)))*Calculation!$I19/Calculation!$K18</f>
        <v>44876.010863628813</v>
      </c>
      <c r="R19" s="104">
        <f t="shared" si="3"/>
        <v>5.0656864746472143</v>
      </c>
      <c r="S19" s="104">
        <f>O19*Calculation!$I19/Calculation!$K18</f>
        <v>0.16756646801545505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8">
        <v>36.008293151855469</v>
      </c>
      <c r="F20" s="98">
        <v>34.973079681396484</v>
      </c>
      <c r="G20" s="98">
        <v>36.985084533691406</v>
      </c>
      <c r="H20" s="98">
        <f>E20-$H$61+$H$73</f>
        <v>37.133498156431948</v>
      </c>
      <c r="I20" s="98">
        <f>F20-$H$61+$H$73</f>
        <v>36.098284685972963</v>
      </c>
      <c r="J20" s="98">
        <f>G20-$H$61+$H$73</f>
        <v>38.110289538267885</v>
      </c>
      <c r="K20" s="103">
        <f>((H20-'Calibration R. intestinalis '!$D$45)/('Calibration R. intestinalis '!$D$44))+$B$24</f>
        <v>4.8654530534535354</v>
      </c>
      <c r="L20" s="103">
        <f>((I20-'Calibration R. intestinalis '!$D$45)/('Calibration R. intestinalis '!$D$44))+$B$24</f>
        <v>5.145414507995274</v>
      </c>
      <c r="M20" s="103">
        <f>((J20-'Calibration R. intestinalis '!$D$45)/('Calibration R. intestinalis '!$D$44))+$B$24</f>
        <v>4.6012911739511591</v>
      </c>
      <c r="N20" s="104">
        <f t="shared" si="1"/>
        <v>4.8707195784666562</v>
      </c>
      <c r="O20" s="104">
        <f t="shared" si="2"/>
        <v>0.27209989503325105</v>
      </c>
      <c r="P20" s="99">
        <f>(AVERAGE(POWER(10,K20),POWER(10,L20),POWER(10,M20)))*Calculation!$I20/Calculation!$K19</f>
        <v>89425.807629510411</v>
      </c>
      <c r="Q20" s="105">
        <f>(STDEV(POWER(10,K20),POWER(10,L20),POWER(10,M20)))*Calculation!$I20/Calculation!$K19</f>
        <v>53876.638080567587</v>
      </c>
      <c r="R20" s="104">
        <f t="shared" si="3"/>
        <v>4.9514628710737991</v>
      </c>
      <c r="S20" s="104">
        <f>O20*Calculation!$I20/Calculation!$K19</f>
        <v>0.28846411711215614</v>
      </c>
    </row>
    <row r="21" spans="1:19">
      <c r="A21" s="10"/>
      <c r="B21" s="10"/>
      <c r="C21" s="10"/>
      <c r="D21" s="107"/>
    </row>
    <row r="24" spans="1:19">
      <c r="A24" s="101" t="s">
        <v>236</v>
      </c>
      <c r="B24" s="108">
        <f>LOG(B25)</f>
        <v>3.6532125137753435</v>
      </c>
      <c r="C24" s="108">
        <f>LOG(C25)</f>
        <v>3.9319661147281728</v>
      </c>
    </row>
    <row r="25" spans="1:19">
      <c r="A25" s="84" t="s">
        <v>237</v>
      </c>
      <c r="B25" s="84">
        <f>20*1800/4/2</f>
        <v>4500</v>
      </c>
      <c r="C25" s="84">
        <f>2*19*1800/4/2</f>
        <v>8550</v>
      </c>
    </row>
    <row r="26" spans="1:19">
      <c r="E26" s="149" t="s">
        <v>220</v>
      </c>
      <c r="F26" s="149"/>
      <c r="G26" s="149"/>
      <c r="H26" s="149"/>
    </row>
    <row r="27" spans="1:19">
      <c r="A27" s="97" t="s">
        <v>238</v>
      </c>
      <c r="B27" s="97" t="s">
        <v>239</v>
      </c>
      <c r="E27" s="98">
        <v>15.713388442993164</v>
      </c>
      <c r="F27" s="98">
        <v>15.726656913757324</v>
      </c>
      <c r="G27" s="98">
        <v>15.612536430358887</v>
      </c>
      <c r="H27" s="109">
        <f>AVERAGE(E27:G27)</f>
        <v>15.684193929036459</v>
      </c>
    </row>
    <row r="28" spans="1:19">
      <c r="A28" s="97" t="s">
        <v>238</v>
      </c>
      <c r="B28" s="97" t="s">
        <v>240</v>
      </c>
      <c r="E28" s="110">
        <v>15.18875789642334</v>
      </c>
      <c r="F28" s="109">
        <v>15.280285835266113</v>
      </c>
      <c r="G28" s="109">
        <v>15.261421203613281</v>
      </c>
      <c r="H28" s="109">
        <f t="shared" ref="H28:H68" si="5">AVERAGE(E28:G28)</f>
        <v>15.243488311767578</v>
      </c>
    </row>
    <row r="29" spans="1:19">
      <c r="A29" s="97" t="s">
        <v>238</v>
      </c>
      <c r="B29" s="97" t="s">
        <v>241</v>
      </c>
      <c r="E29" s="110">
        <v>15.903929710388184</v>
      </c>
      <c r="F29" s="109">
        <v>15.71695613861084</v>
      </c>
      <c r="G29" s="109">
        <v>15.745060920715332</v>
      </c>
      <c r="H29" s="109">
        <f t="shared" si="5"/>
        <v>15.788648923238119</v>
      </c>
    </row>
    <row r="30" spans="1:19">
      <c r="A30" s="97" t="s">
        <v>238</v>
      </c>
      <c r="B30" s="97" t="s">
        <v>242</v>
      </c>
      <c r="E30" s="110">
        <v>15.95374870300293</v>
      </c>
      <c r="F30" s="109">
        <v>15.781205177307129</v>
      </c>
      <c r="G30" s="109">
        <v>15.694306373596191</v>
      </c>
      <c r="H30" s="109">
        <f t="shared" si="5"/>
        <v>15.80975341796875</v>
      </c>
    </row>
    <row r="31" spans="1:19">
      <c r="A31" s="97" t="s">
        <v>243</v>
      </c>
      <c r="B31" s="97" t="s">
        <v>244</v>
      </c>
      <c r="E31" s="110">
        <v>15.793012619018555</v>
      </c>
      <c r="F31" s="109">
        <v>15.662893295288086</v>
      </c>
      <c r="G31" s="109">
        <v>15.729142189025879</v>
      </c>
      <c r="H31" s="109">
        <f t="shared" si="5"/>
        <v>15.728349367777506</v>
      </c>
    </row>
    <row r="32" spans="1:19">
      <c r="A32" s="97" t="s">
        <v>243</v>
      </c>
      <c r="B32" s="97" t="s">
        <v>245</v>
      </c>
      <c r="E32" s="110">
        <v>15.790358543395996</v>
      </c>
      <c r="F32" s="109">
        <v>15.747311592102051</v>
      </c>
      <c r="G32" s="109">
        <v>15.724276542663574</v>
      </c>
      <c r="H32" s="109">
        <f t="shared" si="5"/>
        <v>15.753982226053873</v>
      </c>
    </row>
    <row r="33" spans="1:8">
      <c r="A33" s="97" t="s">
        <v>243</v>
      </c>
      <c r="B33" s="97" t="s">
        <v>245</v>
      </c>
      <c r="E33" s="110">
        <v>15.449001312255859</v>
      </c>
      <c r="F33" s="109">
        <v>15.556774139404297</v>
      </c>
      <c r="G33" s="109">
        <v>15.49962043762207</v>
      </c>
      <c r="H33" s="109">
        <f t="shared" si="5"/>
        <v>15.501798629760742</v>
      </c>
    </row>
    <row r="34" spans="1:8">
      <c r="A34" s="97" t="s">
        <v>243</v>
      </c>
      <c r="B34" s="97" t="s">
        <v>246</v>
      </c>
      <c r="E34" s="110">
        <v>15.347023010253906</v>
      </c>
      <c r="F34" s="109">
        <v>15.780600547790527</v>
      </c>
      <c r="G34" s="109">
        <v>15.718053817749023</v>
      </c>
      <c r="H34" s="109">
        <f t="shared" si="5"/>
        <v>15.615225791931152</v>
      </c>
    </row>
    <row r="35" spans="1:8">
      <c r="A35" s="97" t="s">
        <v>247</v>
      </c>
      <c r="B35" s="97" t="s">
        <v>246</v>
      </c>
      <c r="E35" s="110">
        <v>15.825298309326172</v>
      </c>
      <c r="F35" s="109">
        <v>15.804603576660156</v>
      </c>
      <c r="G35" s="109">
        <v>15.760408401489258</v>
      </c>
      <c r="H35" s="109">
        <f t="shared" si="5"/>
        <v>15.796770095825195</v>
      </c>
    </row>
    <row r="36" spans="1:8">
      <c r="A36" s="97" t="s">
        <v>247</v>
      </c>
      <c r="B36" s="97" t="s">
        <v>248</v>
      </c>
      <c r="E36" s="110">
        <v>15.800871849060059</v>
      </c>
      <c r="F36" s="109">
        <v>15.699575424194336</v>
      </c>
      <c r="G36" s="109">
        <v>15.968178749084473</v>
      </c>
      <c r="H36" s="109">
        <f>AVERAGE(E36:G36)</f>
        <v>15.822875340779623</v>
      </c>
    </row>
    <row r="37" spans="1:8">
      <c r="A37" s="97" t="s">
        <v>247</v>
      </c>
      <c r="B37" s="97" t="s">
        <v>248</v>
      </c>
      <c r="E37" s="110">
        <v>15.717584609985352</v>
      </c>
      <c r="F37" s="109">
        <v>15.693602561950684</v>
      </c>
      <c r="G37" s="109">
        <v>15.63984489440918</v>
      </c>
      <c r="H37" s="109">
        <f t="shared" si="5"/>
        <v>15.683677355448404</v>
      </c>
    </row>
    <row r="38" spans="1:8">
      <c r="A38" s="97" t="s">
        <v>247</v>
      </c>
      <c r="B38" s="97" t="s">
        <v>248</v>
      </c>
      <c r="E38" s="110">
        <v>15.61665153503418</v>
      </c>
      <c r="F38" s="109">
        <v>15.740999221801758</v>
      </c>
      <c r="G38" s="109">
        <v>15.586724281311035</v>
      </c>
      <c r="H38" s="109">
        <f t="shared" si="5"/>
        <v>15.648125012715658</v>
      </c>
    </row>
    <row r="39" spans="1:8">
      <c r="A39" s="97" t="s">
        <v>249</v>
      </c>
      <c r="B39" s="97" t="s">
        <v>250</v>
      </c>
      <c r="E39" s="110">
        <v>15.755837440490723</v>
      </c>
      <c r="F39" s="109">
        <v>15.457893371582031</v>
      </c>
      <c r="G39" s="109">
        <v>15.691001892089844</v>
      </c>
      <c r="H39" s="109">
        <f t="shared" si="5"/>
        <v>15.634910901387533</v>
      </c>
    </row>
    <row r="40" spans="1:8">
      <c r="A40" s="97" t="s">
        <v>249</v>
      </c>
      <c r="B40" s="97" t="s">
        <v>250</v>
      </c>
      <c r="E40" s="110">
        <v>15.560844421386719</v>
      </c>
      <c r="F40" s="109">
        <v>15.738679885864258</v>
      </c>
      <c r="G40" s="109">
        <v>15.730792999267578</v>
      </c>
      <c r="H40" s="109">
        <f t="shared" si="5"/>
        <v>15.676772435506185</v>
      </c>
    </row>
    <row r="41" spans="1:8">
      <c r="A41" s="97" t="s">
        <v>249</v>
      </c>
      <c r="B41" s="97" t="s">
        <v>251</v>
      </c>
      <c r="E41" s="110">
        <v>15.789995193481445</v>
      </c>
      <c r="F41" s="109">
        <v>15.670146942138672</v>
      </c>
      <c r="G41" s="109">
        <v>15.804409980773926</v>
      </c>
      <c r="H41" s="109">
        <f t="shared" si="5"/>
        <v>15.754850705464682</v>
      </c>
    </row>
    <row r="42" spans="1:8">
      <c r="A42" s="97" t="s">
        <v>249</v>
      </c>
      <c r="B42" s="97" t="s">
        <v>252</v>
      </c>
      <c r="E42" s="110">
        <v>15.759750366210938</v>
      </c>
      <c r="F42" s="109">
        <v>15.668698310852051</v>
      </c>
      <c r="G42" s="109">
        <v>15.640106201171875</v>
      </c>
      <c r="H42" s="109">
        <f t="shared" si="5"/>
        <v>15.689518292744955</v>
      </c>
    </row>
    <row r="43" spans="1:8">
      <c r="A43" s="97" t="s">
        <v>253</v>
      </c>
      <c r="B43" s="97" t="s">
        <v>254</v>
      </c>
      <c r="E43" s="110">
        <v>15.258575439453125</v>
      </c>
      <c r="F43" s="109">
        <v>15.478802680969238</v>
      </c>
      <c r="G43" s="109">
        <v>15.974754333496094</v>
      </c>
      <c r="H43" s="109">
        <f t="shared" si="5"/>
        <v>15.570710817972818</v>
      </c>
    </row>
    <row r="44" spans="1:8">
      <c r="A44" s="97" t="s">
        <v>253</v>
      </c>
      <c r="B44" s="97" t="s">
        <v>255</v>
      </c>
      <c r="E44" s="110">
        <v>15.35291576385498</v>
      </c>
      <c r="F44" s="109">
        <v>15.170954704284668</v>
      </c>
      <c r="G44" s="109">
        <v>15.236812591552734</v>
      </c>
      <c r="H44" s="109">
        <f t="shared" si="5"/>
        <v>15.253561019897461</v>
      </c>
    </row>
    <row r="45" spans="1:8">
      <c r="A45" s="97" t="s">
        <v>253</v>
      </c>
      <c r="B45" s="97" t="s">
        <v>256</v>
      </c>
      <c r="E45" s="110">
        <v>15.810567855834961</v>
      </c>
      <c r="F45" s="109">
        <v>15.790656089782715</v>
      </c>
      <c r="G45" s="109">
        <v>15.956247329711914</v>
      </c>
      <c r="H45" s="109">
        <f t="shared" si="5"/>
        <v>15.852490425109863</v>
      </c>
    </row>
    <row r="46" spans="1:8">
      <c r="A46" s="97" t="s">
        <v>253</v>
      </c>
      <c r="B46" s="97" t="s">
        <v>300</v>
      </c>
      <c r="E46" s="110">
        <v>15.760116577148438</v>
      </c>
      <c r="F46" s="109">
        <v>15.89314079284668</v>
      </c>
      <c r="G46" s="109">
        <v>15.903885841369629</v>
      </c>
      <c r="H46" s="109">
        <f t="shared" si="5"/>
        <v>15.852381070454916</v>
      </c>
    </row>
    <row r="47" spans="1:8">
      <c r="A47" s="97" t="s">
        <v>304</v>
      </c>
      <c r="B47" s="97" t="s">
        <v>305</v>
      </c>
      <c r="E47" s="110">
        <v>15.956473350524902</v>
      </c>
      <c r="F47" s="109">
        <v>15.595272064208984</v>
      </c>
      <c r="G47" s="109">
        <v>15.919502258300781</v>
      </c>
      <c r="H47" s="109">
        <f t="shared" si="5"/>
        <v>15.823749224344889</v>
      </c>
    </row>
    <row r="48" spans="1:8">
      <c r="A48" s="97" t="s">
        <v>304</v>
      </c>
      <c r="B48" s="97" t="s">
        <v>307</v>
      </c>
      <c r="E48" s="110">
        <v>15.711461067199707</v>
      </c>
      <c r="F48" s="109">
        <v>15.73438835144043</v>
      </c>
      <c r="G48" s="109">
        <v>15.689187049865723</v>
      </c>
      <c r="H48" s="109">
        <f t="shared" si="5"/>
        <v>15.711678822835287</v>
      </c>
    </row>
    <row r="49" spans="1:8">
      <c r="A49" s="97" t="s">
        <v>304</v>
      </c>
      <c r="B49" s="97" t="s">
        <v>308</v>
      </c>
      <c r="E49" s="110">
        <v>15.574808120727539</v>
      </c>
      <c r="F49" s="109">
        <v>15.501856803894043</v>
      </c>
      <c r="G49" s="109">
        <v>15.596255302429199</v>
      </c>
      <c r="H49" s="109">
        <f t="shared" si="5"/>
        <v>15.557640075683594</v>
      </c>
    </row>
    <row r="50" spans="1:8">
      <c r="A50" s="97" t="s">
        <v>304</v>
      </c>
      <c r="B50" s="97" t="s">
        <v>309</v>
      </c>
      <c r="E50" s="110">
        <v>15.60640811920166</v>
      </c>
      <c r="F50" s="109">
        <v>15.595258712768555</v>
      </c>
      <c r="G50" s="109">
        <v>15.58064079284668</v>
      </c>
      <c r="H50" s="109">
        <f t="shared" si="5"/>
        <v>15.594102541605631</v>
      </c>
    </row>
    <row r="51" spans="1:8">
      <c r="A51" s="97" t="s">
        <v>310</v>
      </c>
      <c r="B51" s="97" t="s">
        <v>311</v>
      </c>
      <c r="E51" s="110">
        <v>15.40764331817627</v>
      </c>
      <c r="F51" s="109">
        <v>15.702505111694336</v>
      </c>
      <c r="G51" s="109">
        <v>15.805522918701172</v>
      </c>
      <c r="H51" s="109">
        <f t="shared" si="5"/>
        <v>15.638557116190592</v>
      </c>
    </row>
    <row r="52" spans="1:8">
      <c r="A52" s="59" t="s">
        <v>310</v>
      </c>
      <c r="B52" s="59" t="s">
        <v>312</v>
      </c>
      <c r="C52" s="59"/>
      <c r="D52" s="59"/>
      <c r="E52" s="110">
        <v>15.5</v>
      </c>
      <c r="F52" s="109">
        <v>15.5</v>
      </c>
      <c r="G52" s="109">
        <v>15.4</v>
      </c>
      <c r="H52" s="109">
        <f t="shared" si="5"/>
        <v>15.466666666666667</v>
      </c>
    </row>
    <row r="53" spans="1:8">
      <c r="A53" s="59" t="s">
        <v>310</v>
      </c>
      <c r="B53" s="59" t="s">
        <v>312</v>
      </c>
      <c r="C53" s="59"/>
      <c r="D53" s="59"/>
      <c r="E53" s="126">
        <v>15.8</v>
      </c>
      <c r="F53" s="127">
        <v>15.4</v>
      </c>
      <c r="G53" s="127">
        <v>15.4</v>
      </c>
      <c r="H53" s="109">
        <f t="shared" si="5"/>
        <v>15.533333333333333</v>
      </c>
    </row>
    <row r="54" spans="1:8">
      <c r="A54" s="59" t="s">
        <v>310</v>
      </c>
      <c r="B54" s="59" t="s">
        <v>313</v>
      </c>
      <c r="C54" s="59"/>
      <c r="D54" s="59"/>
      <c r="E54" s="126">
        <v>15.6</v>
      </c>
      <c r="F54" s="127">
        <v>15.5</v>
      </c>
      <c r="G54" s="127">
        <v>15.6</v>
      </c>
      <c r="H54" s="109">
        <f t="shared" si="5"/>
        <v>15.566666666666668</v>
      </c>
    </row>
    <row r="55" spans="1:8">
      <c r="A55" s="59" t="s">
        <v>328</v>
      </c>
      <c r="B55" s="59" t="s">
        <v>329</v>
      </c>
      <c r="C55" s="59"/>
      <c r="D55" s="59"/>
      <c r="E55" s="126">
        <v>15.6</v>
      </c>
      <c r="F55" s="127">
        <v>15.6</v>
      </c>
      <c r="G55" s="127">
        <v>15.8</v>
      </c>
      <c r="H55" s="109">
        <f t="shared" si="5"/>
        <v>15.666666666666666</v>
      </c>
    </row>
    <row r="56" spans="1:8">
      <c r="A56" s="59" t="s">
        <v>328</v>
      </c>
      <c r="B56" s="59" t="s">
        <v>329</v>
      </c>
      <c r="C56" s="59"/>
      <c r="D56" s="59"/>
      <c r="E56" s="126">
        <v>15.577789306640625</v>
      </c>
      <c r="F56" s="127">
        <v>15.603015899658203</v>
      </c>
      <c r="G56" s="127">
        <v>15.626909255981445</v>
      </c>
      <c r="H56" s="109">
        <f t="shared" si="5"/>
        <v>15.602571487426758</v>
      </c>
    </row>
    <row r="57" spans="1:8">
      <c r="A57" s="97" t="s">
        <v>328</v>
      </c>
      <c r="B57" s="97" t="s">
        <v>330</v>
      </c>
      <c r="E57" s="126">
        <v>15.925136566162109</v>
      </c>
      <c r="F57" s="127"/>
      <c r="G57" s="127">
        <v>15.940312385559082</v>
      </c>
      <c r="H57" s="109">
        <f t="shared" si="5"/>
        <v>15.932724475860596</v>
      </c>
    </row>
    <row r="58" spans="1:8">
      <c r="A58" s="97" t="s">
        <v>328</v>
      </c>
      <c r="B58" s="97" t="s">
        <v>330</v>
      </c>
      <c r="E58" s="110">
        <v>15.2</v>
      </c>
      <c r="F58" s="109">
        <v>15.3</v>
      </c>
      <c r="G58" s="109">
        <v>15.4</v>
      </c>
      <c r="H58" s="109">
        <f t="shared" si="5"/>
        <v>15.299999999999999</v>
      </c>
    </row>
    <row r="59" spans="1:8">
      <c r="A59" s="97" t="s">
        <v>331</v>
      </c>
      <c r="B59" s="97" t="s">
        <v>332</v>
      </c>
      <c r="E59" s="110">
        <v>15.989936828613281</v>
      </c>
      <c r="F59" s="109">
        <v>15.856328964233398</v>
      </c>
      <c r="G59" s="109">
        <v>15.836997985839844</v>
      </c>
      <c r="H59" s="109">
        <f t="shared" si="5"/>
        <v>15.894421259562174</v>
      </c>
    </row>
    <row r="60" spans="1:8">
      <c r="A60" s="97" t="s">
        <v>331</v>
      </c>
      <c r="B60" s="97" t="s">
        <v>338</v>
      </c>
      <c r="E60" s="110">
        <v>15.699069023132324</v>
      </c>
      <c r="F60" s="109">
        <v>15.817172050476074</v>
      </c>
      <c r="G60" s="109">
        <v>16.075807571411133</v>
      </c>
      <c r="H60" s="109">
        <f t="shared" si="5"/>
        <v>15.86401621500651</v>
      </c>
    </row>
    <row r="61" spans="1:8">
      <c r="A61" s="97" t="s">
        <v>331</v>
      </c>
      <c r="B61" s="97" t="s">
        <v>339</v>
      </c>
      <c r="E61" s="110">
        <v>14.193151473999023</v>
      </c>
      <c r="F61" s="109">
        <v>14.592436790466309</v>
      </c>
      <c r="G61" s="109">
        <v>14.826726913452148</v>
      </c>
      <c r="H61" s="109">
        <f t="shared" si="5"/>
        <v>14.53743839263916</v>
      </c>
    </row>
    <row r="62" spans="1:8">
      <c r="A62" s="97" t="s">
        <v>340</v>
      </c>
      <c r="B62" s="97" t="s">
        <v>339</v>
      </c>
      <c r="E62" s="110">
        <v>15.753643035888672</v>
      </c>
      <c r="F62" s="109">
        <v>15.53950309753418</v>
      </c>
      <c r="G62" s="109">
        <v>16.160148620605469</v>
      </c>
      <c r="H62" s="109">
        <f t="shared" si="5"/>
        <v>15.81776491800944</v>
      </c>
    </row>
    <row r="63" spans="1:8">
      <c r="A63" s="97" t="s">
        <v>340</v>
      </c>
      <c r="B63" s="97" t="s">
        <v>356</v>
      </c>
      <c r="E63" s="110">
        <v>16.152790069580078</v>
      </c>
      <c r="F63" s="109">
        <v>15.918967247009277</v>
      </c>
      <c r="G63" s="109">
        <v>16.004350662231445</v>
      </c>
      <c r="H63" s="109">
        <f t="shared" si="5"/>
        <v>16.025369326273601</v>
      </c>
    </row>
    <row r="64" spans="1:8">
      <c r="A64" s="97" t="s">
        <v>340</v>
      </c>
      <c r="B64" s="97" t="s">
        <v>351</v>
      </c>
      <c r="E64" s="110">
        <v>15.725796699523926</v>
      </c>
      <c r="F64" s="109">
        <v>15.72511100769043</v>
      </c>
      <c r="G64" s="109">
        <v>15.700724601745605</v>
      </c>
      <c r="H64" s="109">
        <f t="shared" si="5"/>
        <v>15.71721076965332</v>
      </c>
    </row>
    <row r="65" spans="1:8">
      <c r="A65" s="97" t="s">
        <v>340</v>
      </c>
      <c r="B65" s="97" t="s">
        <v>352</v>
      </c>
      <c r="E65" s="110">
        <v>15.868610382080078</v>
      </c>
      <c r="F65" s="109">
        <v>15.950244903564453</v>
      </c>
      <c r="G65" s="109">
        <v>15.73750114440918</v>
      </c>
      <c r="H65" s="109">
        <f t="shared" si="5"/>
        <v>15.852118810017904</v>
      </c>
    </row>
    <row r="66" spans="1:8">
      <c r="A66" s="97" t="s">
        <v>340</v>
      </c>
      <c r="B66" s="97" t="s">
        <v>352</v>
      </c>
      <c r="E66" s="110">
        <v>15.411773681640625</v>
      </c>
      <c r="F66" s="109">
        <v>15.347482681274414</v>
      </c>
      <c r="G66" s="109">
        <v>15.357060432434082</v>
      </c>
      <c r="H66" s="109">
        <f t="shared" si="5"/>
        <v>15.372105598449707</v>
      </c>
    </row>
    <row r="67" spans="1:8">
      <c r="A67" s="97" t="s">
        <v>238</v>
      </c>
      <c r="B67" s="97" t="s">
        <v>353</v>
      </c>
      <c r="E67" s="110">
        <v>15.701089859008789</v>
      </c>
      <c r="F67" s="109">
        <v>15.69521427154541</v>
      </c>
      <c r="G67" s="109">
        <v>15.858868598937988</v>
      </c>
      <c r="H67" s="109">
        <f t="shared" si="5"/>
        <v>15.751724243164062</v>
      </c>
    </row>
    <row r="68" spans="1:8">
      <c r="A68" s="97" t="s">
        <v>238</v>
      </c>
      <c r="B68" s="97" t="s">
        <v>354</v>
      </c>
      <c r="E68" s="110">
        <v>15.664003372192383</v>
      </c>
      <c r="F68" s="109">
        <v>15.706714630126953</v>
      </c>
      <c r="G68" s="109">
        <v>15.883712768554688</v>
      </c>
      <c r="H68" s="109">
        <f t="shared" si="5"/>
        <v>15.751476923624674</v>
      </c>
    </row>
    <row r="69" spans="1:8">
      <c r="A69" s="97" t="s">
        <v>238</v>
      </c>
      <c r="B69" s="97" t="s">
        <v>354</v>
      </c>
      <c r="E69" s="110">
        <v>15.815454483032227</v>
      </c>
      <c r="F69" s="109">
        <v>15.873584747314453</v>
      </c>
      <c r="G69" s="109">
        <v>15.955685615539551</v>
      </c>
      <c r="H69" s="109">
        <f>AVERAGE(E69:G69)</f>
        <v>15.881574948628744</v>
      </c>
    </row>
    <row r="70" spans="1:8">
      <c r="A70" s="97" t="s">
        <v>238</v>
      </c>
      <c r="B70" s="97" t="s">
        <v>355</v>
      </c>
      <c r="E70" s="110">
        <v>15.894612312316895</v>
      </c>
      <c r="F70" s="109">
        <v>15.946266174316406</v>
      </c>
      <c r="G70" s="109">
        <v>15.963062286376953</v>
      </c>
      <c r="H70" s="109">
        <f>AVERAGE(E70:G70)</f>
        <v>15.934646924336752</v>
      </c>
    </row>
    <row r="71" spans="1:8">
      <c r="A71" s="97"/>
      <c r="B71" s="97"/>
      <c r="E71"/>
    </row>
    <row r="72" spans="1:8">
      <c r="A72" s="97"/>
      <c r="B72" s="97"/>
      <c r="E72"/>
    </row>
    <row r="73" spans="1:8">
      <c r="F73" s="97" t="s">
        <v>257</v>
      </c>
      <c r="H73" s="112">
        <f>AVERAGE(H27:H70)</f>
        <v>15.662643397215641</v>
      </c>
    </row>
  </sheetData>
  <mergeCells count="20">
    <mergeCell ref="A2:A3"/>
    <mergeCell ref="B2:B3"/>
    <mergeCell ref="C2:C3"/>
    <mergeCell ref="D2:D3"/>
    <mergeCell ref="E2:E3"/>
    <mergeCell ref="S2:S3"/>
    <mergeCell ref="E26:H26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F2:F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2" workbookViewId="0">
      <selection activeCell="O47" sqref="O47"/>
    </sheetView>
  </sheetViews>
  <sheetFormatPr baseColWidth="10" defaultRowHeight="14" x14ac:dyDescent="0"/>
  <sheetData>
    <row r="1" spans="1:21">
      <c r="A1" s="84"/>
      <c r="B1" s="145" t="s">
        <v>4</v>
      </c>
      <c r="C1" s="147" t="s">
        <v>185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3" t="s">
        <v>22</v>
      </c>
      <c r="Q1" s="83" t="s">
        <v>22</v>
      </c>
      <c r="R1" s="83" t="s">
        <v>22</v>
      </c>
      <c r="S1" s="152" t="s">
        <v>258</v>
      </c>
      <c r="T1" s="84"/>
      <c r="U1" s="84"/>
    </row>
    <row r="2" spans="1:21">
      <c r="A2" s="84"/>
      <c r="B2" s="146"/>
      <c r="C2" s="146"/>
      <c r="D2" s="85" t="s">
        <v>19</v>
      </c>
      <c r="E2" s="85" t="s">
        <v>68</v>
      </c>
      <c r="F2" s="85" t="s">
        <v>69</v>
      </c>
      <c r="G2" s="85" t="s">
        <v>70</v>
      </c>
      <c r="H2" s="85" t="s">
        <v>19</v>
      </c>
      <c r="I2" s="85" t="s">
        <v>68</v>
      </c>
      <c r="J2" s="85" t="s">
        <v>69</v>
      </c>
      <c r="K2" s="85" t="s">
        <v>70</v>
      </c>
      <c r="L2" s="85" t="s">
        <v>19</v>
      </c>
      <c r="M2" s="85" t="s">
        <v>68</v>
      </c>
      <c r="N2" s="85" t="s">
        <v>69</v>
      </c>
      <c r="O2" s="85" t="s">
        <v>71</v>
      </c>
      <c r="P2" s="86" t="s">
        <v>70</v>
      </c>
      <c r="Q2" s="86" t="s">
        <v>23</v>
      </c>
      <c r="R2" s="86" t="s">
        <v>72</v>
      </c>
      <c r="S2" s="153"/>
      <c r="T2" s="84"/>
      <c r="U2" s="84"/>
    </row>
    <row r="3" spans="1:21">
      <c r="A3" s="84"/>
      <c r="B3" s="87"/>
      <c r="C3" s="87"/>
      <c r="D3" s="88"/>
      <c r="E3" s="88"/>
      <c r="F3" s="88"/>
      <c r="G3" s="89"/>
      <c r="H3" s="88"/>
      <c r="I3" s="88"/>
      <c r="J3" s="88"/>
      <c r="K3" s="89"/>
      <c r="L3" s="88"/>
      <c r="M3" s="88"/>
      <c r="N3" s="88"/>
      <c r="O3" s="89"/>
      <c r="P3" s="142"/>
      <c r="Q3" s="143"/>
      <c r="R3" s="144"/>
      <c r="S3" s="84"/>
      <c r="T3" s="84"/>
      <c r="U3" s="84"/>
    </row>
    <row r="4" spans="1:21">
      <c r="A4" s="84"/>
      <c r="B4" s="90" t="s">
        <v>186</v>
      </c>
      <c r="C4" s="91">
        <v>500</v>
      </c>
      <c r="D4" s="91">
        <v>2</v>
      </c>
      <c r="E4" s="91">
        <v>26960</v>
      </c>
      <c r="F4" s="91">
        <v>7</v>
      </c>
      <c r="G4" s="89">
        <f t="shared" ref="G4:G19" si="0">(E4/F4)*(10.2)*POWER(10,D4+2)</f>
        <v>392845714.28571427</v>
      </c>
      <c r="H4" s="91">
        <v>2</v>
      </c>
      <c r="I4" s="91">
        <v>28998</v>
      </c>
      <c r="J4" s="91">
        <v>7</v>
      </c>
      <c r="K4" s="89">
        <f t="shared" ref="K4:K19" si="1">(I4/J4)*(10.2)*POWER(10,H4+2)</f>
        <v>422542285.71428567</v>
      </c>
      <c r="L4" s="91">
        <v>2</v>
      </c>
      <c r="M4" s="91">
        <v>29053</v>
      </c>
      <c r="N4" s="91">
        <v>7</v>
      </c>
      <c r="O4" s="89">
        <f t="shared" ref="O4:O19" si="2">(M4/N4)*(10.2)*POWER(10,L4+2)</f>
        <v>423343714.28571433</v>
      </c>
      <c r="P4" s="92">
        <f t="shared" ref="P4:P19" si="3">AVERAGE(O4,K4,G4)</f>
        <v>412910571.4285714</v>
      </c>
      <c r="Q4" s="92">
        <f t="shared" ref="Q4:Q19" si="4">STDEV(O4,K4,G4)</f>
        <v>17381295.724462688</v>
      </c>
      <c r="R4" s="93">
        <f>LOG(P4)</f>
        <v>8.6158560019212569</v>
      </c>
      <c r="S4" s="84"/>
      <c r="T4" s="84"/>
      <c r="U4" s="84"/>
    </row>
    <row r="5" spans="1:21">
      <c r="A5" s="84"/>
      <c r="B5" s="90" t="s">
        <v>187</v>
      </c>
      <c r="C5" s="91">
        <v>500</v>
      </c>
      <c r="D5" s="91">
        <v>1</v>
      </c>
      <c r="E5" s="91">
        <v>25770</v>
      </c>
      <c r="F5" s="91">
        <v>7</v>
      </c>
      <c r="G5" s="89">
        <f t="shared" si="0"/>
        <v>37550571.428571425</v>
      </c>
      <c r="H5" s="91">
        <v>1</v>
      </c>
      <c r="I5" s="91">
        <v>24760</v>
      </c>
      <c r="J5" s="91">
        <v>7</v>
      </c>
      <c r="K5" s="89">
        <f t="shared" si="1"/>
        <v>36078857.142857142</v>
      </c>
      <c r="L5" s="91">
        <v>1</v>
      </c>
      <c r="M5" s="91">
        <v>27526</v>
      </c>
      <c r="N5" s="91">
        <v>7</v>
      </c>
      <c r="O5" s="89">
        <f t="shared" si="2"/>
        <v>40109314.285714284</v>
      </c>
      <c r="P5" s="92">
        <f t="shared" si="3"/>
        <v>37912914.285714291</v>
      </c>
      <c r="Q5" s="92">
        <f t="shared" si="4"/>
        <v>2039513.5338344474</v>
      </c>
      <c r="R5" s="93">
        <f t="shared" ref="R5:R19" si="5">LOG(P5)</f>
        <v>7.5787871690098934</v>
      </c>
      <c r="S5" s="84"/>
      <c r="T5" s="84"/>
      <c r="U5" s="84"/>
    </row>
    <row r="6" spans="1:21">
      <c r="A6" s="84"/>
      <c r="B6" s="90" t="s">
        <v>188</v>
      </c>
      <c r="C6" s="91">
        <v>500</v>
      </c>
      <c r="D6" s="91">
        <v>0</v>
      </c>
      <c r="E6" s="91">
        <v>2493</v>
      </c>
      <c r="F6" s="91">
        <v>7</v>
      </c>
      <c r="G6" s="89">
        <f t="shared" si="0"/>
        <v>363265.71428571426</v>
      </c>
      <c r="H6" s="91">
        <v>0</v>
      </c>
      <c r="I6" s="91">
        <v>2459</v>
      </c>
      <c r="J6" s="91">
        <v>7</v>
      </c>
      <c r="K6" s="89">
        <f t="shared" si="1"/>
        <v>358311.42857142852</v>
      </c>
      <c r="L6" s="91">
        <v>0</v>
      </c>
      <c r="M6" s="91">
        <v>2550</v>
      </c>
      <c r="N6" s="91">
        <v>7</v>
      </c>
      <c r="O6" s="89">
        <f t="shared" si="2"/>
        <v>371571.42857142852</v>
      </c>
      <c r="P6" s="92">
        <f t="shared" si="3"/>
        <v>364382.8571428571</v>
      </c>
      <c r="Q6" s="92">
        <f t="shared" si="4"/>
        <v>6700.2168712996863</v>
      </c>
      <c r="R6" s="93">
        <f t="shared" si="5"/>
        <v>5.5615579368427026</v>
      </c>
      <c r="S6" s="97" t="s">
        <v>129</v>
      </c>
      <c r="T6" s="84"/>
      <c r="U6" s="84"/>
    </row>
    <row r="7" spans="1:21">
      <c r="A7" s="84"/>
      <c r="B7" s="90" t="s">
        <v>189</v>
      </c>
      <c r="C7" s="91">
        <v>500</v>
      </c>
      <c r="D7" s="91">
        <f>LOG(705/250)</f>
        <v>0.45024910831936105</v>
      </c>
      <c r="E7" s="91">
        <v>946</v>
      </c>
      <c r="F7" s="91">
        <v>7</v>
      </c>
      <c r="G7" s="89">
        <f>(E7/F7)*(1)*POWER(10,D7+2)</f>
        <v>38110.285714285717</v>
      </c>
      <c r="H7" s="91">
        <f>LOG(705/250)</f>
        <v>0.45024910831936105</v>
      </c>
      <c r="I7" s="91">
        <v>885</v>
      </c>
      <c r="J7" s="91">
        <v>7</v>
      </c>
      <c r="K7" s="89">
        <f t="shared" si="1"/>
        <v>363659.1428571429</v>
      </c>
      <c r="L7" s="91">
        <f>LOG(705/250)</f>
        <v>0.45024910831936105</v>
      </c>
      <c r="M7" s="91">
        <v>947</v>
      </c>
      <c r="N7" s="91">
        <v>7</v>
      </c>
      <c r="O7" s="89">
        <f>(M7/N7)*(1)*POWER(10,L7+2)</f>
        <v>38150.571428571435</v>
      </c>
      <c r="P7" s="92">
        <f t="shared" si="3"/>
        <v>146640.00000000003</v>
      </c>
      <c r="Q7" s="92">
        <f t="shared" si="4"/>
        <v>187944.09190121258</v>
      </c>
      <c r="R7" s="93">
        <f t="shared" si="5"/>
        <v>5.1662524519541604</v>
      </c>
      <c r="S7" s="84"/>
      <c r="T7" s="84"/>
      <c r="U7" s="84"/>
    </row>
    <row r="8" spans="1:21">
      <c r="A8" s="84"/>
      <c r="B8" s="90" t="s">
        <v>190</v>
      </c>
      <c r="C8" s="91">
        <v>500</v>
      </c>
      <c r="D8" s="91">
        <f>LOG(705/250)</f>
        <v>0.45024910831936105</v>
      </c>
      <c r="E8" s="91">
        <v>1248</v>
      </c>
      <c r="F8" s="91">
        <v>70</v>
      </c>
      <c r="G8" s="89">
        <f>(E8/F8)*(1)*POWER(10,D8+2)</f>
        <v>5027.6571428571442</v>
      </c>
      <c r="H8" s="91">
        <f>LOG(705/250)</f>
        <v>0.45024910831936105</v>
      </c>
      <c r="I8" s="91">
        <v>1303</v>
      </c>
      <c r="J8" s="91">
        <v>70</v>
      </c>
      <c r="K8" s="89">
        <f t="shared" si="1"/>
        <v>53542.131428571432</v>
      </c>
      <c r="L8" s="91">
        <f>LOG(705/250)</f>
        <v>0.45024910831936105</v>
      </c>
      <c r="M8" s="91">
        <v>1278</v>
      </c>
      <c r="N8" s="91">
        <v>70</v>
      </c>
      <c r="O8" s="89">
        <f>(M8/N8)*(1)*POWER(10,L8+2)</f>
        <v>5148.5142857142864</v>
      </c>
      <c r="P8" s="92">
        <f t="shared" si="3"/>
        <v>21239.434285714287</v>
      </c>
      <c r="Q8" s="92">
        <f t="shared" si="4"/>
        <v>27975.021602129429</v>
      </c>
      <c r="R8" s="93">
        <f t="shared" si="5"/>
        <v>4.3271429450900092</v>
      </c>
      <c r="S8" s="84"/>
      <c r="T8" s="84"/>
      <c r="U8" s="84"/>
    </row>
    <row r="9" spans="1:21">
      <c r="A9" s="84"/>
      <c r="B9" s="90" t="s">
        <v>191</v>
      </c>
      <c r="C9" s="91">
        <v>900</v>
      </c>
      <c r="D9" s="91">
        <v>2</v>
      </c>
      <c r="E9" s="91">
        <v>26822</v>
      </c>
      <c r="F9" s="91">
        <v>7</v>
      </c>
      <c r="G9" s="89">
        <f t="shared" si="0"/>
        <v>390834857.14285713</v>
      </c>
      <c r="H9" s="91">
        <v>2</v>
      </c>
      <c r="I9" s="91">
        <v>25452</v>
      </c>
      <c r="J9" s="91">
        <v>7</v>
      </c>
      <c r="K9" s="89">
        <f t="shared" si="1"/>
        <v>370872000</v>
      </c>
      <c r="L9" s="91">
        <v>2</v>
      </c>
      <c r="M9" s="91">
        <v>29126</v>
      </c>
      <c r="N9" s="91">
        <v>7</v>
      </c>
      <c r="O9" s="89">
        <f t="shared" si="2"/>
        <v>424407428.57142854</v>
      </c>
      <c r="P9" s="92">
        <f t="shared" si="3"/>
        <v>395371428.57142854</v>
      </c>
      <c r="Q9" s="92">
        <f t="shared" si="4"/>
        <v>27054498.485954784</v>
      </c>
      <c r="R9" s="93">
        <f t="shared" si="5"/>
        <v>8.5970052819172</v>
      </c>
      <c r="S9" s="84"/>
      <c r="T9" s="84"/>
      <c r="U9" s="84"/>
    </row>
    <row r="10" spans="1:21">
      <c r="A10" s="84"/>
      <c r="B10" s="90" t="s">
        <v>192</v>
      </c>
      <c r="C10" s="91">
        <v>900</v>
      </c>
      <c r="D10" s="91">
        <v>1</v>
      </c>
      <c r="E10" s="91">
        <v>11669</v>
      </c>
      <c r="F10" s="91">
        <v>7</v>
      </c>
      <c r="G10" s="89">
        <f t="shared" si="0"/>
        <v>17003399.999999996</v>
      </c>
      <c r="H10" s="91">
        <v>1</v>
      </c>
      <c r="I10" s="91">
        <v>13970</v>
      </c>
      <c r="J10" s="91">
        <v>20</v>
      </c>
      <c r="K10" s="89">
        <f t="shared" si="1"/>
        <v>7124700</v>
      </c>
      <c r="L10" s="91">
        <v>1</v>
      </c>
      <c r="M10" s="91">
        <v>12995</v>
      </c>
      <c r="N10" s="91">
        <v>7</v>
      </c>
      <c r="O10" s="89">
        <f t="shared" si="2"/>
        <v>18935571.428571429</v>
      </c>
      <c r="P10" s="92">
        <f t="shared" si="3"/>
        <v>14354557.142857142</v>
      </c>
      <c r="Q10" s="92">
        <f t="shared" si="4"/>
        <v>6335333.2459262749</v>
      </c>
      <c r="R10" s="93">
        <f t="shared" si="5"/>
        <v>7.1569897984779303</v>
      </c>
      <c r="S10" s="97" t="s">
        <v>129</v>
      </c>
      <c r="T10" s="84"/>
      <c r="U10" s="84"/>
    </row>
    <row r="11" spans="1:21">
      <c r="A11" s="84"/>
      <c r="B11" s="90" t="s">
        <v>193</v>
      </c>
      <c r="C11" s="91">
        <v>900</v>
      </c>
      <c r="D11" s="91">
        <v>1</v>
      </c>
      <c r="E11" s="91">
        <v>6123</v>
      </c>
      <c r="F11" s="91">
        <v>7</v>
      </c>
      <c r="G11" s="89">
        <f t="shared" si="0"/>
        <v>8922085.7142857127</v>
      </c>
      <c r="H11" s="91">
        <v>1</v>
      </c>
      <c r="I11" s="91">
        <v>6639</v>
      </c>
      <c r="J11" s="91">
        <v>7</v>
      </c>
      <c r="K11" s="89">
        <f t="shared" si="1"/>
        <v>9673971.4285714272</v>
      </c>
      <c r="L11" s="91">
        <v>1</v>
      </c>
      <c r="M11" s="91">
        <v>7021</v>
      </c>
      <c r="N11" s="91">
        <v>7</v>
      </c>
      <c r="O11" s="89">
        <f t="shared" si="2"/>
        <v>10230599.999999998</v>
      </c>
      <c r="P11" s="92">
        <f t="shared" si="3"/>
        <v>9608885.7142857127</v>
      </c>
      <c r="Q11" s="92">
        <f t="shared" si="4"/>
        <v>656680.68468065432</v>
      </c>
      <c r="R11" s="93">
        <f t="shared" si="5"/>
        <v>6.9826730280228597</v>
      </c>
      <c r="S11" s="97" t="s">
        <v>129</v>
      </c>
      <c r="T11" s="84"/>
      <c r="U11" s="84"/>
    </row>
    <row r="12" spans="1:21">
      <c r="A12" s="84"/>
      <c r="B12" s="90" t="s">
        <v>194</v>
      </c>
      <c r="C12" s="91">
        <v>900</v>
      </c>
      <c r="D12" s="91">
        <v>1</v>
      </c>
      <c r="E12" s="91">
        <v>29009</v>
      </c>
      <c r="F12" s="91">
        <v>7</v>
      </c>
      <c r="G12" s="89">
        <f t="shared" si="0"/>
        <v>42270257.142857142</v>
      </c>
      <c r="H12" s="91">
        <v>1</v>
      </c>
      <c r="I12" s="91">
        <v>29016</v>
      </c>
      <c r="J12" s="91">
        <v>7</v>
      </c>
      <c r="K12" s="89">
        <f t="shared" si="1"/>
        <v>42280457.142857134</v>
      </c>
      <c r="L12" s="91">
        <v>1</v>
      </c>
      <c r="M12" s="91">
        <v>31568</v>
      </c>
      <c r="N12" s="91">
        <v>7</v>
      </c>
      <c r="O12" s="89">
        <f t="shared" si="2"/>
        <v>45999085.714285709</v>
      </c>
      <c r="P12" s="92">
        <f t="shared" si="3"/>
        <v>43516599.999999993</v>
      </c>
      <c r="Q12" s="92">
        <f t="shared" si="4"/>
        <v>2149901.7422255576</v>
      </c>
      <c r="R12" s="93">
        <f t="shared" si="5"/>
        <v>7.6386549561082937</v>
      </c>
      <c r="S12" s="84"/>
      <c r="T12" s="84"/>
      <c r="U12" s="84"/>
    </row>
    <row r="13" spans="1:21">
      <c r="A13" s="84"/>
      <c r="B13" s="90" t="s">
        <v>195</v>
      </c>
      <c r="C13" s="91">
        <v>900</v>
      </c>
      <c r="D13" s="91">
        <v>1</v>
      </c>
      <c r="E13" s="91">
        <v>13542</v>
      </c>
      <c r="F13" s="91">
        <v>7</v>
      </c>
      <c r="G13" s="89">
        <f t="shared" si="0"/>
        <v>19732628.571428571</v>
      </c>
      <c r="H13" s="91">
        <v>1</v>
      </c>
      <c r="I13" s="91">
        <v>14070</v>
      </c>
      <c r="J13" s="91">
        <v>7</v>
      </c>
      <c r="K13" s="89">
        <f t="shared" si="1"/>
        <v>20502000</v>
      </c>
      <c r="L13" s="91">
        <v>1</v>
      </c>
      <c r="M13" s="91">
        <v>15197</v>
      </c>
      <c r="N13" s="91">
        <v>7</v>
      </c>
      <c r="O13" s="89">
        <f t="shared" si="2"/>
        <v>22144199.999999996</v>
      </c>
      <c r="P13" s="92">
        <f t="shared" si="3"/>
        <v>20792942.857142854</v>
      </c>
      <c r="Q13" s="92">
        <f t="shared" si="4"/>
        <v>1231829.938898768</v>
      </c>
      <c r="R13" s="93">
        <f t="shared" si="5"/>
        <v>7.3179159600467427</v>
      </c>
      <c r="S13" s="84"/>
      <c r="T13" s="84"/>
      <c r="U13" s="84"/>
    </row>
    <row r="14" spans="1:21">
      <c r="A14" s="84"/>
      <c r="B14" s="90" t="s">
        <v>196</v>
      </c>
      <c r="C14" s="91">
        <v>900</v>
      </c>
      <c r="D14" s="91">
        <v>1</v>
      </c>
      <c r="E14" s="91">
        <v>6282</v>
      </c>
      <c r="F14" s="91">
        <v>7</v>
      </c>
      <c r="G14" s="89">
        <f t="shared" si="0"/>
        <v>9153771.4285714291</v>
      </c>
      <c r="H14" s="91">
        <v>1</v>
      </c>
      <c r="I14" s="91">
        <v>6343</v>
      </c>
      <c r="J14" s="91">
        <v>7</v>
      </c>
      <c r="K14" s="89">
        <f t="shared" si="1"/>
        <v>9242657.1428571418</v>
      </c>
      <c r="L14" s="91">
        <v>1</v>
      </c>
      <c r="M14" s="91">
        <v>7014</v>
      </c>
      <c r="N14" s="91">
        <v>7</v>
      </c>
      <c r="O14" s="89">
        <f t="shared" si="2"/>
        <v>10220400</v>
      </c>
      <c r="P14" s="92">
        <f t="shared" si="3"/>
        <v>9538942.8571428563</v>
      </c>
      <c r="Q14" s="92">
        <f t="shared" si="4"/>
        <v>591830.25075969705</v>
      </c>
      <c r="R14" s="93">
        <f t="shared" si="5"/>
        <v>6.9795002471622967</v>
      </c>
      <c r="S14" s="84"/>
      <c r="T14" s="84"/>
      <c r="U14" s="84"/>
    </row>
    <row r="15" spans="1:21">
      <c r="A15" s="84"/>
      <c r="B15" s="90" t="s">
        <v>197</v>
      </c>
      <c r="C15" s="91">
        <v>900</v>
      </c>
      <c r="D15" s="91">
        <v>1</v>
      </c>
      <c r="E15" s="91">
        <v>3249</v>
      </c>
      <c r="F15" s="91">
        <v>7</v>
      </c>
      <c r="G15" s="89">
        <f t="shared" si="0"/>
        <v>4734257.1428571427</v>
      </c>
      <c r="H15" s="91">
        <v>1</v>
      </c>
      <c r="I15" s="91">
        <v>3902</v>
      </c>
      <c r="J15" s="91">
        <v>7</v>
      </c>
      <c r="K15" s="89">
        <f t="shared" si="1"/>
        <v>5685771.4285714282</v>
      </c>
      <c r="L15" s="91">
        <v>1</v>
      </c>
      <c r="M15" s="91">
        <v>3833</v>
      </c>
      <c r="N15" s="91">
        <v>7</v>
      </c>
      <c r="O15" s="89">
        <f t="shared" si="2"/>
        <v>5585228.5714285709</v>
      </c>
      <c r="P15" s="92">
        <f t="shared" si="3"/>
        <v>5335085.7142857136</v>
      </c>
      <c r="Q15" s="92">
        <f t="shared" si="4"/>
        <v>522755.62714741344</v>
      </c>
      <c r="R15" s="93">
        <f t="shared" si="5"/>
        <v>6.7271414012566968</v>
      </c>
      <c r="S15" s="84"/>
      <c r="T15" s="84"/>
      <c r="U15" s="84"/>
    </row>
    <row r="16" spans="1:21">
      <c r="A16" s="84"/>
      <c r="B16" s="90" t="s">
        <v>198</v>
      </c>
      <c r="C16" s="91">
        <v>900</v>
      </c>
      <c r="D16" s="91">
        <v>0</v>
      </c>
      <c r="E16" s="91">
        <v>12331</v>
      </c>
      <c r="F16" s="91">
        <v>7</v>
      </c>
      <c r="G16" s="89">
        <f t="shared" si="0"/>
        <v>1796802.857142857</v>
      </c>
      <c r="H16" s="91">
        <v>0</v>
      </c>
      <c r="I16" s="91">
        <v>13246</v>
      </c>
      <c r="J16" s="91">
        <v>7</v>
      </c>
      <c r="K16" s="89">
        <f t="shared" si="1"/>
        <v>1930131.4285714284</v>
      </c>
      <c r="L16" s="91">
        <v>0</v>
      </c>
      <c r="M16" s="91">
        <v>11745</v>
      </c>
      <c r="N16" s="91">
        <v>7</v>
      </c>
      <c r="O16" s="89">
        <f t="shared" si="2"/>
        <v>1711414.2857142854</v>
      </c>
      <c r="P16" s="92">
        <f t="shared" si="3"/>
        <v>1812782.857142857</v>
      </c>
      <c r="Q16" s="92">
        <f t="shared" si="4"/>
        <v>110230.74636823416</v>
      </c>
      <c r="R16" s="93">
        <f t="shared" si="5"/>
        <v>6.2583457855668376</v>
      </c>
      <c r="S16" s="84"/>
      <c r="T16" s="84"/>
      <c r="U16" s="84"/>
    </row>
    <row r="17" spans="1:21">
      <c r="A17" s="84"/>
      <c r="B17" s="90" t="s">
        <v>199</v>
      </c>
      <c r="C17" s="91">
        <v>900</v>
      </c>
      <c r="D17" s="91">
        <v>0</v>
      </c>
      <c r="E17" s="91">
        <v>6389</v>
      </c>
      <c r="F17" s="91">
        <v>7</v>
      </c>
      <c r="G17" s="89">
        <f t="shared" si="0"/>
        <v>930968.57142857136</v>
      </c>
      <c r="H17" s="91">
        <v>0</v>
      </c>
      <c r="I17" s="91">
        <v>4586</v>
      </c>
      <c r="J17" s="91">
        <v>7</v>
      </c>
      <c r="K17" s="89">
        <f t="shared" si="1"/>
        <v>668245.7142857142</v>
      </c>
      <c r="L17" s="91">
        <v>0</v>
      </c>
      <c r="M17" s="91">
        <v>5332</v>
      </c>
      <c r="N17" s="91">
        <v>7</v>
      </c>
      <c r="O17" s="89">
        <f t="shared" si="2"/>
        <v>776948.57142857136</v>
      </c>
      <c r="P17" s="92">
        <f t="shared" si="3"/>
        <v>792054.28571428556</v>
      </c>
      <c r="Q17" s="92">
        <f t="shared" si="4"/>
        <v>132011.21872548491</v>
      </c>
      <c r="R17" s="93">
        <f t="shared" si="5"/>
        <v>5.8987549482286576</v>
      </c>
      <c r="S17" s="84"/>
      <c r="T17" s="84"/>
      <c r="U17" s="84"/>
    </row>
    <row r="18" spans="1:21">
      <c r="A18" s="84"/>
      <c r="B18" s="90" t="s">
        <v>200</v>
      </c>
      <c r="C18" s="91">
        <v>900</v>
      </c>
      <c r="D18" s="91">
        <v>0</v>
      </c>
      <c r="E18" s="91">
        <v>2453</v>
      </c>
      <c r="F18" s="91">
        <v>7</v>
      </c>
      <c r="G18" s="89">
        <f t="shared" si="0"/>
        <v>357437.14285714284</v>
      </c>
      <c r="H18" s="91">
        <v>0</v>
      </c>
      <c r="I18" s="91">
        <v>2433</v>
      </c>
      <c r="J18" s="91">
        <v>7</v>
      </c>
      <c r="K18" s="89">
        <f t="shared" si="1"/>
        <v>354522.8571428571</v>
      </c>
      <c r="L18" s="91">
        <v>0</v>
      </c>
      <c r="M18" s="91">
        <v>1833</v>
      </c>
      <c r="N18" s="91">
        <v>7</v>
      </c>
      <c r="O18" s="89">
        <f t="shared" si="2"/>
        <v>267094.28571428568</v>
      </c>
      <c r="P18" s="92">
        <f t="shared" si="3"/>
        <v>326351.42857142852</v>
      </c>
      <c r="Q18" s="92">
        <f t="shared" si="4"/>
        <v>51338.874159841398</v>
      </c>
      <c r="R18" s="93">
        <f t="shared" si="5"/>
        <v>5.5136855181177333</v>
      </c>
      <c r="S18" s="84"/>
      <c r="T18" s="84"/>
      <c r="U18" s="84"/>
    </row>
    <row r="19" spans="1:21">
      <c r="A19" s="84"/>
      <c r="B19" s="90" t="s">
        <v>201</v>
      </c>
      <c r="C19" s="91">
        <v>900</v>
      </c>
      <c r="D19" s="91">
        <v>0</v>
      </c>
      <c r="E19" s="91">
        <v>2574</v>
      </c>
      <c r="F19" s="91">
        <v>14</v>
      </c>
      <c r="G19" s="89">
        <f t="shared" si="0"/>
        <v>187534.28571428571</v>
      </c>
      <c r="H19" s="91">
        <v>0</v>
      </c>
      <c r="I19" s="91">
        <v>1997</v>
      </c>
      <c r="J19" s="91">
        <v>14</v>
      </c>
      <c r="K19" s="89">
        <f t="shared" si="1"/>
        <v>145495.71428571429</v>
      </c>
      <c r="L19" s="91">
        <v>0</v>
      </c>
      <c r="M19" s="91">
        <v>1974</v>
      </c>
      <c r="N19" s="91">
        <v>14</v>
      </c>
      <c r="O19" s="89">
        <f t="shared" si="2"/>
        <v>143819.99999999997</v>
      </c>
      <c r="P19" s="92">
        <f t="shared" si="3"/>
        <v>158950</v>
      </c>
      <c r="Q19" s="92">
        <f t="shared" si="4"/>
        <v>24768.892727345858</v>
      </c>
      <c r="R19" s="93">
        <f t="shared" si="5"/>
        <v>5.2012605322507914</v>
      </c>
      <c r="S19" s="84"/>
      <c r="T19" s="84"/>
      <c r="U19" s="84"/>
    </row>
    <row r="20" spans="1:21" ht="15" thickBo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</row>
    <row r="21" spans="1:21" ht="43" thickBot="1">
      <c r="A21" s="84"/>
      <c r="B21" s="94" t="s">
        <v>4</v>
      </c>
      <c r="C21" s="94" t="s">
        <v>202</v>
      </c>
      <c r="D21" s="94" t="s">
        <v>203</v>
      </c>
      <c r="E21" s="94" t="s">
        <v>204</v>
      </c>
      <c r="F21" s="94" t="s">
        <v>205</v>
      </c>
      <c r="G21" s="95" t="s">
        <v>206</v>
      </c>
      <c r="H21" s="96" t="s">
        <v>207</v>
      </c>
      <c r="I21" s="96" t="s">
        <v>259</v>
      </c>
      <c r="J21" s="96" t="s">
        <v>260</v>
      </c>
      <c r="K21" s="96" t="s">
        <v>261</v>
      </c>
      <c r="L21" s="96" t="s">
        <v>262</v>
      </c>
      <c r="M21" s="97" t="s">
        <v>212</v>
      </c>
      <c r="N21" s="84"/>
      <c r="O21" s="84"/>
      <c r="P21" s="84"/>
      <c r="Q21" s="84"/>
      <c r="R21" s="84"/>
      <c r="S21" s="84"/>
      <c r="T21" s="84"/>
      <c r="U21" s="84"/>
    </row>
    <row r="22" spans="1:2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</row>
    <row r="23" spans="1:21">
      <c r="A23" s="84"/>
      <c r="B23" s="90" t="s">
        <v>186</v>
      </c>
      <c r="C23" s="98">
        <v>13.733217239379883</v>
      </c>
      <c r="D23" s="98">
        <v>13.964070320129395</v>
      </c>
      <c r="E23" s="98">
        <v>13.836982727050781</v>
      </c>
      <c r="F23" s="103">
        <f>AVERAGE(C23:E23)</f>
        <v>13.844756762186686</v>
      </c>
      <c r="G23" s="84">
        <f>150/100*180/4*1000/900</f>
        <v>75</v>
      </c>
      <c r="H23" s="112">
        <f>LOG(G23)/LOG(2)</f>
        <v>6.2288186904958813</v>
      </c>
      <c r="I23" s="98">
        <f>C23-H23</f>
        <v>7.5043985488840015</v>
      </c>
      <c r="J23" s="98">
        <f>D23-H23</f>
        <v>7.7352516296335132</v>
      </c>
      <c r="K23" s="98">
        <f>E23-H23</f>
        <v>7.6081640365548999</v>
      </c>
      <c r="L23" s="103">
        <f>AVERAGE(I23:K23)</f>
        <v>7.6159380716908052</v>
      </c>
      <c r="M23" s="84"/>
      <c r="N23" s="84"/>
      <c r="O23" s="84"/>
      <c r="P23" s="84"/>
      <c r="Q23" s="84"/>
      <c r="R23" s="84"/>
      <c r="S23" s="84"/>
      <c r="T23" s="84"/>
      <c r="U23" s="84"/>
    </row>
    <row r="24" spans="1:21">
      <c r="A24" s="84"/>
      <c r="B24" s="90" t="s">
        <v>187</v>
      </c>
      <c r="C24" s="98">
        <v>17.19072151184082</v>
      </c>
      <c r="D24" s="98">
        <v>17.22271728515625</v>
      </c>
      <c r="E24" s="98">
        <v>17.264667510986328</v>
      </c>
      <c r="F24" s="103">
        <f t="shared" ref="F24:F38" si="6">AVERAGE(C24:E24)</f>
        <v>17.226035435994465</v>
      </c>
      <c r="G24" s="84">
        <f t="shared" ref="G24:G27" si="7">150/100*180/4*1000/900</f>
        <v>75</v>
      </c>
      <c r="H24" s="112">
        <f t="shared" ref="H24:H37" si="8">LOG(G24)/LOG(2)</f>
        <v>6.2288186904958813</v>
      </c>
      <c r="I24" s="98">
        <f t="shared" ref="I24:I38" si="9">C24-H24</f>
        <v>10.961902821344939</v>
      </c>
      <c r="J24" s="98">
        <f t="shared" ref="J24:J38" si="10">D24-H24</f>
        <v>10.993898594660369</v>
      </c>
      <c r="K24" s="98">
        <f t="shared" ref="K24:K38" si="11">E24-H24</f>
        <v>11.035848820490447</v>
      </c>
      <c r="L24" s="103">
        <f t="shared" ref="L24:L38" si="12">AVERAGE(I24:K24)</f>
        <v>10.997216745498585</v>
      </c>
      <c r="M24" s="84"/>
      <c r="N24" s="84"/>
      <c r="O24" s="84"/>
      <c r="P24" s="84"/>
      <c r="Q24" s="84"/>
      <c r="R24" s="84"/>
      <c r="S24" s="84"/>
      <c r="T24" s="84"/>
      <c r="U24" s="84"/>
    </row>
    <row r="25" spans="1:21">
      <c r="A25" s="84"/>
      <c r="B25" s="90" t="s">
        <v>188</v>
      </c>
      <c r="C25" s="98">
        <v>20.897546768188477</v>
      </c>
      <c r="D25" s="98">
        <v>20.622665405273438</v>
      </c>
      <c r="E25" s="98">
        <v>20.75037956237793</v>
      </c>
      <c r="F25" s="103">
        <f t="shared" si="6"/>
        <v>20.756863911946613</v>
      </c>
      <c r="G25" s="84">
        <f t="shared" si="7"/>
        <v>75</v>
      </c>
      <c r="H25" s="112">
        <f t="shared" si="8"/>
        <v>6.2288186904958813</v>
      </c>
      <c r="I25" s="98">
        <f t="shared" si="9"/>
        <v>14.668728077692595</v>
      </c>
      <c r="J25" s="98">
        <f t="shared" si="10"/>
        <v>14.393846714777556</v>
      </c>
      <c r="K25" s="98">
        <f t="shared" si="11"/>
        <v>14.521560871882048</v>
      </c>
      <c r="L25" s="103">
        <f t="shared" si="12"/>
        <v>14.528045221450734</v>
      </c>
      <c r="M25" s="97" t="s">
        <v>129</v>
      </c>
      <c r="N25" s="84"/>
      <c r="O25" s="84"/>
      <c r="P25" s="84"/>
      <c r="Q25" s="84"/>
      <c r="R25" s="84"/>
      <c r="S25" s="84"/>
      <c r="T25" s="84"/>
      <c r="U25" s="84"/>
    </row>
    <row r="26" spans="1:21">
      <c r="A26" s="84"/>
      <c r="B26" s="90" t="s">
        <v>189</v>
      </c>
      <c r="C26" s="98">
        <v>25.132444381713867</v>
      </c>
      <c r="D26" s="98">
        <v>25.147838592529297</v>
      </c>
      <c r="E26" s="98">
        <v>25.181661605834961</v>
      </c>
      <c r="F26" s="103">
        <f t="shared" si="6"/>
        <v>25.153981526692707</v>
      </c>
      <c r="G26" s="84">
        <f t="shared" si="7"/>
        <v>75</v>
      </c>
      <c r="H26" s="112">
        <f t="shared" si="8"/>
        <v>6.2288186904958813</v>
      </c>
      <c r="I26" s="98">
        <f t="shared" si="9"/>
        <v>18.903625691217986</v>
      </c>
      <c r="J26" s="98">
        <f t="shared" si="10"/>
        <v>18.919019902033416</v>
      </c>
      <c r="K26" s="98">
        <f t="shared" si="11"/>
        <v>18.95284291533908</v>
      </c>
      <c r="L26" s="103">
        <f t="shared" si="12"/>
        <v>18.925162836196829</v>
      </c>
      <c r="M26" s="84"/>
      <c r="N26" s="84"/>
      <c r="O26" s="84"/>
      <c r="P26" s="84"/>
      <c r="Q26" s="84"/>
      <c r="R26" s="84"/>
      <c r="S26" s="84"/>
      <c r="T26" s="84"/>
      <c r="U26" s="84"/>
    </row>
    <row r="27" spans="1:21">
      <c r="A27" s="84"/>
      <c r="B27" s="90" t="s">
        <v>190</v>
      </c>
      <c r="C27" s="98">
        <v>28.415132522583008</v>
      </c>
      <c r="D27" s="98">
        <v>28.359806060791016</v>
      </c>
      <c r="E27" s="98">
        <v>28.363668441772461</v>
      </c>
      <c r="F27" s="103">
        <f t="shared" si="6"/>
        <v>28.379535675048828</v>
      </c>
      <c r="G27" s="84">
        <f t="shared" si="7"/>
        <v>75</v>
      </c>
      <c r="H27" s="112">
        <f t="shared" si="8"/>
        <v>6.2288186904958813</v>
      </c>
      <c r="I27" s="98">
        <f t="shared" si="9"/>
        <v>22.186313832087126</v>
      </c>
      <c r="J27" s="98">
        <f t="shared" si="10"/>
        <v>22.130987370295134</v>
      </c>
      <c r="K27" s="98">
        <f t="shared" si="11"/>
        <v>22.13484975127658</v>
      </c>
      <c r="L27" s="103">
        <f t="shared" si="12"/>
        <v>22.150716984552947</v>
      </c>
      <c r="M27" s="84"/>
      <c r="N27" s="84"/>
      <c r="O27" s="84"/>
      <c r="P27" s="84"/>
      <c r="Q27" s="84"/>
      <c r="R27" s="84"/>
      <c r="S27" s="84"/>
      <c r="T27" s="84"/>
      <c r="U27" s="84"/>
    </row>
    <row r="28" spans="1:21">
      <c r="A28" s="84"/>
      <c r="B28" s="90" t="s">
        <v>191</v>
      </c>
      <c r="C28" s="98">
        <v>14.936457633972168</v>
      </c>
      <c r="D28" s="98">
        <v>14.999619483947754</v>
      </c>
      <c r="E28" s="98">
        <v>15.074687957763672</v>
      </c>
      <c r="F28" s="103">
        <f t="shared" si="6"/>
        <v>15.003588358561197</v>
      </c>
      <c r="G28" s="84">
        <f>150/100*180/4*1000/500</f>
        <v>135</v>
      </c>
      <c r="H28" s="112">
        <f t="shared" si="8"/>
        <v>7.0768155970508309</v>
      </c>
      <c r="I28" s="98">
        <f t="shared" si="9"/>
        <v>7.8596420369213371</v>
      </c>
      <c r="J28" s="98">
        <f t="shared" si="10"/>
        <v>7.9228038868969231</v>
      </c>
      <c r="K28" s="98">
        <f t="shared" si="11"/>
        <v>7.997872360712841</v>
      </c>
      <c r="L28" s="103">
        <f t="shared" si="12"/>
        <v>7.9267727615103674</v>
      </c>
      <c r="M28" s="84"/>
      <c r="N28" s="84"/>
      <c r="O28" s="84"/>
      <c r="P28" s="84"/>
      <c r="Q28" s="84"/>
      <c r="R28" s="84"/>
      <c r="S28" s="84"/>
      <c r="T28" s="84"/>
      <c r="U28" s="84"/>
    </row>
    <row r="29" spans="1:21">
      <c r="A29" s="84"/>
      <c r="B29" s="90" t="s">
        <v>192</v>
      </c>
      <c r="C29" s="98">
        <v>16.18989372253418</v>
      </c>
      <c r="D29" s="98">
        <v>15.8782958984375</v>
      </c>
      <c r="E29" s="98">
        <v>15.960098266601562</v>
      </c>
      <c r="F29" s="103">
        <f t="shared" si="6"/>
        <v>16.009429295857746</v>
      </c>
      <c r="G29" s="84">
        <f t="shared" ref="G29:G37" si="13">150/100*180/4*1000/500</f>
        <v>135</v>
      </c>
      <c r="H29" s="112">
        <f t="shared" si="8"/>
        <v>7.0768155970508309</v>
      </c>
      <c r="I29" s="98">
        <f t="shared" si="9"/>
        <v>9.1130781254833479</v>
      </c>
      <c r="J29" s="98">
        <f t="shared" si="10"/>
        <v>8.8014803013866683</v>
      </c>
      <c r="K29" s="98">
        <f t="shared" si="11"/>
        <v>8.8832826695507308</v>
      </c>
      <c r="L29" s="103">
        <f t="shared" si="12"/>
        <v>8.9326136988069162</v>
      </c>
      <c r="M29" s="97" t="s">
        <v>129</v>
      </c>
      <c r="N29" s="84"/>
      <c r="O29" s="84"/>
      <c r="P29" s="84"/>
      <c r="Q29" s="84"/>
      <c r="R29" s="84"/>
      <c r="S29" s="84"/>
      <c r="T29" s="84"/>
      <c r="U29" s="84"/>
    </row>
    <row r="30" spans="1:21">
      <c r="A30" s="84"/>
      <c r="B30" s="90" t="s">
        <v>193</v>
      </c>
      <c r="C30" s="98">
        <v>16.854721069335938</v>
      </c>
      <c r="D30" s="98">
        <v>16.93126106262207</v>
      </c>
      <c r="E30" s="98">
        <v>17.05010986328125</v>
      </c>
      <c r="F30" s="103">
        <f t="shared" si="6"/>
        <v>16.945363998413086</v>
      </c>
      <c r="G30" s="84">
        <f t="shared" si="13"/>
        <v>135</v>
      </c>
      <c r="H30" s="112">
        <f t="shared" si="8"/>
        <v>7.0768155970508309</v>
      </c>
      <c r="I30" s="98">
        <f t="shared" si="9"/>
        <v>9.7779054722851058</v>
      </c>
      <c r="J30" s="98">
        <f t="shared" si="10"/>
        <v>9.8544454655712386</v>
      </c>
      <c r="K30" s="98">
        <f t="shared" si="11"/>
        <v>9.9732942662304183</v>
      </c>
      <c r="L30" s="103">
        <f t="shared" si="12"/>
        <v>9.8685484013622542</v>
      </c>
      <c r="M30" s="97" t="s">
        <v>129</v>
      </c>
      <c r="N30" s="84"/>
      <c r="O30" s="84"/>
      <c r="P30" s="84"/>
      <c r="Q30" s="84"/>
      <c r="R30" s="84"/>
      <c r="S30" s="84"/>
      <c r="T30" s="84"/>
      <c r="U30" s="84"/>
    </row>
    <row r="31" spans="1:21">
      <c r="A31" s="84"/>
      <c r="B31" s="90" t="s">
        <v>194</v>
      </c>
      <c r="C31" s="98">
        <v>18.072385787963867</v>
      </c>
      <c r="D31" s="98">
        <v>18.182058334350586</v>
      </c>
      <c r="E31" s="98">
        <v>18.225353240966797</v>
      </c>
      <c r="F31" s="103">
        <f t="shared" si="6"/>
        <v>18.159932454427082</v>
      </c>
      <c r="G31" s="84">
        <f t="shared" si="13"/>
        <v>135</v>
      </c>
      <c r="H31" s="112">
        <f t="shared" si="8"/>
        <v>7.0768155970508309</v>
      </c>
      <c r="I31" s="98">
        <f t="shared" si="9"/>
        <v>10.995570190913035</v>
      </c>
      <c r="J31" s="98">
        <f t="shared" si="10"/>
        <v>11.105242737299754</v>
      </c>
      <c r="K31" s="98">
        <f t="shared" si="11"/>
        <v>11.148537643915965</v>
      </c>
      <c r="L31" s="103">
        <f t="shared" si="12"/>
        <v>11.083116857376252</v>
      </c>
      <c r="M31" s="84"/>
      <c r="N31" s="84"/>
      <c r="O31" s="84"/>
      <c r="P31" s="84"/>
      <c r="Q31" s="84"/>
      <c r="R31" s="84"/>
      <c r="S31" s="84"/>
      <c r="T31" s="84"/>
      <c r="U31" s="84"/>
    </row>
    <row r="32" spans="1:21">
      <c r="A32" s="84"/>
      <c r="B32" s="90" t="s">
        <v>195</v>
      </c>
      <c r="C32" s="98">
        <v>20.280126571655273</v>
      </c>
      <c r="D32" s="98">
        <v>20.968669891357422</v>
      </c>
      <c r="E32" s="98">
        <v>20.306863784790039</v>
      </c>
      <c r="F32" s="103">
        <f t="shared" si="6"/>
        <v>20.518553415934246</v>
      </c>
      <c r="G32" s="84">
        <f t="shared" si="13"/>
        <v>135</v>
      </c>
      <c r="H32" s="112">
        <f t="shared" si="8"/>
        <v>7.0768155970508309</v>
      </c>
      <c r="I32" s="98">
        <f t="shared" si="9"/>
        <v>13.203310974604442</v>
      </c>
      <c r="J32" s="98">
        <f t="shared" si="10"/>
        <v>13.89185429430659</v>
      </c>
      <c r="K32" s="98">
        <f t="shared" si="11"/>
        <v>13.230048187739207</v>
      </c>
      <c r="L32" s="103">
        <f t="shared" si="12"/>
        <v>13.441737818883412</v>
      </c>
      <c r="M32" s="84"/>
      <c r="N32" s="84"/>
      <c r="O32" s="84"/>
      <c r="P32" s="84"/>
      <c r="Q32" s="84"/>
      <c r="R32" s="84"/>
      <c r="S32" s="84"/>
      <c r="T32" s="84"/>
      <c r="U32" s="84"/>
    </row>
    <row r="33" spans="1:21">
      <c r="A33" s="84"/>
      <c r="B33" s="90" t="s">
        <v>196</v>
      </c>
      <c r="C33" s="98">
        <v>21.049312591552734</v>
      </c>
      <c r="D33" s="98">
        <v>21.128349304199219</v>
      </c>
      <c r="E33" s="98">
        <v>21.15723991394043</v>
      </c>
      <c r="F33" s="103">
        <f t="shared" si="6"/>
        <v>21.111633936564129</v>
      </c>
      <c r="G33" s="84">
        <f t="shared" si="13"/>
        <v>135</v>
      </c>
      <c r="H33" s="112">
        <f t="shared" si="8"/>
        <v>7.0768155970508309</v>
      </c>
      <c r="I33" s="98">
        <f t="shared" si="9"/>
        <v>13.972496994501903</v>
      </c>
      <c r="J33" s="98">
        <f t="shared" si="10"/>
        <v>14.051533707148387</v>
      </c>
      <c r="K33" s="98">
        <f t="shared" si="11"/>
        <v>14.080424316889598</v>
      </c>
      <c r="L33" s="103">
        <f t="shared" si="12"/>
        <v>14.034818339513295</v>
      </c>
      <c r="M33" s="84"/>
      <c r="N33" s="84"/>
      <c r="O33" s="84"/>
      <c r="P33" s="84"/>
      <c r="Q33" s="84"/>
      <c r="R33" s="84"/>
      <c r="S33" s="84"/>
      <c r="T33" s="84"/>
      <c r="U33" s="84"/>
    </row>
    <row r="34" spans="1:21">
      <c r="A34" s="84"/>
      <c r="B34" s="90" t="s">
        <v>197</v>
      </c>
      <c r="C34" s="98">
        <v>21.142179489135742</v>
      </c>
      <c r="D34" s="98">
        <v>21.006193161010742</v>
      </c>
      <c r="E34" s="98">
        <v>21.079441070556641</v>
      </c>
      <c r="F34" s="103">
        <f t="shared" si="6"/>
        <v>21.075937906901043</v>
      </c>
      <c r="G34" s="84">
        <f t="shared" si="13"/>
        <v>135</v>
      </c>
      <c r="H34" s="112">
        <f t="shared" si="8"/>
        <v>7.0768155970508309</v>
      </c>
      <c r="I34" s="98">
        <f t="shared" si="9"/>
        <v>14.06536389208491</v>
      </c>
      <c r="J34" s="98">
        <f t="shared" si="10"/>
        <v>13.92937756395991</v>
      </c>
      <c r="K34" s="98">
        <f t="shared" si="11"/>
        <v>14.002625473505809</v>
      </c>
      <c r="L34" s="103">
        <f t="shared" si="12"/>
        <v>13.999122309850209</v>
      </c>
      <c r="M34" s="84"/>
      <c r="N34" s="84"/>
      <c r="O34" s="84"/>
      <c r="P34" s="84"/>
      <c r="Q34" s="84"/>
      <c r="R34" s="84"/>
      <c r="S34" s="84"/>
      <c r="T34" s="84"/>
      <c r="U34" s="84"/>
    </row>
    <row r="35" spans="1:21">
      <c r="A35" s="84"/>
      <c r="B35" s="90" t="s">
        <v>198</v>
      </c>
      <c r="C35" s="98">
        <v>22.919816970825195</v>
      </c>
      <c r="D35" s="98">
        <v>22.845848083496094</v>
      </c>
      <c r="E35" s="98">
        <v>22.840835571289062</v>
      </c>
      <c r="F35" s="103">
        <f t="shared" si="6"/>
        <v>22.868833541870117</v>
      </c>
      <c r="G35" s="84">
        <f t="shared" si="13"/>
        <v>135</v>
      </c>
      <c r="H35" s="112">
        <f t="shared" si="8"/>
        <v>7.0768155970508309</v>
      </c>
      <c r="I35" s="98">
        <f t="shared" si="9"/>
        <v>15.843001373774364</v>
      </c>
      <c r="J35" s="98">
        <f t="shared" si="10"/>
        <v>15.769032486445262</v>
      </c>
      <c r="K35" s="98">
        <f t="shared" si="11"/>
        <v>15.764019974238231</v>
      </c>
      <c r="L35" s="103">
        <f t="shared" si="12"/>
        <v>15.792017944819285</v>
      </c>
      <c r="M35" s="84"/>
      <c r="N35" s="84"/>
      <c r="O35" s="84"/>
      <c r="P35" s="84"/>
      <c r="Q35" s="84"/>
      <c r="R35" s="84"/>
      <c r="S35" s="84"/>
      <c r="T35" s="84"/>
      <c r="U35" s="84"/>
    </row>
    <row r="36" spans="1:21">
      <c r="A36" s="84"/>
      <c r="B36" s="90" t="s">
        <v>199</v>
      </c>
      <c r="C36" s="98">
        <v>23.948450088500977</v>
      </c>
      <c r="D36" s="98">
        <v>24.184415817260742</v>
      </c>
      <c r="E36" s="98">
        <v>24.005857467651367</v>
      </c>
      <c r="F36" s="103">
        <f t="shared" si="6"/>
        <v>24.046241124471027</v>
      </c>
      <c r="G36" s="84">
        <f t="shared" si="13"/>
        <v>135</v>
      </c>
      <c r="H36" s="112">
        <f t="shared" si="8"/>
        <v>7.0768155970508309</v>
      </c>
      <c r="I36" s="98">
        <f t="shared" si="9"/>
        <v>16.871634491450145</v>
      </c>
      <c r="J36" s="98">
        <f t="shared" si="10"/>
        <v>17.10760022020991</v>
      </c>
      <c r="K36" s="98">
        <f t="shared" si="11"/>
        <v>16.929041870600535</v>
      </c>
      <c r="L36" s="103">
        <f t="shared" si="12"/>
        <v>16.969425527420196</v>
      </c>
      <c r="M36" s="84"/>
      <c r="N36" s="84"/>
      <c r="O36" s="84"/>
      <c r="P36" s="84"/>
      <c r="Q36" s="84"/>
      <c r="R36" s="84"/>
      <c r="S36" s="84"/>
      <c r="T36" s="84"/>
      <c r="U36" s="84"/>
    </row>
    <row r="37" spans="1:21">
      <c r="A37" s="84"/>
      <c r="B37" s="90" t="s">
        <v>200</v>
      </c>
      <c r="C37" s="98">
        <v>24.632528305053711</v>
      </c>
      <c r="D37" s="98">
        <v>24.451812744140625</v>
      </c>
      <c r="E37" s="98">
        <v>24.549453735351562</v>
      </c>
      <c r="F37" s="103">
        <f t="shared" si="6"/>
        <v>24.544598261515301</v>
      </c>
      <c r="G37" s="84">
        <f t="shared" si="13"/>
        <v>135</v>
      </c>
      <c r="H37" s="112">
        <f t="shared" si="8"/>
        <v>7.0768155970508309</v>
      </c>
      <c r="I37" s="98">
        <f t="shared" si="9"/>
        <v>17.555712708002879</v>
      </c>
      <c r="J37" s="98">
        <f t="shared" si="10"/>
        <v>17.374997147089793</v>
      </c>
      <c r="K37" s="98">
        <f t="shared" si="11"/>
        <v>17.472638138300731</v>
      </c>
      <c r="L37" s="103">
        <f t="shared" si="12"/>
        <v>17.467782664464469</v>
      </c>
      <c r="M37" s="84"/>
      <c r="N37" s="84"/>
      <c r="O37" s="84"/>
      <c r="P37" s="84"/>
      <c r="Q37" s="84"/>
      <c r="R37" s="84"/>
      <c r="S37" s="84"/>
      <c r="T37" s="84"/>
      <c r="U37" s="84"/>
    </row>
    <row r="38" spans="1:21">
      <c r="A38" s="84"/>
      <c r="B38" s="90" t="s">
        <v>201</v>
      </c>
      <c r="C38" s="91"/>
      <c r="D38" s="91"/>
      <c r="E38" s="91"/>
      <c r="F38" s="103" t="e">
        <f t="shared" si="6"/>
        <v>#DIV/0!</v>
      </c>
      <c r="G38" s="84">
        <v>0</v>
      </c>
      <c r="H38" s="112">
        <v>0</v>
      </c>
      <c r="I38" s="98">
        <f t="shared" si="9"/>
        <v>0</v>
      </c>
      <c r="J38" s="98">
        <f t="shared" si="10"/>
        <v>0</v>
      </c>
      <c r="K38" s="98">
        <f t="shared" si="11"/>
        <v>0</v>
      </c>
      <c r="L38" s="103">
        <f t="shared" si="12"/>
        <v>0</v>
      </c>
      <c r="M38" s="84"/>
      <c r="N38" s="84"/>
      <c r="O38" s="84"/>
      <c r="P38" s="84"/>
      <c r="Q38" s="84"/>
      <c r="R38" s="84"/>
      <c r="S38" s="84"/>
      <c r="T38" s="84"/>
      <c r="U38" s="84"/>
    </row>
    <row r="39" spans="1:21">
      <c r="A39" s="84"/>
      <c r="B39" s="84"/>
      <c r="C39" s="84"/>
      <c r="D39" s="84"/>
      <c r="E39" s="84"/>
      <c r="F39" s="112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</row>
    <row r="40" spans="1:21">
      <c r="A40" s="84"/>
      <c r="B40" s="90" t="s">
        <v>263</v>
      </c>
      <c r="C40" s="98">
        <v>14.390941619873047</v>
      </c>
      <c r="D40" s="98">
        <v>14.411395072937012</v>
      </c>
      <c r="E40" s="98">
        <v>14.301624298095703</v>
      </c>
      <c r="F40" s="103">
        <f>AVERAGE(C40:E40)</f>
        <v>14.367986996968588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</row>
    <row r="41" spans="1:2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</row>
    <row r="42" spans="1:21">
      <c r="A42" s="84"/>
      <c r="B42" s="97" t="s">
        <v>214</v>
      </c>
      <c r="C42" s="84" t="s">
        <v>215</v>
      </c>
      <c r="D42" s="84"/>
      <c r="E42" s="84"/>
      <c r="F42" t="s">
        <v>264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</row>
    <row r="43" spans="1:21">
      <c r="A43" s="84"/>
      <c r="B43" s="84" t="s">
        <v>265</v>
      </c>
      <c r="C43" s="84" t="s">
        <v>215</v>
      </c>
      <c r="D43" s="84"/>
      <c r="E43" s="84"/>
      <c r="F43">
        <v>0.35990572856564834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</row>
    <row r="44" spans="1:21">
      <c r="A44" s="84"/>
      <c r="B44" s="84"/>
      <c r="C44" s="101" t="s">
        <v>217</v>
      </c>
      <c r="D44" s="113">
        <v>-3.2483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</row>
    <row r="45" spans="1:21">
      <c r="A45" s="84"/>
      <c r="B45" s="84"/>
      <c r="C45" s="101" t="s">
        <v>218</v>
      </c>
      <c r="D45" s="99">
        <v>36.023000000000003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</row>
    <row r="46" spans="1:2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</row>
    <row r="47" spans="1:2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</row>
    <row r="48" spans="1:21">
      <c r="A48" s="84"/>
      <c r="B48" s="97" t="s">
        <v>219</v>
      </c>
      <c r="C48" s="84"/>
      <c r="D48" s="84">
        <f>-1+ POWER(10,-(1/D44))</f>
        <v>1.0316707994539165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</row>
    <row r="49" spans="1:2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</row>
    <row r="50" spans="1:2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</row>
    <row r="51" spans="1:2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</row>
    <row r="52" spans="1:2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</row>
    <row r="53" spans="1:2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A51" workbookViewId="0">
      <selection activeCell="H26" sqref="H26"/>
    </sheetView>
  </sheetViews>
  <sheetFormatPr baseColWidth="10" defaultRowHeight="14" x14ac:dyDescent="0"/>
  <cols>
    <col min="16" max="16" width="13.5" customWidth="1"/>
    <col min="17" max="17" width="11.33203125" customWidth="1"/>
    <col min="19" max="19" width="15.33203125" customWidth="1"/>
  </cols>
  <sheetData>
    <row r="1" spans="1:19">
      <c r="A1" s="102" t="s">
        <v>266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>
      <c r="A2" s="133" t="s">
        <v>4</v>
      </c>
      <c r="B2" s="133" t="s">
        <v>117</v>
      </c>
      <c r="C2" s="133" t="s">
        <v>117</v>
      </c>
      <c r="D2" s="133" t="s">
        <v>5</v>
      </c>
      <c r="E2" s="145" t="s">
        <v>221</v>
      </c>
      <c r="F2" s="145" t="s">
        <v>222</v>
      </c>
      <c r="G2" s="145" t="s">
        <v>223</v>
      </c>
      <c r="H2" s="147" t="s">
        <v>224</v>
      </c>
      <c r="I2" s="147" t="s">
        <v>225</v>
      </c>
      <c r="J2" s="147" t="s">
        <v>226</v>
      </c>
      <c r="K2" s="145" t="s">
        <v>227</v>
      </c>
      <c r="L2" s="145" t="s">
        <v>228</v>
      </c>
      <c r="M2" s="145" t="s">
        <v>229</v>
      </c>
      <c r="N2" s="145" t="s">
        <v>230</v>
      </c>
      <c r="O2" s="145" t="s">
        <v>231</v>
      </c>
      <c r="P2" s="147" t="s">
        <v>232</v>
      </c>
      <c r="Q2" s="147" t="s">
        <v>267</v>
      </c>
      <c r="R2" s="147" t="s">
        <v>234</v>
      </c>
      <c r="S2" s="147" t="s">
        <v>235</v>
      </c>
    </row>
    <row r="3" spans="1:19">
      <c r="A3" s="134"/>
      <c r="B3" s="134"/>
      <c r="C3" s="134"/>
      <c r="D3" s="134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8">
        <v>31.355657577514648</v>
      </c>
      <c r="F4" s="98">
        <v>32.957683563232422</v>
      </c>
      <c r="G4" s="103">
        <v>31.629108428955078</v>
      </c>
      <c r="H4" s="109">
        <f>E4-$H$68+$H$81</f>
        <v>31.201723144365388</v>
      </c>
      <c r="I4" s="109">
        <f>F4-$H$68+$H$81</f>
        <v>32.803749130083162</v>
      </c>
      <c r="J4" s="109">
        <f>G4-$H$68+$H$81</f>
        <v>31.475173995805818</v>
      </c>
      <c r="K4" s="103">
        <f>((H4-'Calibration F. prausnitzii'!$D$45)/'Calibration F. prausnitzii'!$D$44)+$C$27</f>
        <v>5.416212291385075</v>
      </c>
      <c r="L4" s="103">
        <f>((I4-'Calibration F. prausnitzii'!$D$45)/'Calibration F. prausnitzii'!$D$44)+$C$27</f>
        <v>4.9230232430466287</v>
      </c>
      <c r="M4" s="103">
        <f>((J4-'Calibration F. prausnitzii'!$D$45)/'Calibration F. prausnitzii'!$D$44)+$C$27</f>
        <v>5.3320295338071322</v>
      </c>
      <c r="N4" s="104">
        <f>AVERAGE(K4:M4)</f>
        <v>5.2237550227462792</v>
      </c>
      <c r="O4" s="104">
        <f>STDEV(K4:M4)</f>
        <v>0.26382074721171139</v>
      </c>
      <c r="P4" s="105">
        <f>(AVERAGE(POWER(10,K4),POWER(10,L4),POWER(10,M4)))*Calculation!$I4/Calculation!$K3</f>
        <v>186432.61487487369</v>
      </c>
      <c r="Q4" s="105">
        <f>(STDEV(POWER(10,K4),POWER(10,L4),POWER(10,M4))*Calculation!$I4/Calculation!$K3)</f>
        <v>91838.917726590589</v>
      </c>
      <c r="R4" s="104">
        <f>LOG(P4)</f>
        <v>5.2705218909639635</v>
      </c>
      <c r="S4" s="104">
        <f>O4*Calculation!$I4/Calculation!$K3</f>
        <v>0.26382074721171139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8">
        <v>30.177848815917969</v>
      </c>
      <c r="F5" s="98">
        <v>30.400293350219727</v>
      </c>
      <c r="G5" s="103">
        <v>29.574460983276367</v>
      </c>
      <c r="H5" s="109">
        <f>E5-$H$68+$H$81</f>
        <v>30.023914382768709</v>
      </c>
      <c r="I5" s="109">
        <f>F5-$H$68+$H$81</f>
        <v>30.246358917070467</v>
      </c>
      <c r="J5" s="109">
        <f>G5-$H$68+$H$81</f>
        <v>29.420526550127107</v>
      </c>
      <c r="K5" s="103">
        <f>((H5-'Calibration F. prausnitzii'!$D$45)/'Calibration F. prausnitzii'!$D$44)+$C$27</f>
        <v>5.7788046509567526</v>
      </c>
      <c r="L5" s="103">
        <f>((I5-'Calibration F. prausnitzii'!$D$45)/'Calibration F. prausnitzii'!$D$44)+$C$27</f>
        <v>5.7103243584031835</v>
      </c>
      <c r="M5" s="103">
        <f>((J5-'Calibration F. prausnitzii'!$D$45)/'Calibration F. prausnitzii'!$D$44)+$C$27</f>
        <v>5.9645596097479974</v>
      </c>
      <c r="N5" s="104">
        <f t="shared" ref="N5:N20" si="1">AVERAGE(K5:M5)</f>
        <v>5.8178962063693112</v>
      </c>
      <c r="O5" s="104">
        <f t="shared" ref="O5:O20" si="2">STDEV(K5:M5)</f>
        <v>0.13154848169028793</v>
      </c>
      <c r="P5" s="105">
        <f>(AVERAGE(POWER(10,K5),POWER(10,L5),POWER(10,M5)))*Calculation!$I5/Calculation!$K4</f>
        <v>678594.77682597621</v>
      </c>
      <c r="Q5" s="105">
        <f>(STDEV(POWER(10,K5),POWER(10,L5),POWER(10,M5))*Calculation!$I5/Calculation!$K4)</f>
        <v>214995.19329418053</v>
      </c>
      <c r="R5" s="104">
        <f t="shared" ref="R5:R20" si="3">LOG(P5)</f>
        <v>5.8316105125381199</v>
      </c>
      <c r="S5" s="104">
        <f>O5*Calculation!$I5/Calculation!$K4</f>
        <v>0.13154848169028793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8">
        <v>30.139230728149414</v>
      </c>
      <c r="F6" s="98">
        <v>28.593786239624023</v>
      </c>
      <c r="G6" s="103">
        <v>28.441278457641602</v>
      </c>
      <c r="H6" s="109">
        <f>E6-$H$68+$H$81</f>
        <v>29.985296295000154</v>
      </c>
      <c r="I6" s="109">
        <f>F6-$H$68+$H$81</f>
        <v>28.439851806474763</v>
      </c>
      <c r="J6" s="109">
        <f>G6-$H$68+$H$81</f>
        <v>28.287344024492342</v>
      </c>
      <c r="K6" s="103">
        <f>((H6-'Calibration F. prausnitzii'!$D$45)/'Calibration F. prausnitzii'!$D$44)+$C$27</f>
        <v>5.7906933582093316</v>
      </c>
      <c r="L6" s="103">
        <f>((I6-'Calibration F. prausnitzii'!$D$45)/'Calibration F. prausnitzii'!$D$44)+$C$27</f>
        <v>6.2664636037301857</v>
      </c>
      <c r="M6" s="103">
        <f>((J6-'Calibration F. prausnitzii'!$D$45)/'Calibration F. prausnitzii'!$D$44)+$C$27</f>
        <v>6.3134136335865492</v>
      </c>
      <c r="N6" s="104">
        <f t="shared" si="1"/>
        <v>6.1235235318420225</v>
      </c>
      <c r="O6" s="104">
        <f t="shared" si="2"/>
        <v>0.28919374074511633</v>
      </c>
      <c r="P6" s="105">
        <f>(AVERAGE(POWER(10,K6),POWER(10,L6),POWER(10,M6)))*Calculation!$I6/Calculation!$K5</f>
        <v>1507471.9354536943</v>
      </c>
      <c r="Q6" s="105">
        <f>(STDEV(POWER(10,K6),POWER(10,L6),POWER(10,M6))*Calculation!$I6/Calculation!$K5)</f>
        <v>777847.25494616828</v>
      </c>
      <c r="R6" s="104">
        <f t="shared" si="3"/>
        <v>6.178249235643996</v>
      </c>
      <c r="S6" s="104">
        <f>O6*Calculation!$I6/Calculation!$K5</f>
        <v>0.28919374074511633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8">
        <v>26.313457489013672</v>
      </c>
      <c r="F7" s="98">
        <v>26.723760604858398</v>
      </c>
      <c r="G7" s="103">
        <v>26.857416152954102</v>
      </c>
      <c r="H7" s="109">
        <f>E7-$H$68+$H$81</f>
        <v>26.159523055864412</v>
      </c>
      <c r="I7" s="109">
        <f>F7-$H$68+$H$81</f>
        <v>26.569826171709138</v>
      </c>
      <c r="J7" s="109">
        <f>G7-$H$68+$H$81</f>
        <v>26.703481719804842</v>
      </c>
      <c r="K7" s="103">
        <f>((H7-'Calibration F. prausnitzii'!$D$45)/'Calibration F. prausnitzii'!$D$44)+$C$27</f>
        <v>6.9684704228695367</v>
      </c>
      <c r="L7" s="103">
        <f>((I7-'Calibration F. prausnitzii'!$D$45)/'Calibration F. prausnitzii'!$D$44)+$C$27</f>
        <v>6.8421572387902554</v>
      </c>
      <c r="M7" s="103">
        <f>((J7-'Calibration F. prausnitzii'!$D$45)/'Calibration F. prausnitzii'!$D$44)+$C$27</f>
        <v>6.8010109320772969</v>
      </c>
      <c r="N7" s="104">
        <f t="shared" si="1"/>
        <v>6.8705461979123639</v>
      </c>
      <c r="O7" s="104">
        <f t="shared" si="2"/>
        <v>8.7264655010643233E-2</v>
      </c>
      <c r="P7" s="105">
        <f>(AVERAGE(POWER(10,K7),POWER(10,L7),POWER(10,M7)))*Calculation!$I7/Calculation!$K6</f>
        <v>7525589.8305532234</v>
      </c>
      <c r="Q7" s="105">
        <f>(STDEV(POWER(10,K7),POWER(10,L7),POWER(10,M7))*Calculation!$I7/Calculation!$K6)</f>
        <v>1568257.7079353111</v>
      </c>
      <c r="R7" s="104">
        <f t="shared" si="3"/>
        <v>6.8765405441483756</v>
      </c>
      <c r="S7" s="104">
        <f>O7*Calculation!$I7/Calculation!$K6</f>
        <v>8.7264655010643233E-2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8">
        <v>27.340269088745117</v>
      </c>
      <c r="F8" s="98">
        <v>27.261684417724609</v>
      </c>
      <c r="G8" s="103">
        <v>24.430675506591797</v>
      </c>
      <c r="H8" s="109">
        <f>E8-$H$68+$H$81</f>
        <v>27.186334655595857</v>
      </c>
      <c r="I8" s="109">
        <f>F8-$H$68+$H$81</f>
        <v>27.107749984575349</v>
      </c>
      <c r="J8" s="109">
        <f>G8-$H$68+$H$81</f>
        <v>24.276741073442537</v>
      </c>
      <c r="K8" s="103">
        <f>((H8-'Calibration F. prausnitzii'!$D$45)/'Calibration F. prausnitzii'!$D$44)+$C$27</f>
        <v>6.6523630437076839</v>
      </c>
      <c r="L8" s="103">
        <f>((I8-'Calibration F. prausnitzii'!$D$45)/'Calibration F. prausnitzii'!$D$44)+$C$27</f>
        <v>6.6765555970495889</v>
      </c>
      <c r="M8" s="103">
        <f>((J8-'Calibration F. prausnitzii'!$D$45)/'Calibration F. prausnitzii'!$D$44)+$C$27</f>
        <v>7.5480911421448109</v>
      </c>
      <c r="N8" s="104">
        <f t="shared" si="1"/>
        <v>6.9590032609673615</v>
      </c>
      <c r="O8" s="104">
        <f t="shared" si="2"/>
        <v>0.51030845448797246</v>
      </c>
      <c r="P8" s="105">
        <f>(AVERAGE(POWER(10,K8),POWER(10,L8),POWER(10,M8)))*Calculation!$I8/Calculation!$K7</f>
        <v>14855142.404043907</v>
      </c>
      <c r="Q8" s="105">
        <f>(STDEV(POWER(10,K8),POWER(10,L8),POWER(10,M8))*Calculation!$I8/Calculation!$K7)</f>
        <v>17728515.404621381</v>
      </c>
      <c r="R8" s="104">
        <f t="shared" si="3"/>
        <v>7.1718768193839804</v>
      </c>
      <c r="S8" s="104">
        <f>O8*Calculation!$I8/Calculation!$K7</f>
        <v>0.51030845448797246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8">
        <v>24.507289886474609</v>
      </c>
      <c r="F9" s="98">
        <v>26.131973266601562</v>
      </c>
      <c r="G9" s="103">
        <v>27.025148391723633</v>
      </c>
      <c r="H9" s="109">
        <f>E9-$H$68+$H$81</f>
        <v>24.353355453325349</v>
      </c>
      <c r="I9" s="109">
        <f>F9-$H$68+$H$81</f>
        <v>25.978038833452302</v>
      </c>
      <c r="J9" s="109">
        <f>G9-$H$68+$H$81</f>
        <v>26.871213958574373</v>
      </c>
      <c r="K9" s="103">
        <f>((H9-'Calibration F. prausnitzii'!$D$45)/'Calibration F. prausnitzii'!$D$44)+$C$27</f>
        <v>7.5245051495077977</v>
      </c>
      <c r="L9" s="103">
        <f>((I9-'Calibration F. prausnitzii'!$D$45)/'Calibration F. prausnitzii'!$D$44)+$C$27</f>
        <v>7.0243409466549345</v>
      </c>
      <c r="M9" s="103">
        <f>((J9-'Calibration F. prausnitzii'!$D$45)/'Calibration F. prausnitzii'!$D$44)+$C$27</f>
        <v>6.7493740023695947</v>
      </c>
      <c r="N9" s="104">
        <f t="shared" si="1"/>
        <v>7.0994066995107756</v>
      </c>
      <c r="O9" s="104">
        <f t="shared" si="2"/>
        <v>0.39297992856481523</v>
      </c>
      <c r="P9" s="105">
        <f>(AVERAGE(POWER(10,K9),POWER(10,L9),POWER(10,M9)))*Calculation!$I9/Calculation!$K8</f>
        <v>16563063.142332725</v>
      </c>
      <c r="Q9" s="105">
        <f>(STDEV(POWER(10,K9),POWER(10,L9),POWER(10,M9))*Calculation!$I9/Calculation!$K8)</f>
        <v>14863338.486364543</v>
      </c>
      <c r="R9" s="104">
        <f t="shared" si="3"/>
        <v>7.2191406574967267</v>
      </c>
      <c r="S9" s="104">
        <f>O9*Calculation!$I9/Calculation!$K8</f>
        <v>0.39328863235787481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8">
        <v>20.976905822753906</v>
      </c>
      <c r="F10" s="98">
        <v>21.002737045288086</v>
      </c>
      <c r="G10" s="103">
        <v>21.004369735717773</v>
      </c>
      <c r="H10" s="109">
        <f>E10-$H$68+$H$81</f>
        <v>20.822971389604646</v>
      </c>
      <c r="I10" s="109">
        <f>F10-$H$68+$H$81</f>
        <v>20.848802612138826</v>
      </c>
      <c r="J10" s="109">
        <f>G10-$H$68+$H$81</f>
        <v>20.850435302568513</v>
      </c>
      <c r="K10" s="103">
        <f>((H10-'Calibration F. prausnitzii'!$D$45)/'Calibration F. prausnitzii'!$D$44)+$B$27</f>
        <v>8.3325920693568349</v>
      </c>
      <c r="L10" s="103">
        <f>((I10-'Calibration F. prausnitzii'!$D$45)/'Calibration F. prausnitzii'!$D$44)+$B$27</f>
        <v>8.324639841257774</v>
      </c>
      <c r="M10" s="103">
        <f>((J10-'Calibration F. prausnitzii'!$D$45)/'Calibration F. prausnitzii'!$D$44)+$B$27</f>
        <v>8.3241372120579804</v>
      </c>
      <c r="N10" s="104">
        <f t="shared" si="1"/>
        <v>8.3271230408908625</v>
      </c>
      <c r="O10" s="104">
        <f t="shared" si="2"/>
        <v>4.7429804236712664E-3</v>
      </c>
      <c r="P10" s="105">
        <f>(AVERAGE(POWER(10,K10),POWER(10,L10),POWER(10,M10)))*Calculation!$I10/Calculation!$K9</f>
        <v>212908659.42710912</v>
      </c>
      <c r="Q10" s="105">
        <f>(STDEV(POWER(10,K10),POWER(10,L10),POWER(10,M10))*Calculation!$I10/Calculation!$K9)</f>
        <v>2332391.9260678273</v>
      </c>
      <c r="R10" s="104">
        <f t="shared" si="3"/>
        <v>8.3281933254351781</v>
      </c>
      <c r="S10" s="104">
        <f>O10*Calculation!$I10/Calculation!$K9</f>
        <v>4.7544941219146266E-3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8">
        <v>19.709133148193359</v>
      </c>
      <c r="F11" s="98">
        <v>19.666778564453125</v>
      </c>
      <c r="G11" s="103">
        <v>19.786899566650391</v>
      </c>
      <c r="H11" s="109">
        <f>E11-$H$68+$H$81</f>
        <v>19.555198715044099</v>
      </c>
      <c r="I11" s="109">
        <f>F11-$H$68+$H$81</f>
        <v>19.512844131303865</v>
      </c>
      <c r="J11" s="109">
        <f>G11-$H$68+$H$81</f>
        <v>19.632965133501131</v>
      </c>
      <c r="K11" s="103">
        <f>((H11-'Calibration F. prausnitzii'!$D$45)/'Calibration F. prausnitzii'!$D$44)+$B$27</f>
        <v>8.7228801198942065</v>
      </c>
      <c r="L11" s="103">
        <f>((I11-'Calibration F. prausnitzii'!$D$45)/'Calibration F. prausnitzii'!$D$44)+$B$27</f>
        <v>8.735919119906594</v>
      </c>
      <c r="M11" s="103">
        <f>((J11-'Calibration F. prausnitzii'!$D$45)/'Calibration F. prausnitzii'!$D$44)+$B$27</f>
        <v>8.6989394683358441</v>
      </c>
      <c r="N11" s="104">
        <f t="shared" si="1"/>
        <v>8.7192462360455476</v>
      </c>
      <c r="O11" s="104">
        <f t="shared" si="2"/>
        <v>1.8755732228912612E-2</v>
      </c>
      <c r="P11" s="105">
        <f>(AVERAGE(POWER(10,K11),POWER(10,L11),POWER(10,M11)))*Calculation!$I11/Calculation!$K10</f>
        <v>527740098.9390682</v>
      </c>
      <c r="Q11" s="105">
        <f>(STDEV(POWER(10,K11),POWER(10,L11),POWER(10,M11))*Calculation!$I11/Calculation!$K10)</f>
        <v>22648066.868224192</v>
      </c>
      <c r="R11" s="104">
        <f t="shared" si="3"/>
        <v>8.7224200941512446</v>
      </c>
      <c r="S11" s="104">
        <f>O11*Calculation!$I11/Calculation!$K10</f>
        <v>1.8881609491225918E-2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8">
        <v>19.080860137939453</v>
      </c>
      <c r="F12" s="98">
        <v>18.952674865722656</v>
      </c>
      <c r="G12" s="103">
        <v>19.168319702148438</v>
      </c>
      <c r="H12" s="109">
        <f>E12-$H$68+$H$81</f>
        <v>18.926925704790193</v>
      </c>
      <c r="I12" s="109">
        <f>F12-$H$68+$H$81</f>
        <v>18.798740432573396</v>
      </c>
      <c r="J12" s="109">
        <f>G12-$H$68+$H$81</f>
        <v>19.014385268999177</v>
      </c>
      <c r="K12" s="103">
        <f>((H12-'Calibration F. prausnitzii'!$D$45)/'Calibration F. prausnitzii'!$D$44)+$B$27</f>
        <v>8.9162960636967821</v>
      </c>
      <c r="L12" s="103">
        <f>((I12-'Calibration F. prausnitzii'!$D$45)/'Calibration F. prausnitzii'!$D$44)+$B$27</f>
        <v>8.9557583277169766</v>
      </c>
      <c r="M12" s="103">
        <f>((J12-'Calibration F. prausnitzii'!$D$45)/'Calibration F. prausnitzii'!$D$44)+$B$27</f>
        <v>8.8893713448564711</v>
      </c>
      <c r="N12" s="104">
        <f t="shared" si="1"/>
        <v>8.9204752454234093</v>
      </c>
      <c r="O12" s="104">
        <f t="shared" si="2"/>
        <v>3.3390223767719759E-2</v>
      </c>
      <c r="P12" s="105">
        <f>(AVERAGE(POWER(10,K12),POWER(10,L12),POWER(10,M12)))*Calculation!$I12/Calculation!$K11</f>
        <v>846606946.8471117</v>
      </c>
      <c r="Q12" s="105">
        <f>(STDEV(POWER(10,K12),POWER(10,L12),POWER(10,M12))*Calculation!$I12/Calculation!$K11)</f>
        <v>65501869.451474145</v>
      </c>
      <c r="R12" s="104">
        <f t="shared" si="3"/>
        <v>8.9276818277630667</v>
      </c>
      <c r="S12" s="104">
        <f>O12*Calculation!$I12/Calculation!$K11</f>
        <v>3.3881806938073813E-2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8">
        <v>18.524251937866211</v>
      </c>
      <c r="F13" s="98">
        <v>18.551811218261719</v>
      </c>
      <c r="G13" s="103">
        <v>18.456069946289062</v>
      </c>
      <c r="H13" s="109">
        <f>E13-$H$68+$H$81</f>
        <v>18.370317504716951</v>
      </c>
      <c r="I13" s="109">
        <f>F13-$H$68+$H$81</f>
        <v>18.397876785112459</v>
      </c>
      <c r="J13" s="109">
        <f>G13-$H$68+$H$81</f>
        <v>18.302135513139802</v>
      </c>
      <c r="K13" s="103">
        <f>((H13-'Calibration F. prausnitzii'!$D$45)/'Calibration F. prausnitzii'!$D$44)+$B$27</f>
        <v>9.0876497564201273</v>
      </c>
      <c r="L13" s="103">
        <f>((I13-'Calibration F. prausnitzii'!$D$45)/'Calibration F. prausnitzii'!$D$44)+$B$27</f>
        <v>9.0791655399390425</v>
      </c>
      <c r="M13" s="103">
        <f>((J13-'Calibration F. prausnitzii'!$D$45)/'Calibration F. prausnitzii'!$D$44)+$B$27</f>
        <v>9.108639810164286</v>
      </c>
      <c r="N13" s="104">
        <f t="shared" si="1"/>
        <v>9.0918183688411514</v>
      </c>
      <c r="O13" s="104">
        <f t="shared" si="2"/>
        <v>1.5172875418496322E-2</v>
      </c>
      <c r="P13" s="105">
        <f>(AVERAGE(POWER(10,K13),POWER(10,L13),POWER(10,M13)))*Calculation!$I13/Calculation!$K12</f>
        <v>1278227317.8226733</v>
      </c>
      <c r="Q13" s="105">
        <f>(STDEV(POWER(10,K13),POWER(10,L13),POWER(10,M13))*Calculation!$I13/Calculation!$K12)</f>
        <v>44946476.461100645</v>
      </c>
      <c r="R13" s="104">
        <f t="shared" si="3"/>
        <v>9.106608094899963</v>
      </c>
      <c r="S13" s="104">
        <f>O13*Calculation!$I13/Calculation!$K12</f>
        <v>1.5692067036357386E-2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8">
        <v>18.349191665649414</v>
      </c>
      <c r="F14" s="98">
        <v>18.333507537841797</v>
      </c>
      <c r="G14" s="103">
        <v>18.297124862670898</v>
      </c>
      <c r="H14" s="109">
        <f>E14-$H$68+$H$81</f>
        <v>18.195257232500154</v>
      </c>
      <c r="I14" s="109">
        <f>F14-$H$68+$H$81</f>
        <v>18.179573104692537</v>
      </c>
      <c r="J14" s="109">
        <f>G14-$H$68+$H$81</f>
        <v>18.143190429521638</v>
      </c>
      <c r="K14" s="103">
        <f>((H14-'Calibration F. prausnitzii'!$D$45)/'Calibration F. prausnitzii'!$D$44)+$B$27</f>
        <v>9.1415426456904534</v>
      </c>
      <c r="L14" s="103">
        <f>((I14-'Calibration F. prausnitzii'!$D$45)/'Calibration F. prausnitzii'!$D$44)+$B$27</f>
        <v>9.1463710568001471</v>
      </c>
      <c r="M14" s="103">
        <f>((J14-'Calibration F. prausnitzii'!$D$45)/'Calibration F. prausnitzii'!$D$44)+$B$27</f>
        <v>9.157571584821234</v>
      </c>
      <c r="N14" s="104">
        <f t="shared" si="1"/>
        <v>9.1484950957706115</v>
      </c>
      <c r="O14" s="104">
        <f t="shared" si="2"/>
        <v>8.2228570810641173E-3</v>
      </c>
      <c r="P14" s="105">
        <f>(AVERAGE(POWER(10,K14),POWER(10,L14),POWER(10,M14)))*Calculation!$I14/Calculation!$K13</f>
        <v>1483464857.0151768</v>
      </c>
      <c r="Q14" s="105">
        <f>(STDEV(POWER(10,K14),POWER(10,L14),POWER(10,M14))*Calculation!$I14/Calculation!$K13)</f>
        <v>28182383.83701212</v>
      </c>
      <c r="R14" s="104">
        <f t="shared" si="3"/>
        <v>9.1712772624255834</v>
      </c>
      <c r="S14" s="104">
        <f>O14*Calculation!$I14/Calculation!$K13</f>
        <v>8.66468731930237E-3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8">
        <v>18.515224456787109</v>
      </c>
      <c r="F15" s="98">
        <v>18.584972381591797</v>
      </c>
      <c r="G15" s="103">
        <v>18.639347076416016</v>
      </c>
      <c r="H15" s="109">
        <f>E15-$H$68+$H$81</f>
        <v>18.361290023637849</v>
      </c>
      <c r="I15" s="109">
        <f>F15-$H$68+$H$81</f>
        <v>18.431037948442537</v>
      </c>
      <c r="J15" s="109">
        <f>G15-$H$68+$H$81</f>
        <v>18.485412643266756</v>
      </c>
      <c r="K15" s="103">
        <f>((H15-'Calibration F. prausnitzii'!$D$45)/'Calibration F. prausnitzii'!$D$44)+$B$27</f>
        <v>9.0904288966101046</v>
      </c>
      <c r="L15" s="103">
        <f>((I15-'Calibration F. prausnitzii'!$D$45)/'Calibration F. prausnitzii'!$D$44)+$B$27</f>
        <v>9.0689567650937146</v>
      </c>
      <c r="M15" s="103">
        <f>((J15-'Calibration F. prausnitzii'!$D$45)/'Calibration F. prausnitzii'!$D$44)+$B$27</f>
        <v>9.0522173337529459</v>
      </c>
      <c r="N15" s="104">
        <f t="shared" si="1"/>
        <v>9.0705343318189211</v>
      </c>
      <c r="O15" s="104">
        <f t="shared" si="2"/>
        <v>1.9154566598490481E-2</v>
      </c>
      <c r="P15" s="105">
        <f>(AVERAGE(POWER(10,K15),POWER(10,L15),POWER(10,M15)))*Calculation!$I15/Calculation!$K14</f>
        <v>1243955282.7925942</v>
      </c>
      <c r="Q15" s="105">
        <f>(STDEV(POWER(10,K15),POWER(10,L15),POWER(10,M15))*Calculation!$I15/Calculation!$K14)</f>
        <v>54999460.477470763</v>
      </c>
      <c r="R15" s="104">
        <f t="shared" si="3"/>
        <v>9.0948047687909117</v>
      </c>
      <c r="S15" s="104">
        <f>O15*Calculation!$I15/Calculation!$K14</f>
        <v>2.024233931649224E-2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8">
        <v>19.259124755859375</v>
      </c>
      <c r="F16" s="98">
        <v>18.911764144897461</v>
      </c>
      <c r="G16" s="103">
        <v>18.817953109741211</v>
      </c>
      <c r="H16" s="109">
        <f>E16-$H$68+$H$81</f>
        <v>19.105190322710115</v>
      </c>
      <c r="I16" s="109">
        <f>F16-$H$68+$H$81</f>
        <v>18.757829711748201</v>
      </c>
      <c r="J16" s="109">
        <f>G16-$H$68+$H$81</f>
        <v>18.664018676591951</v>
      </c>
      <c r="K16" s="103">
        <f>((H16-'Calibration F. prausnitzii'!$D$45)/'Calibration F. prausnitzii'!$D$44)+$B$27</f>
        <v>8.8614167059034994</v>
      </c>
      <c r="L16" s="103">
        <f>((I16-'Calibration F. prausnitzii'!$D$45)/'Calibration F. prausnitzii'!$D$44)+$B$27</f>
        <v>8.9683528297103869</v>
      </c>
      <c r="M16" s="103">
        <f>((J16-'Calibration F. prausnitzii'!$D$45)/'Calibration F. prausnitzii'!$D$44)+$B$27</f>
        <v>8.9972328700872772</v>
      </c>
      <c r="N16" s="104">
        <f t="shared" si="1"/>
        <v>8.94233413523372</v>
      </c>
      <c r="O16" s="104">
        <f t="shared" si="2"/>
        <v>7.1548843177938817E-2</v>
      </c>
      <c r="P16" s="105">
        <f>(AVERAGE(POWER(10,K16),POWER(10,L16),POWER(10,M16)))*Calculation!$I16/Calculation!$K15</f>
        <v>935455588.30376482</v>
      </c>
      <c r="Q16" s="105">
        <f>(STDEV(POWER(10,K16),POWER(10,L16),POWER(10,M16))*Calculation!$I16/Calculation!$K15)</f>
        <v>147536724.86796296</v>
      </c>
      <c r="R16" s="104">
        <f t="shared" si="3"/>
        <v>8.9710231737575121</v>
      </c>
      <c r="S16" s="104">
        <f>O16*Calculation!$I16/Calculation!$K15</f>
        <v>7.5765728526239681E-2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8">
        <v>19.767377853393555</v>
      </c>
      <c r="F17" s="98">
        <v>19.850261688232422</v>
      </c>
      <c r="G17" s="103">
        <v>19.414100646972656</v>
      </c>
      <c r="H17" s="109">
        <f>E17-$H$68+$H$81</f>
        <v>19.613443420244295</v>
      </c>
      <c r="I17" s="109">
        <f>F17-$H$68+$H$81</f>
        <v>19.696327255083162</v>
      </c>
      <c r="J17" s="109">
        <f>G17-$H$68+$H$81</f>
        <v>19.260166213823396</v>
      </c>
      <c r="K17" s="103">
        <f>((H17-'Calibration F. prausnitzii'!$D$45)/'Calibration F. prausnitzii'!$D$44)+$B$27</f>
        <v>8.7049492929385082</v>
      </c>
      <c r="L17" s="103">
        <f>((I17-'Calibration F. prausnitzii'!$D$45)/'Calibration F. prausnitzii'!$D$44)+$B$27</f>
        <v>8.6794332276616348</v>
      </c>
      <c r="M17" s="103">
        <f>((J17-'Calibration F. prausnitzii'!$D$45)/'Calibration F. prausnitzii'!$D$44)+$B$27</f>
        <v>8.8137068604110009</v>
      </c>
      <c r="N17" s="104">
        <f t="shared" si="1"/>
        <v>8.7326964603370474</v>
      </c>
      <c r="O17" s="104">
        <f t="shared" si="2"/>
        <v>7.1307650970354172E-2</v>
      </c>
      <c r="P17" s="105">
        <f>(AVERAGE(POWER(10,K17),POWER(10,L17),POWER(10,M17)))*Calculation!$I17/Calculation!$K16</f>
        <v>577518236.86000586</v>
      </c>
      <c r="Q17" s="105">
        <f>(STDEV(POWER(10,K17),POWER(10,L17),POWER(10,M17))*Calculation!$I17/Calculation!$K16)</f>
        <v>98239015.978373423</v>
      </c>
      <c r="R17" s="104">
        <f t="shared" si="3"/>
        <v>8.7615657029236882</v>
      </c>
      <c r="S17" s="104">
        <f>O17*Calculation!$I17/Calculation!$K16</f>
        <v>7.5510321135835667E-2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8">
        <v>21.837669372558594</v>
      </c>
      <c r="F18" s="98">
        <v>21.712453842163086</v>
      </c>
      <c r="G18" s="103">
        <v>21.804838180541992</v>
      </c>
      <c r="H18" s="109">
        <f>E18-$H$68+$H$81</f>
        <v>21.683734939409334</v>
      </c>
      <c r="I18" s="109">
        <f>F18-$H$68+$H$81</f>
        <v>21.558519409013826</v>
      </c>
      <c r="J18" s="109">
        <f>G18-$H$68+$H$81</f>
        <v>21.650903747392732</v>
      </c>
      <c r="K18" s="103">
        <f>((H18-'Calibration F. prausnitzii'!$D$45)/'Calibration F. prausnitzii'!$D$44)+$B$27</f>
        <v>8.0676031367444878</v>
      </c>
      <c r="L18" s="103">
        <f>((I18-'Calibration F. prausnitzii'!$D$45)/'Calibration F. prausnitzii'!$D$44)+$B$27</f>
        <v>8.1061511558300108</v>
      </c>
      <c r="M18" s="103">
        <f>((J18-'Calibration F. prausnitzii'!$D$45)/'Calibration F. prausnitzii'!$D$44)+$B$27</f>
        <v>8.0777103288192968</v>
      </c>
      <c r="N18" s="104">
        <f t="shared" si="1"/>
        <v>8.0838215404645997</v>
      </c>
      <c r="O18" s="104">
        <f t="shared" si="2"/>
        <v>1.9987436671187065E-2</v>
      </c>
      <c r="P18" s="105">
        <f>(AVERAGE(POWER(10,K18),POWER(10,L18),POWER(10,M18)))*Calculation!$I18/Calculation!$K17</f>
        <v>128674796.53814228</v>
      </c>
      <c r="Q18" s="105">
        <f>(STDEV(POWER(10,K18),POWER(10,L18),POWER(10,M18))*Calculation!$I18/Calculation!$K17)</f>
        <v>5976736.2865562411</v>
      </c>
      <c r="R18" s="104">
        <f t="shared" si="3"/>
        <v>8.1094934902120315</v>
      </c>
      <c r="S18" s="104">
        <f>O18*Calculation!$I18/Calculation!$K17</f>
        <v>2.1189490984494998E-2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8">
        <v>22.020036697387695</v>
      </c>
      <c r="F19" s="98">
        <v>22.524150848388672</v>
      </c>
      <c r="G19" s="103">
        <v>22.225559234619141</v>
      </c>
      <c r="H19" s="109">
        <f>E19-$H$68+$H$81</f>
        <v>21.866102264238435</v>
      </c>
      <c r="I19" s="109">
        <f>F19-$H$68+$H$81</f>
        <v>22.370216415239412</v>
      </c>
      <c r="J19" s="109">
        <f>G19-$H$68+$H$81</f>
        <v>22.071624801469881</v>
      </c>
      <c r="K19" s="103">
        <f>((H19-'Calibration F. prausnitzii'!$D$45)/'Calibration F. prausnitzii'!$D$44)+$B$27</f>
        <v>8.0114607469316308</v>
      </c>
      <c r="L19" s="103">
        <f>((I19-'Calibration F. prausnitzii'!$D$45)/'Calibration F. prausnitzii'!$D$44)+$B$27</f>
        <v>7.856267522475461</v>
      </c>
      <c r="M19" s="103">
        <f>((J19-'Calibration F. prausnitzii'!$D$45)/'Calibration F. prausnitzii'!$D$44)+$B$27</f>
        <v>7.9481899476731126</v>
      </c>
      <c r="N19" s="104">
        <f t="shared" si="1"/>
        <v>7.9386394056934009</v>
      </c>
      <c r="O19" s="104">
        <f t="shared" si="2"/>
        <v>7.8036170256845908E-2</v>
      </c>
      <c r="P19" s="105">
        <f>(AVERAGE(POWER(10,K19),POWER(10,L19),POWER(10,M19)))*Calculation!$I19/Calculation!$K18</f>
        <v>93028081.88434048</v>
      </c>
      <c r="Q19" s="105">
        <f>(STDEV(POWER(10,K19),POWER(10,L19),POWER(10,M19))*Calculation!$I19/Calculation!$K18)</f>
        <v>16378824.882099684</v>
      </c>
      <c r="R19" s="104">
        <f t="shared" si="3"/>
        <v>7.9686140664731182</v>
      </c>
      <c r="S19" s="104">
        <f>O19*Calculation!$I19/Calculation!$K18</f>
        <v>8.2729304078577884E-2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8">
        <v>22.833230972290039</v>
      </c>
      <c r="F20" s="98">
        <v>22.860319137573242</v>
      </c>
      <c r="G20" s="103">
        <v>22.734161376953125</v>
      </c>
      <c r="H20" s="109">
        <f>E20-$H$68+$H$81</f>
        <v>22.679296539140779</v>
      </c>
      <c r="I20" s="109">
        <f>F20-$H$68+$H$81</f>
        <v>22.706384704423982</v>
      </c>
      <c r="J20" s="109">
        <f>G20-$H$68+$H$81</f>
        <v>22.580226943803865</v>
      </c>
      <c r="K20" s="103">
        <f>((H20-'Calibration F. prausnitzii'!$D$45)/'Calibration F. prausnitzii'!$D$44)+$B$27</f>
        <v>7.7611161744160562</v>
      </c>
      <c r="L20" s="103">
        <f>((I20-'Calibration F. prausnitzii'!$D$45)/'Calibration F. prausnitzii'!$D$44)+$B$27</f>
        <v>7.7527769922951908</v>
      </c>
      <c r="M20" s="103">
        <f>((J20-'Calibration F. prausnitzii'!$D$45)/'Calibration F. prausnitzii'!$D$44)+$B$27</f>
        <v>7.7916150801011561</v>
      </c>
      <c r="N20" s="104">
        <f t="shared" si="1"/>
        <v>7.7685027489374674</v>
      </c>
      <c r="O20" s="104">
        <f t="shared" si="2"/>
        <v>2.0445546666113926E-2</v>
      </c>
      <c r="P20" s="105">
        <f>(AVERAGE(POWER(10,K20),POWER(10,L20),POWER(10,M20)))*Calculation!$I20/Calculation!$K19</f>
        <v>62257163.039396457</v>
      </c>
      <c r="Q20" s="105">
        <f>(STDEV(POWER(10,K20),POWER(10,L20),POWER(10,M20))*Calculation!$I20/Calculation!$K19)</f>
        <v>2962402.9121985878</v>
      </c>
      <c r="R20" s="104">
        <f t="shared" si="3"/>
        <v>7.7941893266836804</v>
      </c>
      <c r="S20" s="104">
        <f>O20*Calculation!$I20/Calculation!$K19</f>
        <v>2.167515194077976E-2</v>
      </c>
    </row>
    <row r="21" spans="1:19">
      <c r="A21" s="10"/>
      <c r="B21" s="10"/>
      <c r="C21" s="10"/>
      <c r="D21" s="107"/>
      <c r="E21" s="114"/>
      <c r="F21" s="114"/>
      <c r="G21" s="115"/>
      <c r="H21" s="111"/>
      <c r="I21" s="111"/>
      <c r="J21" s="111"/>
      <c r="K21" s="115"/>
      <c r="L21" s="115"/>
      <c r="M21" s="115"/>
      <c r="N21" s="116"/>
      <c r="O21" s="116"/>
      <c r="P21" s="117"/>
      <c r="Q21" s="117"/>
      <c r="R21" s="116"/>
      <c r="S21" s="116"/>
    </row>
    <row r="22" spans="1:19"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</row>
    <row r="23" spans="1:19"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</row>
    <row r="24" spans="1:19"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</row>
    <row r="25" spans="1:19"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</row>
    <row r="26" spans="1:19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>
      <c r="A27" s="101" t="s">
        <v>236</v>
      </c>
      <c r="B27" s="108">
        <f>LOG(B28)</f>
        <v>3.6532125137753435</v>
      </c>
      <c r="C27" s="108">
        <f>LOG(C28)</f>
        <v>3.9319661147281728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19">
      <c r="A28" s="84" t="s">
        <v>237</v>
      </c>
      <c r="B28" s="84">
        <f>20*1800/4/2</f>
        <v>4500</v>
      </c>
      <c r="C28" s="84">
        <f>2*19*1800/4/2</f>
        <v>8550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</row>
    <row r="29" spans="1:19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</row>
    <row r="30" spans="1:19">
      <c r="A30" s="97" t="s">
        <v>268</v>
      </c>
      <c r="B30" s="84"/>
      <c r="C30" s="84"/>
      <c r="D30" s="84"/>
      <c r="E30" s="110">
        <v>14.390941619873047</v>
      </c>
      <c r="F30" s="109">
        <v>14.411395072937012</v>
      </c>
      <c r="G30" s="109">
        <v>14.301624298095703</v>
      </c>
      <c r="H30" s="109">
        <f>AVERAGE(E30:G30)</f>
        <v>14.367986996968588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</row>
    <row r="31" spans="1:19">
      <c r="A31" s="118" t="s">
        <v>269</v>
      </c>
      <c r="C31" s="84"/>
      <c r="D31" s="84"/>
      <c r="E31" s="110">
        <v>13.95859432220459</v>
      </c>
      <c r="F31" s="109">
        <v>13.837825775146484</v>
      </c>
      <c r="G31" s="109">
        <v>14.070391654968262</v>
      </c>
      <c r="H31" s="109">
        <f t="shared" ref="H31:H75" si="5">AVERAGE(E31:G31)</f>
        <v>13.955603917439779</v>
      </c>
    </row>
    <row r="32" spans="1:19">
      <c r="A32" s="118" t="s">
        <v>270</v>
      </c>
      <c r="E32" s="110">
        <v>14.085451126098633</v>
      </c>
      <c r="F32" s="109">
        <v>14.111333847045898</v>
      </c>
      <c r="G32" s="109">
        <v>14.077548980712891</v>
      </c>
      <c r="H32" s="109">
        <f t="shared" si="5"/>
        <v>14.091444651285807</v>
      </c>
    </row>
    <row r="33" spans="1:8">
      <c r="A33" s="118" t="s">
        <v>271</v>
      </c>
      <c r="E33" s="110">
        <v>13.838394165039062</v>
      </c>
      <c r="F33" s="109">
        <v>14.03663444519043</v>
      </c>
      <c r="G33" s="109">
        <v>13.97320556640625</v>
      </c>
      <c r="H33" s="109">
        <f t="shared" si="5"/>
        <v>13.949411392211914</v>
      </c>
    </row>
    <row r="34" spans="1:8">
      <c r="A34" s="118" t="s">
        <v>272</v>
      </c>
      <c r="E34" s="110">
        <v>11.618982315063477</v>
      </c>
      <c r="F34" s="109">
        <v>11.485271453857422</v>
      </c>
      <c r="G34" s="109">
        <v>11.470490455627441</v>
      </c>
      <c r="H34" s="109">
        <f t="shared" si="5"/>
        <v>11.524914741516113</v>
      </c>
    </row>
    <row r="35" spans="1:8">
      <c r="A35" s="118" t="s">
        <v>273</v>
      </c>
      <c r="E35" s="110">
        <v>14.489413261413574</v>
      </c>
      <c r="F35" s="109">
        <v>14.78773021697998</v>
      </c>
      <c r="G35" s="109">
        <v>14.708776473999023</v>
      </c>
      <c r="H35" s="109">
        <f t="shared" si="5"/>
        <v>14.661973317464193</v>
      </c>
    </row>
    <row r="36" spans="1:8">
      <c r="A36" s="118" t="s">
        <v>274</v>
      </c>
      <c r="E36" s="110">
        <v>14.322483062744141</v>
      </c>
      <c r="F36" s="109">
        <v>14.812288284301758</v>
      </c>
      <c r="G36" s="109">
        <v>14.651363372802734</v>
      </c>
      <c r="H36" s="109">
        <f t="shared" si="5"/>
        <v>14.595378239949545</v>
      </c>
    </row>
    <row r="37" spans="1:8">
      <c r="A37" s="118" t="s">
        <v>275</v>
      </c>
      <c r="E37" s="110">
        <v>13.079689025878906</v>
      </c>
      <c r="F37" s="109">
        <v>13.297797203063965</v>
      </c>
      <c r="G37" s="109">
        <v>14.48363208770752</v>
      </c>
      <c r="H37" s="109">
        <f t="shared" si="5"/>
        <v>13.620372772216797</v>
      </c>
    </row>
    <row r="38" spans="1:8">
      <c r="A38" s="118" t="s">
        <v>276</v>
      </c>
      <c r="B38" s="84"/>
      <c r="C38" s="84"/>
      <c r="D38" s="84"/>
      <c r="E38" s="110">
        <v>14.77447509765625</v>
      </c>
      <c r="F38" s="109">
        <v>15.046281814575195</v>
      </c>
      <c r="G38" s="109">
        <v>14.986320495605469</v>
      </c>
      <c r="H38" s="109">
        <f t="shared" si="5"/>
        <v>14.935692469278971</v>
      </c>
    </row>
    <row r="39" spans="1:8">
      <c r="A39" s="118" t="s">
        <v>276</v>
      </c>
      <c r="C39" s="84"/>
      <c r="D39" s="84"/>
      <c r="E39" s="110">
        <v>13.851560592651367</v>
      </c>
      <c r="F39" s="109">
        <v>14.262241363525391</v>
      </c>
      <c r="G39" s="109">
        <v>14.016228675842285</v>
      </c>
      <c r="H39" s="109">
        <f t="shared" si="5"/>
        <v>14.043343544006348</v>
      </c>
    </row>
    <row r="40" spans="1:8">
      <c r="A40" s="118" t="s">
        <v>277</v>
      </c>
      <c r="E40" s="110">
        <v>14.028319358825684</v>
      </c>
      <c r="F40" s="109">
        <v>14.285782814025879</v>
      </c>
      <c r="G40" s="109">
        <v>14.480982780456543</v>
      </c>
      <c r="H40" s="109">
        <f t="shared" si="5"/>
        <v>14.265028317769369</v>
      </c>
    </row>
    <row r="41" spans="1:8">
      <c r="A41" s="118" t="s">
        <v>277</v>
      </c>
      <c r="E41" s="110">
        <v>14.83289909362793</v>
      </c>
      <c r="F41" s="109">
        <v>14.839167594909668</v>
      </c>
      <c r="G41" s="109">
        <v>14.813106536865234</v>
      </c>
      <c r="H41" s="109">
        <f t="shared" si="5"/>
        <v>14.828391075134277</v>
      </c>
    </row>
    <row r="42" spans="1:8">
      <c r="A42" s="118" t="s">
        <v>278</v>
      </c>
      <c r="E42" s="110">
        <v>15.412906646728516</v>
      </c>
      <c r="F42" s="109">
        <v>15.433472633361816</v>
      </c>
      <c r="G42" s="109">
        <v>15.37113094329834</v>
      </c>
      <c r="H42" s="109">
        <f t="shared" si="5"/>
        <v>15.405836741129557</v>
      </c>
    </row>
    <row r="43" spans="1:8">
      <c r="A43" s="118" t="s">
        <v>278</v>
      </c>
      <c r="E43" s="110">
        <v>15.125240325927734</v>
      </c>
      <c r="F43" s="109">
        <v>15.287156105041504</v>
      </c>
      <c r="G43" s="109">
        <v>15.169957160949707</v>
      </c>
      <c r="H43" s="109">
        <f t="shared" si="5"/>
        <v>15.194117863972982</v>
      </c>
    </row>
    <row r="44" spans="1:8">
      <c r="A44" s="118" t="s">
        <v>279</v>
      </c>
      <c r="E44" s="110">
        <v>14.932897567749023</v>
      </c>
      <c r="F44" s="109">
        <v>14.934226036071777</v>
      </c>
      <c r="G44" s="109">
        <v>14.918047904968262</v>
      </c>
      <c r="H44" s="109">
        <f t="shared" si="5"/>
        <v>14.928390502929688</v>
      </c>
    </row>
    <row r="45" spans="1:8">
      <c r="A45" s="118" t="s">
        <v>279</v>
      </c>
      <c r="E45" s="110">
        <v>14.112751960754395</v>
      </c>
      <c r="F45" s="109">
        <v>14.298762321472168</v>
      </c>
      <c r="G45" s="109">
        <v>14.374398231506348</v>
      </c>
      <c r="H45" s="109">
        <f t="shared" si="5"/>
        <v>14.261970837910971</v>
      </c>
    </row>
    <row r="46" spans="1:8">
      <c r="A46" s="118" t="s">
        <v>280</v>
      </c>
      <c r="E46" s="110">
        <v>14.954710960388184</v>
      </c>
      <c r="F46" s="109">
        <v>14.841438293457031</v>
      </c>
      <c r="G46" s="109">
        <v>15.281417846679688</v>
      </c>
      <c r="H46" s="109">
        <f t="shared" si="5"/>
        <v>15.025855700174967</v>
      </c>
    </row>
    <row r="47" spans="1:8">
      <c r="A47" s="118" t="s">
        <v>281</v>
      </c>
      <c r="E47" s="110">
        <v>14.948505401611328</v>
      </c>
      <c r="F47" s="109">
        <v>15.147294044494629</v>
      </c>
      <c r="G47" s="109">
        <v>14.959335327148438</v>
      </c>
      <c r="H47" s="109">
        <f t="shared" si="5"/>
        <v>15.018378257751465</v>
      </c>
    </row>
    <row r="48" spans="1:8">
      <c r="A48" s="97" t="s">
        <v>282</v>
      </c>
      <c r="B48" s="84"/>
      <c r="C48" s="84"/>
      <c r="D48" s="84"/>
      <c r="E48" s="110">
        <v>15.064580917358398</v>
      </c>
      <c r="F48" s="109">
        <v>15.123675346374512</v>
      </c>
      <c r="G48" s="109">
        <v>15.059396743774414</v>
      </c>
      <c r="H48" s="109">
        <f t="shared" si="5"/>
        <v>15.082551002502441</v>
      </c>
    </row>
    <row r="49" spans="1:8">
      <c r="A49" s="97" t="s">
        <v>283</v>
      </c>
      <c r="B49" s="84"/>
      <c r="C49" s="84"/>
      <c r="D49" s="84"/>
      <c r="E49" s="110">
        <v>14.438828468322754</v>
      </c>
      <c r="F49" s="109">
        <v>14.371813774108887</v>
      </c>
      <c r="G49" s="109">
        <v>15.339963912963867</v>
      </c>
      <c r="H49" s="109">
        <f t="shared" si="5"/>
        <v>14.71686871846517</v>
      </c>
    </row>
    <row r="50" spans="1:8">
      <c r="A50" s="97" t="s">
        <v>284</v>
      </c>
      <c r="B50" s="84"/>
      <c r="C50" s="84"/>
      <c r="D50" s="84"/>
      <c r="E50" s="110">
        <v>14.56031322479248</v>
      </c>
      <c r="F50" s="109">
        <v>14.785432815551758</v>
      </c>
      <c r="G50" s="109">
        <v>14.991518974304199</v>
      </c>
      <c r="H50" s="109">
        <f t="shared" si="5"/>
        <v>14.779088338216146</v>
      </c>
    </row>
    <row r="51" spans="1:8">
      <c r="A51" s="97" t="s">
        <v>301</v>
      </c>
      <c r="B51" s="84"/>
      <c r="C51" s="84"/>
      <c r="D51" s="84"/>
      <c r="E51" s="110">
        <v>15.04175853729248</v>
      </c>
      <c r="F51" s="109">
        <v>15.037652969360352</v>
      </c>
      <c r="G51" s="109">
        <v>14.94129753112793</v>
      </c>
      <c r="H51" s="109">
        <f t="shared" si="5"/>
        <v>15.006903012593588</v>
      </c>
    </row>
    <row r="52" spans="1:8">
      <c r="A52" s="97" t="s">
        <v>306</v>
      </c>
      <c r="B52" s="84"/>
      <c r="C52" s="84"/>
      <c r="D52" s="84"/>
      <c r="E52" s="110">
        <v>15.191975593566895</v>
      </c>
      <c r="F52" s="109">
        <v>15.268773078918457</v>
      </c>
      <c r="G52" s="109">
        <v>15.282587051391602</v>
      </c>
      <c r="H52" s="109">
        <f t="shared" si="5"/>
        <v>15.24777857462565</v>
      </c>
    </row>
    <row r="53" spans="1:8">
      <c r="A53" s="97" t="s">
        <v>314</v>
      </c>
      <c r="B53" s="84"/>
      <c r="C53" s="84"/>
      <c r="D53" s="84"/>
      <c r="E53" s="110">
        <v>15.494284629821777</v>
      </c>
      <c r="F53" s="109">
        <v>15.500131607055664</v>
      </c>
      <c r="G53" s="109">
        <v>15.308513641357422</v>
      </c>
      <c r="H53" s="109">
        <f t="shared" si="5"/>
        <v>15.434309959411621</v>
      </c>
    </row>
    <row r="54" spans="1:8">
      <c r="A54" s="97" t="s">
        <v>315</v>
      </c>
      <c r="B54" s="84"/>
      <c r="C54" s="84"/>
      <c r="D54" s="84"/>
      <c r="E54" s="110">
        <v>15.209195137023926</v>
      </c>
      <c r="F54" s="109">
        <v>15.267397880554199</v>
      </c>
      <c r="G54" s="109">
        <v>15.118107795715332</v>
      </c>
      <c r="H54" s="109">
        <f t="shared" si="5"/>
        <v>15.198233604431152</v>
      </c>
    </row>
    <row r="55" spans="1:8">
      <c r="A55" s="97" t="s">
        <v>316</v>
      </c>
      <c r="B55" s="84"/>
      <c r="C55" s="84"/>
      <c r="D55" s="84"/>
      <c r="E55" s="110">
        <v>15.095216751098633</v>
      </c>
      <c r="F55" s="109">
        <v>15.058335304260254</v>
      </c>
      <c r="G55" s="109">
        <v>15.188286781311035</v>
      </c>
      <c r="H55" s="109">
        <f t="shared" si="5"/>
        <v>15.113946278889975</v>
      </c>
    </row>
    <row r="56" spans="1:8">
      <c r="A56" s="97" t="s">
        <v>317</v>
      </c>
      <c r="B56" s="84"/>
      <c r="C56" s="84"/>
      <c r="D56" s="84"/>
      <c r="E56" s="110">
        <v>14.974048614501953</v>
      </c>
      <c r="F56" s="109">
        <v>15.016510009765625</v>
      </c>
      <c r="G56" s="109">
        <v>14.949863433837891</v>
      </c>
      <c r="H56" s="109">
        <f t="shared" si="5"/>
        <v>14.980140686035156</v>
      </c>
    </row>
    <row r="57" spans="1:8">
      <c r="A57" s="97" t="s">
        <v>318</v>
      </c>
      <c r="E57" s="110">
        <v>15.325250625610352</v>
      </c>
      <c r="F57" s="109">
        <v>15.371528625488281</v>
      </c>
      <c r="G57" s="109">
        <v>15.399141311645508</v>
      </c>
      <c r="H57" s="109">
        <f t="shared" si="5"/>
        <v>15.365306854248047</v>
      </c>
    </row>
    <row r="58" spans="1:8">
      <c r="A58" s="97" t="s">
        <v>318</v>
      </c>
      <c r="E58" s="110">
        <v>15.129462242126465</v>
      </c>
      <c r="F58" s="109">
        <v>15.041775703430176</v>
      </c>
      <c r="G58" s="109">
        <v>15.221658706665039</v>
      </c>
      <c r="H58" s="109">
        <f t="shared" si="5"/>
        <v>15.13096555074056</v>
      </c>
    </row>
    <row r="59" spans="1:8">
      <c r="A59" s="97" t="s">
        <v>319</v>
      </c>
      <c r="E59" s="110">
        <v>15.064123153686523</v>
      </c>
      <c r="F59" s="109">
        <v>15.073297500610352</v>
      </c>
      <c r="G59" s="109">
        <v>15.109650611877441</v>
      </c>
      <c r="H59" s="109">
        <f t="shared" si="5"/>
        <v>15.082357088724772</v>
      </c>
    </row>
    <row r="60" spans="1:8">
      <c r="A60" s="97" t="s">
        <v>320</v>
      </c>
      <c r="E60" s="110">
        <v>15.271329879760742</v>
      </c>
      <c r="F60" s="109">
        <v>15.260854721069336</v>
      </c>
      <c r="G60" s="109">
        <v>15.188329696655273</v>
      </c>
      <c r="H60" s="109">
        <f t="shared" si="5"/>
        <v>15.240171432495117</v>
      </c>
    </row>
    <row r="61" spans="1:8">
      <c r="A61" s="97" t="s">
        <v>321</v>
      </c>
      <c r="E61" s="110">
        <v>14.958261489868164</v>
      </c>
      <c r="F61" s="109">
        <v>14.991987228393555</v>
      </c>
      <c r="G61" s="109">
        <v>15.025043487548828</v>
      </c>
      <c r="H61" s="109">
        <f t="shared" si="5"/>
        <v>14.991764068603516</v>
      </c>
    </row>
    <row r="62" spans="1:8">
      <c r="A62" s="97" t="s">
        <v>341</v>
      </c>
      <c r="E62" s="110">
        <v>15.201624870300293</v>
      </c>
      <c r="F62" s="109">
        <v>15.184474945068359</v>
      </c>
      <c r="G62" s="109">
        <v>15.128211975097656</v>
      </c>
      <c r="H62" s="109">
        <f t="shared" si="5"/>
        <v>15.17143726348877</v>
      </c>
    </row>
    <row r="63" spans="1:8">
      <c r="A63" s="97" t="s">
        <v>341</v>
      </c>
      <c r="E63" s="110">
        <v>15.056846618652344</v>
      </c>
      <c r="F63" s="109">
        <v>15.079096794128418</v>
      </c>
      <c r="G63" s="109">
        <v>14.947562217712402</v>
      </c>
      <c r="H63" s="109">
        <f t="shared" si="5"/>
        <v>15.027835210164389</v>
      </c>
    </row>
    <row r="64" spans="1:8">
      <c r="A64" s="97" t="s">
        <v>342</v>
      </c>
      <c r="E64" s="110">
        <v>15.4</v>
      </c>
      <c r="F64" s="109">
        <v>14.7</v>
      </c>
      <c r="G64" s="109">
        <v>14.2</v>
      </c>
      <c r="H64" s="109">
        <f t="shared" si="5"/>
        <v>14.766666666666666</v>
      </c>
    </row>
    <row r="65" spans="1:8">
      <c r="A65" s="97" t="s">
        <v>342</v>
      </c>
      <c r="E65" s="126">
        <v>14.4</v>
      </c>
      <c r="F65" s="127">
        <v>14.4</v>
      </c>
      <c r="G65" s="127">
        <v>14.5</v>
      </c>
      <c r="H65" s="109">
        <f t="shared" si="5"/>
        <v>14.433333333333332</v>
      </c>
    </row>
    <row r="66" spans="1:8">
      <c r="A66" s="97" t="s">
        <v>343</v>
      </c>
      <c r="E66" s="126">
        <v>15.11392879486084</v>
      </c>
      <c r="F66" s="127">
        <v>15.182292938232422</v>
      </c>
      <c r="G66" s="127">
        <v>15.373931884765625</v>
      </c>
      <c r="H66" s="109">
        <f t="shared" si="5"/>
        <v>15.223384539286295</v>
      </c>
    </row>
    <row r="67" spans="1:8">
      <c r="A67" s="97" t="s">
        <v>344</v>
      </c>
      <c r="B67" s="84"/>
      <c r="C67" s="84"/>
      <c r="D67" s="84"/>
      <c r="E67" s="126">
        <v>14.613919258117676</v>
      </c>
      <c r="F67" s="127">
        <v>14.544337272644043</v>
      </c>
      <c r="G67" s="127">
        <v>14.610519409179688</v>
      </c>
      <c r="H67" s="109">
        <f t="shared" si="5"/>
        <v>14.589591979980469</v>
      </c>
    </row>
    <row r="68" spans="1:8">
      <c r="A68" s="97" t="s">
        <v>345</v>
      </c>
      <c r="B68" s="84"/>
      <c r="C68" s="84"/>
      <c r="D68" s="84"/>
      <c r="E68" s="126">
        <v>14.970376014709473</v>
      </c>
      <c r="F68" s="127">
        <v>14.902167320251465</v>
      </c>
      <c r="G68" s="127">
        <v>14.964475631713867</v>
      </c>
      <c r="H68" s="109">
        <f t="shared" si="5"/>
        <v>14.945672988891602</v>
      </c>
    </row>
    <row r="69" spans="1:8">
      <c r="A69" s="97" t="s">
        <v>346</v>
      </c>
      <c r="B69" s="84"/>
      <c r="C69" s="84"/>
      <c r="D69" s="84"/>
      <c r="E69" s="126">
        <v>15.184457778930664</v>
      </c>
      <c r="F69" s="127">
        <v>15.273150444030762</v>
      </c>
      <c r="G69" s="127">
        <v>15.250771522521973</v>
      </c>
      <c r="H69" s="109">
        <f t="shared" si="5"/>
        <v>15.236126581827799</v>
      </c>
    </row>
    <row r="70" spans="1:8">
      <c r="A70" s="97" t="s">
        <v>347</v>
      </c>
      <c r="B70" s="84"/>
      <c r="C70" s="84"/>
      <c r="D70" s="84"/>
      <c r="E70" s="126">
        <v>15.047176361083984</v>
      </c>
      <c r="F70" s="127">
        <v>15.114773750305176</v>
      </c>
      <c r="G70" s="127">
        <v>15.180623054504395</v>
      </c>
      <c r="H70" s="109">
        <f t="shared" si="5"/>
        <v>15.114191055297852</v>
      </c>
    </row>
    <row r="71" spans="1:8">
      <c r="A71" s="97" t="s">
        <v>357</v>
      </c>
      <c r="B71" s="84"/>
      <c r="E71" s="126">
        <v>14.840383529663086</v>
      </c>
      <c r="F71" s="127">
        <v>14.916571617126465</v>
      </c>
      <c r="G71" s="127">
        <v>14.954231262207031</v>
      </c>
      <c r="H71" s="109">
        <f t="shared" si="5"/>
        <v>14.903728802998861</v>
      </c>
    </row>
    <row r="72" spans="1:8">
      <c r="A72" s="97" t="s">
        <v>358</v>
      </c>
      <c r="E72" s="126">
        <v>15.199845314025879</v>
      </c>
      <c r="F72" s="127">
        <v>15.533450126647949</v>
      </c>
      <c r="G72" s="127">
        <v>15.423110961914062</v>
      </c>
      <c r="H72" s="109">
        <f t="shared" si="5"/>
        <v>15.385468800862631</v>
      </c>
    </row>
    <row r="73" spans="1:8">
      <c r="A73" s="97" t="s">
        <v>359</v>
      </c>
      <c r="B73" s="84"/>
      <c r="E73" s="126">
        <v>15.120054244995117</v>
      </c>
      <c r="F73" s="127">
        <v>15.144433975219727</v>
      </c>
      <c r="G73" s="127">
        <v>15.071084976196289</v>
      </c>
      <c r="H73" s="109">
        <f t="shared" si="5"/>
        <v>15.111857732137045</v>
      </c>
    </row>
    <row r="74" spans="1:8">
      <c r="A74" s="97" t="s">
        <v>359</v>
      </c>
      <c r="E74" s="126">
        <v>15.292695999145508</v>
      </c>
      <c r="F74" s="127">
        <v>15.627285957336426</v>
      </c>
      <c r="G74" s="127">
        <v>15.304715156555176</v>
      </c>
      <c r="H74" s="109">
        <f t="shared" si="5"/>
        <v>15.408232371012369</v>
      </c>
    </row>
    <row r="75" spans="1:8">
      <c r="A75" s="97" t="s">
        <v>360</v>
      </c>
      <c r="E75" s="126">
        <v>15.044212341308594</v>
      </c>
      <c r="F75" s="127">
        <v>15.046442985534668</v>
      </c>
      <c r="G75" s="127">
        <v>15.083253860473633</v>
      </c>
      <c r="H75" s="109">
        <f t="shared" si="5"/>
        <v>15.057969729105631</v>
      </c>
    </row>
    <row r="76" spans="1:8">
      <c r="A76" s="97"/>
      <c r="B76" s="84"/>
      <c r="C76" s="84"/>
      <c r="D76" s="84"/>
      <c r="E76" s="111"/>
      <c r="F76" s="111"/>
      <c r="G76" s="111"/>
      <c r="H76" s="111"/>
    </row>
    <row r="77" spans="1:8">
      <c r="A77" s="97"/>
      <c r="B77" s="84"/>
      <c r="C77" s="84"/>
      <c r="D77" s="84"/>
      <c r="E77" s="111"/>
      <c r="F77" s="111"/>
      <c r="G77" s="111"/>
      <c r="H77" s="111"/>
    </row>
    <row r="78" spans="1:8">
      <c r="A78" s="97"/>
      <c r="B78" s="84"/>
      <c r="C78" s="84"/>
      <c r="D78" s="84"/>
      <c r="E78" s="111"/>
      <c r="F78" s="111"/>
      <c r="G78" s="111"/>
      <c r="H78" s="111"/>
    </row>
    <row r="79" spans="1:8">
      <c r="A79" s="97"/>
      <c r="B79" s="84"/>
      <c r="C79" s="84"/>
      <c r="D79" s="84"/>
      <c r="E79" s="111"/>
      <c r="F79" s="111"/>
      <c r="G79" s="111"/>
      <c r="H79" s="111"/>
    </row>
    <row r="80" spans="1:8">
      <c r="A80" s="97"/>
      <c r="B80" s="84"/>
      <c r="C80" s="84"/>
      <c r="D80" s="84"/>
      <c r="E80" s="111"/>
      <c r="F80" s="111"/>
      <c r="G80" s="111"/>
      <c r="H80" s="111"/>
    </row>
    <row r="81" spans="7:8">
      <c r="G81" t="s">
        <v>285</v>
      </c>
      <c r="H81" s="78">
        <f>AVERAGE(H30:H75)</f>
        <v>14.791738555742343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7" workbookViewId="0">
      <selection activeCell="M41" sqref="M41"/>
    </sheetView>
  </sheetViews>
  <sheetFormatPr baseColWidth="10" defaultRowHeight="14" x14ac:dyDescent="0"/>
  <cols>
    <col min="7" max="7" width="11" bestFit="1" customWidth="1"/>
  </cols>
  <sheetData>
    <row r="1" spans="1:22">
      <c r="A1" s="84"/>
      <c r="B1" s="145" t="s">
        <v>4</v>
      </c>
      <c r="C1" s="147" t="s">
        <v>185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3" t="s">
        <v>22</v>
      </c>
      <c r="Q1" s="83" t="s">
        <v>22</v>
      </c>
      <c r="R1" s="83" t="s">
        <v>22</v>
      </c>
      <c r="S1" s="152" t="s">
        <v>258</v>
      </c>
      <c r="T1" s="84"/>
      <c r="U1" s="84"/>
      <c r="V1" s="84"/>
    </row>
    <row r="2" spans="1:22">
      <c r="A2" s="84"/>
      <c r="B2" s="146"/>
      <c r="C2" s="146"/>
      <c r="D2" s="85" t="s">
        <v>19</v>
      </c>
      <c r="E2" s="85" t="s">
        <v>68</v>
      </c>
      <c r="F2" s="85" t="s">
        <v>69</v>
      </c>
      <c r="G2" s="85" t="s">
        <v>70</v>
      </c>
      <c r="H2" s="85" t="s">
        <v>19</v>
      </c>
      <c r="I2" s="85" t="s">
        <v>68</v>
      </c>
      <c r="J2" s="85" t="s">
        <v>69</v>
      </c>
      <c r="K2" s="85" t="s">
        <v>70</v>
      </c>
      <c r="L2" s="85" t="s">
        <v>19</v>
      </c>
      <c r="M2" s="85" t="s">
        <v>68</v>
      </c>
      <c r="N2" s="85" t="s">
        <v>69</v>
      </c>
      <c r="O2" s="85" t="s">
        <v>71</v>
      </c>
      <c r="P2" s="86" t="s">
        <v>70</v>
      </c>
      <c r="Q2" s="86" t="s">
        <v>23</v>
      </c>
      <c r="R2" s="86" t="s">
        <v>72</v>
      </c>
      <c r="S2" s="153"/>
      <c r="T2" s="84"/>
      <c r="U2" s="84"/>
      <c r="V2" s="84"/>
    </row>
    <row r="3" spans="1:22">
      <c r="A3" s="84"/>
      <c r="B3" s="87"/>
      <c r="C3" s="87"/>
      <c r="D3" s="88"/>
      <c r="E3" s="88"/>
      <c r="F3" s="88"/>
      <c r="G3" s="89"/>
      <c r="H3" s="88"/>
      <c r="I3" s="88"/>
      <c r="J3" s="88"/>
      <c r="K3" s="89"/>
      <c r="L3" s="88"/>
      <c r="M3" s="88"/>
      <c r="N3" s="88"/>
      <c r="O3" s="89"/>
      <c r="P3" s="142"/>
      <c r="Q3" s="143"/>
      <c r="R3" s="144"/>
      <c r="S3" s="84"/>
      <c r="T3" s="84"/>
      <c r="U3" s="84"/>
      <c r="V3" s="84"/>
    </row>
    <row r="4" spans="1:22">
      <c r="A4" s="84"/>
      <c r="B4" s="90" t="s">
        <v>186</v>
      </c>
      <c r="C4" s="91">
        <v>500</v>
      </c>
      <c r="D4" s="91">
        <v>2</v>
      </c>
      <c r="E4" s="91">
        <v>11777</v>
      </c>
      <c r="F4" s="91">
        <v>6</v>
      </c>
      <c r="G4" s="89">
        <f>(E4/F4)*(10.2)*POWER(10,D4+2)</f>
        <v>200208999.99999997</v>
      </c>
      <c r="H4" s="91">
        <v>2</v>
      </c>
      <c r="I4" s="91">
        <v>12350</v>
      </c>
      <c r="J4" s="91">
        <v>6</v>
      </c>
      <c r="K4" s="89">
        <f>(I4/J4)*(10.2)*POWER(10,H4+2)</f>
        <v>209950000</v>
      </c>
      <c r="L4" s="91">
        <v>2</v>
      </c>
      <c r="M4" s="91">
        <v>12193</v>
      </c>
      <c r="N4" s="91">
        <v>6</v>
      </c>
      <c r="O4" s="89">
        <f t="shared" ref="O4:O19" si="0">(M4/N4)*(10.2)*POWER(10,L4+2)</f>
        <v>207281000</v>
      </c>
      <c r="P4" s="92">
        <f t="shared" ref="P4:P19" si="1">AVERAGE(O4,K4,G4)</f>
        <v>205813333.33333334</v>
      </c>
      <c r="Q4" s="92">
        <f t="shared" ref="Q4:Q19" si="2">STDEV(O4,K4,G4)</f>
        <v>5033617.4202389978</v>
      </c>
      <c r="R4" s="93">
        <f>LOG(P4)</f>
        <v>8.313473506507659</v>
      </c>
      <c r="S4" s="97"/>
      <c r="T4" s="84"/>
      <c r="U4" s="84"/>
      <c r="V4" s="84"/>
    </row>
    <row r="5" spans="1:22">
      <c r="A5" s="84"/>
      <c r="B5" s="90" t="s">
        <v>187</v>
      </c>
      <c r="C5" s="91">
        <v>500</v>
      </c>
      <c r="D5" s="91">
        <v>1</v>
      </c>
      <c r="E5" s="91">
        <v>10368</v>
      </c>
      <c r="F5" s="91">
        <v>6</v>
      </c>
      <c r="G5" s="89">
        <f t="shared" ref="G5:G19" si="3">(E5/F5)*(10.2)*POWER(10,D5+2)</f>
        <v>17625600</v>
      </c>
      <c r="H5" s="91">
        <v>1</v>
      </c>
      <c r="I5" s="91">
        <v>11649</v>
      </c>
      <c r="J5" s="91">
        <v>6</v>
      </c>
      <c r="K5" s="89">
        <f t="shared" ref="K5:K19" si="4">(I5/J5)*(10.2)*POWER(10,H5+2)</f>
        <v>19803300</v>
      </c>
      <c r="L5" s="91">
        <v>1</v>
      </c>
      <c r="M5" s="91">
        <v>11377</v>
      </c>
      <c r="N5" s="91">
        <v>6</v>
      </c>
      <c r="O5" s="89">
        <f t="shared" si="0"/>
        <v>19340899.999999996</v>
      </c>
      <c r="P5" s="92">
        <f t="shared" si="1"/>
        <v>18923266.666666668</v>
      </c>
      <c r="Q5" s="92">
        <f t="shared" si="2"/>
        <v>1147348.0393208207</v>
      </c>
      <c r="R5" s="93">
        <f t="shared" ref="R5:R19" si="5">LOG(P5)</f>
        <v>7.2769961094890272</v>
      </c>
      <c r="S5" s="84"/>
      <c r="T5" s="84"/>
      <c r="U5" s="84"/>
      <c r="V5" s="84"/>
    </row>
    <row r="6" spans="1:22">
      <c r="A6" s="84"/>
      <c r="B6" s="90" t="s">
        <v>188</v>
      </c>
      <c r="C6" s="91">
        <v>500</v>
      </c>
      <c r="D6" s="91">
        <v>1</v>
      </c>
      <c r="E6" s="91">
        <v>1368</v>
      </c>
      <c r="F6" s="91">
        <v>6</v>
      </c>
      <c r="G6" s="89">
        <f t="shared" si="3"/>
        <v>2325600</v>
      </c>
      <c r="H6" s="91">
        <v>1</v>
      </c>
      <c r="I6" s="91">
        <v>1169</v>
      </c>
      <c r="J6" s="91">
        <v>6</v>
      </c>
      <c r="K6" s="89">
        <f t="shared" si="4"/>
        <v>1987300</v>
      </c>
      <c r="L6" s="91">
        <v>1</v>
      </c>
      <c r="M6" s="91">
        <v>1324</v>
      </c>
      <c r="N6" s="91">
        <v>6</v>
      </c>
      <c r="O6" s="89">
        <f t="shared" si="0"/>
        <v>2250799.9999999995</v>
      </c>
      <c r="P6" s="92">
        <f t="shared" si="1"/>
        <v>2187900</v>
      </c>
      <c r="Q6" s="92">
        <f t="shared" si="2"/>
        <v>177704.89582451005</v>
      </c>
      <c r="R6" s="93">
        <f t="shared" si="5"/>
        <v>6.3400274682826607</v>
      </c>
      <c r="S6" s="84"/>
      <c r="T6" s="84"/>
      <c r="U6" s="84"/>
      <c r="V6" s="84"/>
    </row>
    <row r="7" spans="1:22">
      <c r="A7" s="84"/>
      <c r="B7" s="90" t="s">
        <v>189</v>
      </c>
      <c r="C7" s="91">
        <v>500</v>
      </c>
      <c r="D7" s="91">
        <v>1</v>
      </c>
      <c r="E7" s="91">
        <v>1657</v>
      </c>
      <c r="F7" s="91">
        <v>67</v>
      </c>
      <c r="G7" s="89">
        <f>(E7/F7)*(10.2)*POWER(10,D7+2)</f>
        <v>252259.70149253728</v>
      </c>
      <c r="H7" s="91">
        <v>1</v>
      </c>
      <c r="I7" s="91">
        <v>1712</v>
      </c>
      <c r="J7" s="91">
        <v>67</v>
      </c>
      <c r="K7" s="89">
        <f t="shared" si="4"/>
        <v>260632.83582089547</v>
      </c>
      <c r="L7" s="91">
        <v>1</v>
      </c>
      <c r="M7" s="91">
        <v>1701</v>
      </c>
      <c r="N7" s="91">
        <v>67</v>
      </c>
      <c r="O7" s="89">
        <f t="shared" si="0"/>
        <v>258958.20895522388</v>
      </c>
      <c r="P7" s="92">
        <f t="shared" si="1"/>
        <v>257283.58208955219</v>
      </c>
      <c r="Q7" s="92">
        <f t="shared" si="2"/>
        <v>4430.6462253947329</v>
      </c>
      <c r="R7" s="93">
        <f t="shared" si="5"/>
        <v>5.410412073674765</v>
      </c>
      <c r="S7" s="97"/>
      <c r="T7" s="84"/>
      <c r="U7" s="84"/>
      <c r="V7" s="84"/>
    </row>
    <row r="8" spans="1:22">
      <c r="A8" s="84"/>
      <c r="B8" s="90" t="s">
        <v>190</v>
      </c>
      <c r="C8" s="91">
        <v>500</v>
      </c>
      <c r="D8" s="91">
        <v>1</v>
      </c>
      <c r="E8" s="91">
        <v>1582</v>
      </c>
      <c r="F8" s="91">
        <v>334</v>
      </c>
      <c r="G8" s="89">
        <f t="shared" si="3"/>
        <v>48312.574850299396</v>
      </c>
      <c r="H8" s="91">
        <v>1</v>
      </c>
      <c r="I8" s="91">
        <v>1222</v>
      </c>
      <c r="J8" s="91">
        <v>334</v>
      </c>
      <c r="K8" s="89">
        <f t="shared" si="4"/>
        <v>37318.562874251496</v>
      </c>
      <c r="L8" s="91">
        <v>1</v>
      </c>
      <c r="M8" s="91">
        <v>1331</v>
      </c>
      <c r="N8" s="91">
        <v>334</v>
      </c>
      <c r="O8" s="89">
        <f t="shared" si="0"/>
        <v>40647.305389221554</v>
      </c>
      <c r="P8" s="92">
        <f t="shared" si="1"/>
        <v>42092.814371257482</v>
      </c>
      <c r="Q8" s="92">
        <f t="shared" si="2"/>
        <v>5637.7475107733544</v>
      </c>
      <c r="R8" s="93">
        <f t="shared" si="5"/>
        <v>4.6242079641192557</v>
      </c>
      <c r="S8" s="97"/>
      <c r="T8" s="84"/>
      <c r="U8" s="84"/>
      <c r="V8" s="84"/>
    </row>
    <row r="9" spans="1:22">
      <c r="A9" s="84"/>
      <c r="B9" s="90" t="s">
        <v>191</v>
      </c>
      <c r="C9" s="91">
        <v>900</v>
      </c>
      <c r="D9" s="91">
        <v>2</v>
      </c>
      <c r="E9" s="91">
        <v>14797</v>
      </c>
      <c r="F9" s="91">
        <v>6</v>
      </c>
      <c r="G9" s="89">
        <f t="shared" si="3"/>
        <v>251548999.99999997</v>
      </c>
      <c r="H9" s="91">
        <v>2</v>
      </c>
      <c r="I9" s="91">
        <v>12831</v>
      </c>
      <c r="J9" s="91">
        <v>6</v>
      </c>
      <c r="K9" s="89">
        <f t="shared" si="4"/>
        <v>218126999.99999997</v>
      </c>
      <c r="L9" s="91">
        <v>2</v>
      </c>
      <c r="M9" s="91">
        <v>13557</v>
      </c>
      <c r="N9" s="91">
        <v>6</v>
      </c>
      <c r="O9" s="89">
        <f t="shared" si="0"/>
        <v>230468999.99999997</v>
      </c>
      <c r="P9" s="92">
        <f t="shared" si="1"/>
        <v>233381666.66666663</v>
      </c>
      <c r="Q9" s="92">
        <f t="shared" si="2"/>
        <v>16900302.995311458</v>
      </c>
      <c r="R9" s="93">
        <f t="shared" si="5"/>
        <v>8.3680667369783137</v>
      </c>
      <c r="S9" s="84"/>
      <c r="T9" s="84"/>
      <c r="U9" s="84"/>
      <c r="V9" s="84"/>
    </row>
    <row r="10" spans="1:22">
      <c r="A10" s="84"/>
      <c r="B10" s="90" t="s">
        <v>192</v>
      </c>
      <c r="C10" s="91">
        <v>900</v>
      </c>
      <c r="D10" s="91">
        <v>2</v>
      </c>
      <c r="E10" s="91">
        <v>6167</v>
      </c>
      <c r="F10" s="91">
        <v>6</v>
      </c>
      <c r="G10" s="89">
        <f t="shared" si="3"/>
        <v>104838999.99999999</v>
      </c>
      <c r="H10" s="91">
        <v>2</v>
      </c>
      <c r="I10" s="91">
        <v>6132</v>
      </c>
      <c r="J10" s="91">
        <v>6</v>
      </c>
      <c r="K10" s="89">
        <f t="shared" si="4"/>
        <v>104244000</v>
      </c>
      <c r="L10" s="91">
        <v>2</v>
      </c>
      <c r="M10" s="91">
        <v>5412</v>
      </c>
      <c r="N10" s="91">
        <v>6</v>
      </c>
      <c r="O10" s="89">
        <f t="shared" si="0"/>
        <v>92004000</v>
      </c>
      <c r="P10" s="92">
        <f t="shared" si="1"/>
        <v>100362333.33333333</v>
      </c>
      <c r="Q10" s="92">
        <f t="shared" si="2"/>
        <v>7244639.9726510411</v>
      </c>
      <c r="R10" s="93">
        <f t="shared" si="5"/>
        <v>8.0015707497132311</v>
      </c>
      <c r="S10" s="84"/>
      <c r="T10" s="84"/>
      <c r="U10" s="84"/>
      <c r="V10" s="84"/>
    </row>
    <row r="11" spans="1:22">
      <c r="A11" s="84"/>
      <c r="B11" s="90" t="s">
        <v>193</v>
      </c>
      <c r="C11" s="91">
        <v>900</v>
      </c>
      <c r="D11" s="91">
        <v>2</v>
      </c>
      <c r="E11" s="91">
        <v>2783</v>
      </c>
      <c r="F11" s="91">
        <v>6</v>
      </c>
      <c r="G11" s="89">
        <f t="shared" si="3"/>
        <v>47310999.999999993</v>
      </c>
      <c r="H11" s="91">
        <v>2</v>
      </c>
      <c r="I11" s="91">
        <v>2791</v>
      </c>
      <c r="J11" s="91">
        <v>6</v>
      </c>
      <c r="K11" s="89">
        <f t="shared" si="4"/>
        <v>47447000</v>
      </c>
      <c r="L11" s="91">
        <v>2</v>
      </c>
      <c r="M11" s="91">
        <v>2844</v>
      </c>
      <c r="N11" s="91">
        <v>6</v>
      </c>
      <c r="O11" s="89">
        <f t="shared" si="0"/>
        <v>48347999.999999993</v>
      </c>
      <c r="P11" s="92">
        <f t="shared" si="1"/>
        <v>47702000</v>
      </c>
      <c r="Q11" s="92">
        <f t="shared" si="2"/>
        <v>563569.87144452473</v>
      </c>
      <c r="R11" s="93">
        <f t="shared" si="5"/>
        <v>7.6785365880706147</v>
      </c>
      <c r="S11" s="84"/>
      <c r="T11" s="84"/>
      <c r="U11" s="84"/>
      <c r="V11" s="84"/>
    </row>
    <row r="12" spans="1:22">
      <c r="A12" s="84"/>
      <c r="B12" s="90" t="s">
        <v>194</v>
      </c>
      <c r="C12" s="91">
        <v>900</v>
      </c>
      <c r="D12" s="91">
        <v>1</v>
      </c>
      <c r="E12" s="91">
        <v>14347</v>
      </c>
      <c r="F12" s="91">
        <v>6</v>
      </c>
      <c r="G12" s="89">
        <f t="shared" si="3"/>
        <v>24389899.999999996</v>
      </c>
      <c r="H12" s="91">
        <v>1</v>
      </c>
      <c r="I12" s="91">
        <v>13548</v>
      </c>
      <c r="J12" s="91">
        <v>6</v>
      </c>
      <c r="K12" s="89">
        <f t="shared" si="4"/>
        <v>23031600</v>
      </c>
      <c r="L12" s="91">
        <v>1</v>
      </c>
      <c r="M12" s="91">
        <v>14200</v>
      </c>
      <c r="N12" s="91">
        <v>6</v>
      </c>
      <c r="O12" s="89">
        <f t="shared" si="0"/>
        <v>24139999.999999996</v>
      </c>
      <c r="P12" s="92">
        <f t="shared" si="1"/>
        <v>23853833.333333332</v>
      </c>
      <c r="Q12" s="92">
        <f t="shared" si="2"/>
        <v>722954.52369656716</v>
      </c>
      <c r="R12" s="93">
        <f t="shared" si="5"/>
        <v>7.3775581805140655</v>
      </c>
      <c r="S12" s="84"/>
      <c r="T12" s="84"/>
      <c r="U12" s="84"/>
      <c r="V12" s="84"/>
    </row>
    <row r="13" spans="1:22">
      <c r="A13" s="84"/>
      <c r="B13" s="90" t="s">
        <v>195</v>
      </c>
      <c r="C13" s="91">
        <v>900</v>
      </c>
      <c r="D13" s="91">
        <v>1</v>
      </c>
      <c r="E13" s="91">
        <v>5210</v>
      </c>
      <c r="F13" s="91">
        <v>6</v>
      </c>
      <c r="G13" s="89">
        <f t="shared" si="3"/>
        <v>8857000</v>
      </c>
      <c r="H13" s="91">
        <v>1</v>
      </c>
      <c r="I13" s="91">
        <v>5214</v>
      </c>
      <c r="J13" s="91">
        <v>6</v>
      </c>
      <c r="K13" s="89">
        <f t="shared" si="4"/>
        <v>8863800</v>
      </c>
      <c r="L13" s="91">
        <v>1</v>
      </c>
      <c r="M13" s="91">
        <v>5752</v>
      </c>
      <c r="N13" s="91">
        <v>6</v>
      </c>
      <c r="O13" s="89">
        <f t="shared" si="0"/>
        <v>9778400</v>
      </c>
      <c r="P13" s="92">
        <f t="shared" si="1"/>
        <v>9166400</v>
      </c>
      <c r="Q13" s="92">
        <f t="shared" si="2"/>
        <v>530018.4525089669</v>
      </c>
      <c r="R13" s="93">
        <f t="shared" si="5"/>
        <v>6.9621988049055377</v>
      </c>
      <c r="S13" s="84"/>
      <c r="T13" s="84"/>
      <c r="U13" s="84"/>
      <c r="V13" s="84"/>
    </row>
    <row r="14" spans="1:22">
      <c r="A14" s="84"/>
      <c r="B14" s="90" t="s">
        <v>196</v>
      </c>
      <c r="C14" s="91">
        <v>900</v>
      </c>
      <c r="D14" s="91">
        <v>1</v>
      </c>
      <c r="E14" s="91">
        <v>2620</v>
      </c>
      <c r="F14" s="91">
        <v>6</v>
      </c>
      <c r="G14" s="89">
        <f t="shared" si="3"/>
        <v>4454000</v>
      </c>
      <c r="H14" s="91">
        <v>1</v>
      </c>
      <c r="I14" s="91">
        <v>2454</v>
      </c>
      <c r="J14" s="91">
        <v>6</v>
      </c>
      <c r="K14" s="89">
        <f t="shared" si="4"/>
        <v>4171799.9999999991</v>
      </c>
      <c r="L14" s="91">
        <v>1</v>
      </c>
      <c r="M14" s="91">
        <v>2673</v>
      </c>
      <c r="N14" s="91">
        <v>6</v>
      </c>
      <c r="O14" s="89">
        <f t="shared" si="0"/>
        <v>4544099.9999999991</v>
      </c>
      <c r="P14" s="92">
        <f t="shared" si="1"/>
        <v>4389966.666666666</v>
      </c>
      <c r="Q14" s="92">
        <f t="shared" si="2"/>
        <v>194234.45454741904</v>
      </c>
      <c r="R14" s="93">
        <f t="shared" si="5"/>
        <v>6.642461222625335</v>
      </c>
      <c r="S14" s="84"/>
      <c r="T14" s="84"/>
      <c r="U14" s="84"/>
      <c r="V14" s="84"/>
    </row>
    <row r="15" spans="1:22">
      <c r="A15" s="84"/>
      <c r="B15" s="90" t="s">
        <v>197</v>
      </c>
      <c r="C15" s="91">
        <v>900</v>
      </c>
      <c r="D15" s="91">
        <v>1</v>
      </c>
      <c r="E15" s="91">
        <v>1562</v>
      </c>
      <c r="F15" s="91">
        <v>6</v>
      </c>
      <c r="G15" s="89">
        <f t="shared" si="3"/>
        <v>2655399.9999999995</v>
      </c>
      <c r="H15" s="91">
        <v>1</v>
      </c>
      <c r="I15" s="91">
        <v>1614</v>
      </c>
      <c r="J15" s="91">
        <v>6</v>
      </c>
      <c r="K15" s="89">
        <f t="shared" si="4"/>
        <v>2743799.9999999995</v>
      </c>
      <c r="L15" s="91">
        <v>1</v>
      </c>
      <c r="M15" s="91">
        <v>1660</v>
      </c>
      <c r="N15" s="91">
        <v>6</v>
      </c>
      <c r="O15" s="89">
        <f t="shared" si="0"/>
        <v>2822000</v>
      </c>
      <c r="P15" s="92">
        <f t="shared" si="1"/>
        <v>2740400</v>
      </c>
      <c r="Q15" s="92">
        <f t="shared" si="2"/>
        <v>83352.024570492809</v>
      </c>
      <c r="R15" s="93">
        <f t="shared" si="5"/>
        <v>6.4378139588473458</v>
      </c>
      <c r="S15" s="84"/>
      <c r="T15" s="84"/>
      <c r="U15" s="84"/>
      <c r="V15" s="84"/>
    </row>
    <row r="16" spans="1:22">
      <c r="A16" s="84"/>
      <c r="B16" s="90" t="s">
        <v>198</v>
      </c>
      <c r="C16" s="91">
        <v>900</v>
      </c>
      <c r="D16" s="91">
        <v>1</v>
      </c>
      <c r="E16" s="91">
        <v>2084</v>
      </c>
      <c r="F16" s="91">
        <v>13</v>
      </c>
      <c r="G16" s="89">
        <f t="shared" si="3"/>
        <v>1635138.4615384615</v>
      </c>
      <c r="H16" s="91">
        <v>1</v>
      </c>
      <c r="I16" s="91">
        <v>2144</v>
      </c>
      <c r="J16" s="91">
        <v>13</v>
      </c>
      <c r="K16" s="89">
        <f t="shared" si="4"/>
        <v>1682215.3846153847</v>
      </c>
      <c r="L16" s="91">
        <v>1</v>
      </c>
      <c r="M16" s="91">
        <v>1740</v>
      </c>
      <c r="N16" s="91">
        <v>13</v>
      </c>
      <c r="O16" s="89">
        <f t="shared" si="0"/>
        <v>1365230.769230769</v>
      </c>
      <c r="P16" s="92">
        <f t="shared" si="1"/>
        <v>1560861.5384615387</v>
      </c>
      <c r="Q16" s="92">
        <f t="shared" si="2"/>
        <v>171048.55326475156</v>
      </c>
      <c r="R16" s="93">
        <f t="shared" si="5"/>
        <v>6.1933643792000312</v>
      </c>
      <c r="S16" s="84"/>
      <c r="T16" s="84"/>
      <c r="U16" s="84"/>
      <c r="V16" s="84"/>
    </row>
    <row r="17" spans="1:22">
      <c r="A17" s="84"/>
      <c r="B17" s="90" t="s">
        <v>199</v>
      </c>
      <c r="C17" s="91">
        <v>900</v>
      </c>
      <c r="D17" s="91">
        <v>1</v>
      </c>
      <c r="E17" s="91">
        <v>2200</v>
      </c>
      <c r="F17" s="91">
        <v>26</v>
      </c>
      <c r="G17" s="89">
        <f t="shared" si="3"/>
        <v>863076.92307692301</v>
      </c>
      <c r="H17" s="91">
        <v>1</v>
      </c>
      <c r="I17" s="91">
        <v>2389</v>
      </c>
      <c r="J17" s="91">
        <v>26</v>
      </c>
      <c r="K17" s="89">
        <f t="shared" si="4"/>
        <v>937223.07692307688</v>
      </c>
      <c r="L17" s="91">
        <v>1</v>
      </c>
      <c r="M17" s="91">
        <v>2163</v>
      </c>
      <c r="N17" s="91">
        <v>26</v>
      </c>
      <c r="O17" s="89">
        <f t="shared" si="0"/>
        <v>848561.53846153838</v>
      </c>
      <c r="P17" s="92">
        <f t="shared" si="1"/>
        <v>882953.84615384601</v>
      </c>
      <c r="Q17" s="92">
        <f t="shared" si="2"/>
        <v>47555.611170987548</v>
      </c>
      <c r="R17" s="93">
        <f t="shared" si="5"/>
        <v>5.9459380026890356</v>
      </c>
      <c r="S17" s="84"/>
      <c r="T17" s="84"/>
      <c r="U17" s="84"/>
      <c r="V17" s="84"/>
    </row>
    <row r="18" spans="1:22">
      <c r="A18" s="84"/>
      <c r="B18" s="90" t="s">
        <v>200</v>
      </c>
      <c r="C18" s="91">
        <v>900</v>
      </c>
      <c r="D18" s="91">
        <v>1</v>
      </c>
      <c r="E18" s="91">
        <v>2258</v>
      </c>
      <c r="F18" s="91">
        <v>53</v>
      </c>
      <c r="G18" s="89">
        <f t="shared" si="3"/>
        <v>434558.49056603765</v>
      </c>
      <c r="H18" s="91">
        <v>1</v>
      </c>
      <c r="I18" s="91">
        <v>2364</v>
      </c>
      <c r="J18" s="91">
        <v>53</v>
      </c>
      <c r="K18" s="89">
        <f t="shared" si="4"/>
        <v>454958.49056603771</v>
      </c>
      <c r="L18" s="91">
        <v>1</v>
      </c>
      <c r="M18" s="91">
        <v>2494</v>
      </c>
      <c r="N18" s="91">
        <v>53</v>
      </c>
      <c r="O18" s="89">
        <f t="shared" si="0"/>
        <v>479977.35849056597</v>
      </c>
      <c r="P18" s="92">
        <f t="shared" si="1"/>
        <v>456498.11320754705</v>
      </c>
      <c r="Q18" s="92">
        <f t="shared" si="2"/>
        <v>22748.543234570494</v>
      </c>
      <c r="R18" s="93">
        <f t="shared" si="5"/>
        <v>5.6594389868533534</v>
      </c>
      <c r="S18" s="84"/>
      <c r="T18" s="84"/>
      <c r="U18" s="84"/>
      <c r="V18" s="84"/>
    </row>
    <row r="19" spans="1:22">
      <c r="A19" s="84"/>
      <c r="B19" s="90" t="s">
        <v>201</v>
      </c>
      <c r="C19" s="91">
        <v>900</v>
      </c>
      <c r="D19" s="91">
        <v>1</v>
      </c>
      <c r="E19" s="91">
        <v>2389</v>
      </c>
      <c r="F19" s="91">
        <v>107</v>
      </c>
      <c r="G19" s="89">
        <f t="shared" si="3"/>
        <v>227736.44859813081</v>
      </c>
      <c r="H19" s="91">
        <v>1</v>
      </c>
      <c r="I19" s="91">
        <v>2798</v>
      </c>
      <c r="J19" s="91">
        <v>107</v>
      </c>
      <c r="K19" s="89">
        <f t="shared" si="4"/>
        <v>266725.23364485975</v>
      </c>
      <c r="L19" s="91">
        <v>1</v>
      </c>
      <c r="M19" s="91">
        <v>7437</v>
      </c>
      <c r="N19" s="91">
        <v>394</v>
      </c>
      <c r="O19" s="89">
        <f t="shared" si="0"/>
        <v>192531.47208121826</v>
      </c>
      <c r="P19" s="92">
        <f t="shared" si="1"/>
        <v>228997.71810806962</v>
      </c>
      <c r="Q19" s="92">
        <f t="shared" si="2"/>
        <v>37112.958172626859</v>
      </c>
      <c r="R19" s="93">
        <f t="shared" si="5"/>
        <v>5.359831154750319</v>
      </c>
      <c r="S19" s="84"/>
      <c r="T19" s="84"/>
      <c r="U19" s="84"/>
      <c r="V19" s="84"/>
    </row>
    <row r="20" spans="1:22" ht="15" thickBo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</row>
    <row r="21" spans="1:22" ht="43" thickBot="1">
      <c r="A21" s="84"/>
      <c r="B21" s="94" t="s">
        <v>4</v>
      </c>
      <c r="C21" s="94" t="s">
        <v>202</v>
      </c>
      <c r="D21" s="94" t="s">
        <v>203</v>
      </c>
      <c r="E21" s="94" t="s">
        <v>204</v>
      </c>
      <c r="F21" s="94" t="s">
        <v>205</v>
      </c>
      <c r="G21" s="95" t="s">
        <v>206</v>
      </c>
      <c r="H21" s="96" t="s">
        <v>207</v>
      </c>
      <c r="I21" s="96" t="s">
        <v>259</v>
      </c>
      <c r="J21" s="96" t="s">
        <v>260</v>
      </c>
      <c r="K21" s="96" t="s">
        <v>261</v>
      </c>
      <c r="L21" s="96" t="s">
        <v>262</v>
      </c>
      <c r="M21" s="97" t="s">
        <v>258</v>
      </c>
      <c r="N21" s="84"/>
      <c r="O21" s="84"/>
      <c r="P21" s="84"/>
      <c r="Q21" s="84"/>
      <c r="R21" s="84"/>
      <c r="S21" s="84"/>
      <c r="T21" s="84"/>
      <c r="U21" s="84"/>
      <c r="V21" s="84"/>
    </row>
    <row r="22" spans="1:2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</row>
    <row r="23" spans="1:22">
      <c r="A23" s="84"/>
      <c r="B23" s="90" t="s">
        <v>186</v>
      </c>
      <c r="C23" s="98">
        <v>12.024166107177734</v>
      </c>
      <c r="D23" s="98">
        <v>11.937971115112305</v>
      </c>
      <c r="E23" s="98">
        <v>12.113894462585449</v>
      </c>
      <c r="F23" s="103">
        <f>AVERAGE(C23:E23)</f>
        <v>12.025343894958496</v>
      </c>
      <c r="G23" s="119">
        <f>1000/1000*200/4*1000/900</f>
        <v>55.555555555555557</v>
      </c>
      <c r="H23" s="112">
        <f>LOG(G23)/LOG(2)</f>
        <v>5.7958592832197748</v>
      </c>
      <c r="I23" s="98">
        <f>C23-H23</f>
        <v>6.2283068239579595</v>
      </c>
      <c r="J23" s="98">
        <f>D23-H23</f>
        <v>6.1421118318925298</v>
      </c>
      <c r="K23" s="98">
        <f>E23-H23</f>
        <v>6.3180351793656744</v>
      </c>
      <c r="L23" s="103">
        <f>AVERAGE(I23:K23)</f>
        <v>6.2294846117387221</v>
      </c>
      <c r="M23" s="97"/>
      <c r="N23" s="84"/>
      <c r="O23" s="84"/>
      <c r="P23" s="84"/>
      <c r="Q23" s="84"/>
      <c r="R23" s="84"/>
      <c r="S23" s="84"/>
      <c r="T23" s="84"/>
      <c r="U23" s="84"/>
      <c r="V23" s="84"/>
    </row>
    <row r="24" spans="1:22">
      <c r="A24" s="84"/>
      <c r="B24" s="90" t="s">
        <v>187</v>
      </c>
      <c r="C24" s="98">
        <v>17.587196350097656</v>
      </c>
      <c r="D24" s="98">
        <v>17.463251113891602</v>
      </c>
      <c r="E24" s="98">
        <v>17.496953964233398</v>
      </c>
      <c r="F24" s="103">
        <f t="shared" ref="F24:F38" si="6">AVERAGE(C24:E24)</f>
        <v>17.515800476074219</v>
      </c>
      <c r="G24" s="119">
        <f t="shared" ref="G24:G27" si="7">1000/1000*200/4*1000/900</f>
        <v>55.555555555555557</v>
      </c>
      <c r="H24" s="112">
        <f t="shared" ref="H24:H38" si="8">LOG(G24)/LOG(2)</f>
        <v>5.7958592832197748</v>
      </c>
      <c r="I24" s="98">
        <f>C24-H24</f>
        <v>11.791337066877881</v>
      </c>
      <c r="J24" s="98">
        <f t="shared" ref="J24:J38" si="9">D24-H24</f>
        <v>11.667391830671827</v>
      </c>
      <c r="K24" s="98">
        <f t="shared" ref="K24:K38" si="10">E24-H24</f>
        <v>11.701094681013624</v>
      </c>
      <c r="L24" s="103">
        <f t="shared" ref="L24:L38" si="11">AVERAGE(I24:K24)</f>
        <v>11.719941192854444</v>
      </c>
      <c r="M24" s="84"/>
      <c r="N24" s="84"/>
      <c r="O24" s="84"/>
      <c r="P24" s="84"/>
      <c r="Q24" s="84"/>
      <c r="R24" s="84"/>
      <c r="S24" s="84"/>
      <c r="T24" s="84"/>
      <c r="U24" s="84"/>
      <c r="V24" s="84"/>
    </row>
    <row r="25" spans="1:22">
      <c r="A25" s="84"/>
      <c r="B25" s="90" t="s">
        <v>188</v>
      </c>
      <c r="C25" s="98">
        <v>20.035877227783203</v>
      </c>
      <c r="D25" s="98">
        <v>19.974271774291992</v>
      </c>
      <c r="E25" s="98">
        <v>19.944717407226562</v>
      </c>
      <c r="F25" s="103">
        <f t="shared" si="6"/>
        <v>19.984955469767254</v>
      </c>
      <c r="G25" s="119">
        <f t="shared" si="7"/>
        <v>55.555555555555557</v>
      </c>
      <c r="H25" s="112">
        <f t="shared" si="8"/>
        <v>5.7958592832197748</v>
      </c>
      <c r="I25" s="98">
        <f>C25-H25</f>
        <v>14.240017944563428</v>
      </c>
      <c r="J25" s="98">
        <f t="shared" si="9"/>
        <v>14.178412491072217</v>
      </c>
      <c r="K25" s="98">
        <f t="shared" si="10"/>
        <v>14.148858124006788</v>
      </c>
      <c r="L25" s="103">
        <f t="shared" si="11"/>
        <v>14.189096186547479</v>
      </c>
      <c r="M25" s="84"/>
      <c r="N25" s="84"/>
      <c r="O25" s="84"/>
      <c r="P25" s="84"/>
      <c r="Q25" s="84"/>
      <c r="R25" s="84"/>
      <c r="S25" s="84"/>
      <c r="T25" s="84"/>
      <c r="U25" s="84"/>
      <c r="V25" s="84"/>
    </row>
    <row r="26" spans="1:22">
      <c r="A26" s="84"/>
      <c r="B26" s="90" t="s">
        <v>189</v>
      </c>
      <c r="C26" s="98">
        <v>24.500289916992188</v>
      </c>
      <c r="D26" s="98">
        <v>24.458871841430664</v>
      </c>
      <c r="E26" s="98">
        <v>24.548263549804688</v>
      </c>
      <c r="F26" s="103">
        <f t="shared" si="6"/>
        <v>24.502475102742512</v>
      </c>
      <c r="G26" s="119">
        <f t="shared" si="7"/>
        <v>55.555555555555557</v>
      </c>
      <c r="H26" s="112">
        <f t="shared" si="8"/>
        <v>5.7958592832197748</v>
      </c>
      <c r="I26" s="98">
        <f>C26-H26</f>
        <v>18.704430633772411</v>
      </c>
      <c r="J26" s="98">
        <f t="shared" si="9"/>
        <v>18.663012558210887</v>
      </c>
      <c r="K26" s="98">
        <f t="shared" si="10"/>
        <v>18.752404266584911</v>
      </c>
      <c r="L26" s="103">
        <f t="shared" si="11"/>
        <v>18.706615819522735</v>
      </c>
      <c r="M26" s="97"/>
      <c r="N26" s="84"/>
      <c r="O26" s="84"/>
      <c r="P26" s="84"/>
      <c r="Q26" s="84"/>
      <c r="R26" s="84"/>
      <c r="S26" s="84"/>
      <c r="T26" s="84"/>
      <c r="U26" s="84"/>
      <c r="V26" s="84"/>
    </row>
    <row r="27" spans="1:22">
      <c r="A27" s="84"/>
      <c r="B27" s="90" t="s">
        <v>190</v>
      </c>
      <c r="C27" s="98">
        <v>27.966335296630859</v>
      </c>
      <c r="D27" s="98">
        <v>27.953102111816406</v>
      </c>
      <c r="E27" s="98">
        <v>27.858415603637695</v>
      </c>
      <c r="F27" s="103">
        <f>AVERAGE(C27:E27)</f>
        <v>27.92595100402832</v>
      </c>
      <c r="G27" s="119">
        <f t="shared" si="7"/>
        <v>55.555555555555557</v>
      </c>
      <c r="H27" s="112">
        <f t="shared" si="8"/>
        <v>5.7958592832197748</v>
      </c>
      <c r="I27" s="98">
        <f>C27-H27</f>
        <v>22.170476013411083</v>
      </c>
      <c r="J27" s="98">
        <f>D27-H27</f>
        <v>22.15724282859663</v>
      </c>
      <c r="K27" s="98">
        <f>E27-H27</f>
        <v>22.062556320417919</v>
      </c>
      <c r="L27" s="103">
        <f t="shared" si="11"/>
        <v>22.130091720808547</v>
      </c>
      <c r="M27" s="97"/>
      <c r="N27" s="84"/>
      <c r="O27" s="84"/>
      <c r="P27" s="84"/>
      <c r="Q27" s="84"/>
      <c r="R27" s="84"/>
      <c r="S27" s="84"/>
      <c r="T27" s="84"/>
      <c r="U27" s="84"/>
      <c r="V27" s="84"/>
    </row>
    <row r="28" spans="1:22">
      <c r="A28" s="84"/>
      <c r="B28" s="90" t="s">
        <v>191</v>
      </c>
      <c r="C28" s="98">
        <v>13.96388053894043</v>
      </c>
      <c r="D28" s="98">
        <v>13.646139144897461</v>
      </c>
      <c r="E28" s="98">
        <v>13.680848121643066</v>
      </c>
      <c r="F28" s="103">
        <f t="shared" si="6"/>
        <v>13.763622601826986</v>
      </c>
      <c r="G28" s="84">
        <f>1000/1000*200/4*1000/500</f>
        <v>100</v>
      </c>
      <c r="H28" s="112">
        <f t="shared" si="8"/>
        <v>6.6438561897747244</v>
      </c>
      <c r="I28" s="98">
        <f t="shared" ref="I28:I38" si="12">C28-H28</f>
        <v>7.3200243491657053</v>
      </c>
      <c r="J28" s="98">
        <f t="shared" si="9"/>
        <v>7.0022829551227366</v>
      </c>
      <c r="K28" s="98">
        <f t="shared" si="10"/>
        <v>7.036991931868342</v>
      </c>
      <c r="L28" s="103">
        <f t="shared" si="11"/>
        <v>7.119766412052261</v>
      </c>
      <c r="M28" s="84"/>
      <c r="N28" s="84"/>
      <c r="O28" s="84"/>
      <c r="P28" s="84"/>
      <c r="Q28" s="84"/>
      <c r="R28" s="84"/>
      <c r="S28" s="84"/>
      <c r="T28" s="84"/>
      <c r="U28" s="84"/>
      <c r="V28" s="84"/>
    </row>
    <row r="29" spans="1:22">
      <c r="A29" s="84"/>
      <c r="B29" s="90" t="s">
        <v>192</v>
      </c>
      <c r="C29" s="98">
        <v>15.15186882019043</v>
      </c>
      <c r="D29" s="98">
        <v>15.517631530761719</v>
      </c>
      <c r="E29" s="98">
        <v>15.663459777832031</v>
      </c>
      <c r="F29" s="103">
        <f t="shared" si="6"/>
        <v>15.44432004292806</v>
      </c>
      <c r="G29" s="84">
        <f t="shared" ref="G29:G38" si="13">1000/1000*200/4*1000/500</f>
        <v>100</v>
      </c>
      <c r="H29" s="112">
        <f t="shared" si="8"/>
        <v>6.6438561897747244</v>
      </c>
      <c r="I29" s="98">
        <f t="shared" si="12"/>
        <v>8.5080126304157062</v>
      </c>
      <c r="J29" s="98">
        <f t="shared" si="9"/>
        <v>8.8737753409869953</v>
      </c>
      <c r="K29" s="98">
        <f t="shared" si="10"/>
        <v>9.0196035880573078</v>
      </c>
      <c r="L29" s="103">
        <f t="shared" si="11"/>
        <v>8.800463853153337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>
      <c r="A30" s="84"/>
      <c r="B30" s="90" t="s">
        <v>193</v>
      </c>
      <c r="C30" s="98">
        <v>16.251581192016602</v>
      </c>
      <c r="D30" s="98">
        <v>16.335042953491211</v>
      </c>
      <c r="E30" s="98">
        <v>16.212072372436523</v>
      </c>
      <c r="F30" s="103">
        <f t="shared" si="6"/>
        <v>16.266232172648113</v>
      </c>
      <c r="G30" s="84">
        <f t="shared" si="13"/>
        <v>100</v>
      </c>
      <c r="H30" s="112">
        <f t="shared" si="8"/>
        <v>6.6438561897747244</v>
      </c>
      <c r="I30" s="98">
        <f t="shared" si="12"/>
        <v>9.6077250022418781</v>
      </c>
      <c r="J30" s="98">
        <f t="shared" si="9"/>
        <v>9.6911867637164875</v>
      </c>
      <c r="K30" s="98">
        <f t="shared" si="10"/>
        <v>9.5682161826618</v>
      </c>
      <c r="L30" s="103">
        <f t="shared" si="11"/>
        <v>9.6223759828733879</v>
      </c>
      <c r="M30" s="84"/>
      <c r="N30" s="84"/>
      <c r="O30" s="84"/>
      <c r="P30" s="84"/>
      <c r="Q30" s="84"/>
      <c r="R30" s="84"/>
      <c r="S30" s="84"/>
      <c r="T30" s="84"/>
      <c r="U30" s="84"/>
      <c r="V30" s="84"/>
    </row>
    <row r="31" spans="1:22">
      <c r="A31" s="84"/>
      <c r="B31" s="90" t="s">
        <v>194</v>
      </c>
      <c r="C31" s="98">
        <v>18.410284042358398</v>
      </c>
      <c r="D31" s="98">
        <v>18.640316009521484</v>
      </c>
      <c r="E31" s="98">
        <v>18.454940795898438</v>
      </c>
      <c r="F31" s="103">
        <f t="shared" si="6"/>
        <v>18.501846949259441</v>
      </c>
      <c r="G31" s="84">
        <f t="shared" si="13"/>
        <v>100</v>
      </c>
      <c r="H31" s="112">
        <f t="shared" si="8"/>
        <v>6.6438561897747244</v>
      </c>
      <c r="I31" s="98">
        <f t="shared" si="12"/>
        <v>11.766427852583675</v>
      </c>
      <c r="J31" s="98">
        <f t="shared" si="9"/>
        <v>11.996459819746761</v>
      </c>
      <c r="K31" s="98">
        <f t="shared" si="10"/>
        <v>11.811084606123714</v>
      </c>
      <c r="L31" s="103">
        <f t="shared" si="11"/>
        <v>11.857990759484716</v>
      </c>
      <c r="M31" s="84"/>
      <c r="N31" s="84"/>
      <c r="O31" s="84"/>
      <c r="P31" s="84"/>
      <c r="Q31" s="84"/>
      <c r="R31" s="84"/>
      <c r="S31" s="84"/>
      <c r="T31" s="84"/>
      <c r="U31" s="84"/>
      <c r="V31" s="84"/>
    </row>
    <row r="32" spans="1:22">
      <c r="A32" s="84"/>
      <c r="B32" s="90" t="s">
        <v>195</v>
      </c>
      <c r="C32" s="98">
        <v>18.648725509643555</v>
      </c>
      <c r="D32" s="98">
        <v>18.836643218994141</v>
      </c>
      <c r="E32" s="98">
        <v>18.618749618530273</v>
      </c>
      <c r="F32" s="103">
        <f t="shared" si="6"/>
        <v>18.701372782389324</v>
      </c>
      <c r="G32" s="84">
        <f t="shared" si="13"/>
        <v>100</v>
      </c>
      <c r="H32" s="112">
        <f t="shared" si="8"/>
        <v>6.6438561897747244</v>
      </c>
      <c r="I32" s="98">
        <f t="shared" si="12"/>
        <v>12.004869319868831</v>
      </c>
      <c r="J32" s="98">
        <f t="shared" si="9"/>
        <v>12.192787029219417</v>
      </c>
      <c r="K32" s="98">
        <f t="shared" si="10"/>
        <v>11.97489342875555</v>
      </c>
      <c r="L32" s="103">
        <f t="shared" si="11"/>
        <v>12.057516592614599</v>
      </c>
      <c r="M32" s="84"/>
      <c r="N32" s="84"/>
      <c r="O32" s="84"/>
      <c r="P32" s="84"/>
      <c r="Q32" s="84"/>
      <c r="R32" s="84"/>
      <c r="S32" s="84"/>
      <c r="T32" s="84"/>
      <c r="U32" s="84"/>
      <c r="V32" s="84"/>
    </row>
    <row r="33" spans="1:22">
      <c r="A33" s="84"/>
      <c r="B33" s="90" t="s">
        <v>196</v>
      </c>
      <c r="C33" s="98">
        <v>19.173038482666016</v>
      </c>
      <c r="D33" s="98">
        <v>19.267778396606445</v>
      </c>
      <c r="E33" s="98">
        <v>19.15654182434082</v>
      </c>
      <c r="F33" s="103">
        <f t="shared" si="6"/>
        <v>19.199119567871094</v>
      </c>
      <c r="G33" s="84">
        <f t="shared" si="13"/>
        <v>100</v>
      </c>
      <c r="H33" s="112">
        <f t="shared" si="8"/>
        <v>6.6438561897747244</v>
      </c>
      <c r="I33" s="98">
        <f t="shared" si="12"/>
        <v>12.529182292891292</v>
      </c>
      <c r="J33" s="98">
        <f t="shared" si="9"/>
        <v>12.623922206831722</v>
      </c>
      <c r="K33" s="98">
        <f t="shared" si="10"/>
        <v>12.512685634566097</v>
      </c>
      <c r="L33" s="103">
        <f t="shared" si="11"/>
        <v>12.55526337809637</v>
      </c>
      <c r="M33" s="84"/>
      <c r="N33" s="84"/>
      <c r="O33" s="84"/>
      <c r="P33" s="84"/>
      <c r="Q33" s="84"/>
      <c r="R33" s="84"/>
      <c r="S33" s="84"/>
      <c r="T33" s="84"/>
      <c r="U33" s="84"/>
      <c r="V33" s="84"/>
    </row>
    <row r="34" spans="1:22">
      <c r="A34" s="84"/>
      <c r="B34" s="90" t="s">
        <v>197</v>
      </c>
      <c r="C34" s="98">
        <v>20.283313751220703</v>
      </c>
      <c r="D34" s="98">
        <v>20.449991226196289</v>
      </c>
      <c r="E34" s="98">
        <v>20.311237335205078</v>
      </c>
      <c r="F34" s="103">
        <f t="shared" si="6"/>
        <v>20.348180770874023</v>
      </c>
      <c r="G34" s="84">
        <f t="shared" si="13"/>
        <v>100</v>
      </c>
      <c r="H34" s="112">
        <f t="shared" si="8"/>
        <v>6.6438561897747244</v>
      </c>
      <c r="I34" s="98">
        <f t="shared" si="12"/>
        <v>13.63945756144598</v>
      </c>
      <c r="J34" s="98">
        <f t="shared" si="9"/>
        <v>13.806135036421566</v>
      </c>
      <c r="K34" s="98">
        <f t="shared" si="10"/>
        <v>13.667381145430355</v>
      </c>
      <c r="L34" s="103">
        <f t="shared" si="11"/>
        <v>13.7043245810993</v>
      </c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spans="1:22">
      <c r="A35" s="84"/>
      <c r="B35" s="90" t="s">
        <v>198</v>
      </c>
      <c r="C35" s="98">
        <v>21.243825912475586</v>
      </c>
      <c r="D35" s="98">
        <v>21.539775848388672</v>
      </c>
      <c r="E35" s="98">
        <v>21.392797470092773</v>
      </c>
      <c r="F35" s="103">
        <f t="shared" si="6"/>
        <v>21.392133076985676</v>
      </c>
      <c r="G35" s="84">
        <f t="shared" si="13"/>
        <v>100</v>
      </c>
      <c r="H35" s="112">
        <f t="shared" si="8"/>
        <v>6.6438561897747244</v>
      </c>
      <c r="I35" s="98">
        <f t="shared" si="12"/>
        <v>14.599969722700862</v>
      </c>
      <c r="J35" s="98">
        <f t="shared" si="9"/>
        <v>14.895919658613948</v>
      </c>
      <c r="K35" s="98">
        <f t="shared" si="10"/>
        <v>14.74894128031805</v>
      </c>
      <c r="L35" s="103">
        <f t="shared" si="11"/>
        <v>14.748276887210954</v>
      </c>
      <c r="M35" s="84"/>
      <c r="N35" s="84"/>
      <c r="O35" s="84"/>
      <c r="P35" s="84"/>
      <c r="Q35" s="84"/>
      <c r="R35" s="84"/>
      <c r="S35" s="84"/>
      <c r="T35" s="84"/>
      <c r="U35" s="84"/>
      <c r="V35" s="84"/>
    </row>
    <row r="36" spans="1:22">
      <c r="A36" s="84"/>
      <c r="B36" s="90" t="s">
        <v>199</v>
      </c>
      <c r="C36" s="98">
        <v>22.513101577758789</v>
      </c>
      <c r="D36" s="98">
        <v>22.496644973754883</v>
      </c>
      <c r="E36" s="98">
        <v>22.572574615478516</v>
      </c>
      <c r="F36" s="103">
        <f t="shared" si="6"/>
        <v>22.527440388997395</v>
      </c>
      <c r="G36" s="84">
        <f t="shared" si="13"/>
        <v>100</v>
      </c>
      <c r="H36" s="112">
        <f t="shared" si="8"/>
        <v>6.6438561897747244</v>
      </c>
      <c r="I36" s="98">
        <f t="shared" si="12"/>
        <v>15.869245387984066</v>
      </c>
      <c r="J36" s="98">
        <f t="shared" si="9"/>
        <v>15.852788783980159</v>
      </c>
      <c r="K36" s="98">
        <f t="shared" si="10"/>
        <v>15.928718425703792</v>
      </c>
      <c r="L36" s="103">
        <f t="shared" si="11"/>
        <v>15.883584199222673</v>
      </c>
      <c r="M36" s="84"/>
      <c r="N36" s="84"/>
      <c r="O36" s="84"/>
      <c r="P36" s="84"/>
      <c r="Q36" s="84"/>
      <c r="R36" s="84"/>
      <c r="S36" s="84"/>
      <c r="T36" s="84"/>
      <c r="U36" s="84"/>
      <c r="V36" s="84"/>
    </row>
    <row r="37" spans="1:22">
      <c r="A37" s="84"/>
      <c r="B37" s="90" t="s">
        <v>200</v>
      </c>
      <c r="C37" s="98">
        <v>25.11761474609375</v>
      </c>
      <c r="D37" s="98">
        <v>25.00200080871582</v>
      </c>
      <c r="E37" s="98">
        <v>25.069990158081055</v>
      </c>
      <c r="F37" s="103">
        <f t="shared" si="6"/>
        <v>25.063201904296875</v>
      </c>
      <c r="G37" s="84">
        <f t="shared" si="13"/>
        <v>100</v>
      </c>
      <c r="H37" s="112">
        <f t="shared" si="8"/>
        <v>6.6438561897747244</v>
      </c>
      <c r="I37" s="98">
        <f t="shared" si="12"/>
        <v>18.473758556319027</v>
      </c>
      <c r="J37" s="98">
        <f t="shared" si="9"/>
        <v>18.358144618941097</v>
      </c>
      <c r="K37" s="98">
        <f t="shared" si="10"/>
        <v>18.426133968306331</v>
      </c>
      <c r="L37" s="103">
        <f t="shared" si="11"/>
        <v>18.419345714522152</v>
      </c>
      <c r="M37" s="84"/>
      <c r="N37" s="84"/>
      <c r="O37" s="84"/>
      <c r="P37" s="84"/>
      <c r="Q37" s="84"/>
      <c r="R37" s="84"/>
      <c r="S37" s="84"/>
      <c r="T37" s="84"/>
      <c r="U37" s="84"/>
      <c r="V37" s="84"/>
    </row>
    <row r="38" spans="1:22">
      <c r="A38" s="84"/>
      <c r="B38" s="90" t="s">
        <v>201</v>
      </c>
      <c r="C38" s="98">
        <v>25.78911018371582</v>
      </c>
      <c r="D38" s="98">
        <v>25.811565399169922</v>
      </c>
      <c r="E38" s="98">
        <v>25.885698318481445</v>
      </c>
      <c r="F38" s="103">
        <f t="shared" si="6"/>
        <v>25.82879130045573</v>
      </c>
      <c r="G38" s="84">
        <f t="shared" si="13"/>
        <v>100</v>
      </c>
      <c r="H38" s="112">
        <f t="shared" si="8"/>
        <v>6.6438561897747244</v>
      </c>
      <c r="I38" s="98">
        <f t="shared" si="12"/>
        <v>19.145253993941097</v>
      </c>
      <c r="J38" s="98">
        <f t="shared" si="9"/>
        <v>19.167709209395198</v>
      </c>
      <c r="K38" s="98">
        <f t="shared" si="10"/>
        <v>19.241842128706722</v>
      </c>
      <c r="L38" s="103">
        <f t="shared" si="11"/>
        <v>19.184935110681007</v>
      </c>
      <c r="M38" s="84"/>
      <c r="N38" s="84"/>
      <c r="O38" s="84"/>
      <c r="P38" s="84"/>
      <c r="Q38" s="84"/>
      <c r="R38" s="84"/>
      <c r="S38" s="84"/>
      <c r="T38" s="84"/>
      <c r="U38" s="84"/>
      <c r="V38" s="84"/>
    </row>
    <row r="39" spans="1:22">
      <c r="A39" s="84"/>
      <c r="B39" s="84"/>
      <c r="C39" s="84"/>
      <c r="D39" s="84"/>
      <c r="E39" s="84"/>
      <c r="F39" s="112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</row>
    <row r="40" spans="1:22">
      <c r="A40" s="84"/>
      <c r="B40" s="90" t="s">
        <v>286</v>
      </c>
      <c r="C40" s="98">
        <v>10.746070861816406</v>
      </c>
      <c r="D40" s="98">
        <v>10.822755813598633</v>
      </c>
      <c r="E40" s="98">
        <v>10.731834411621094</v>
      </c>
      <c r="F40" s="103">
        <f>AVERAGE(C40:E40)</f>
        <v>10.766887029012045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</row>
    <row r="41" spans="1:22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</row>
    <row r="42" spans="1:22">
      <c r="A42" s="84"/>
      <c r="B42" s="97" t="s">
        <v>214</v>
      </c>
      <c r="C42" s="84" t="s">
        <v>215</v>
      </c>
      <c r="D42" s="84"/>
      <c r="E42" s="84"/>
      <c r="F42" t="s">
        <v>264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</row>
    <row r="43" spans="1:22">
      <c r="A43" s="84"/>
      <c r="B43" s="84" t="s">
        <v>265</v>
      </c>
      <c r="C43" s="84" t="s">
        <v>215</v>
      </c>
      <c r="D43" s="84"/>
      <c r="E43" s="84"/>
      <c r="F43">
        <v>0.34642903804779052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 spans="1:22">
      <c r="A44" s="84"/>
      <c r="B44" s="84"/>
      <c r="C44" s="101" t="s">
        <v>217</v>
      </c>
      <c r="D44" s="99">
        <v>-3.9893000000000001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 spans="1:22">
      <c r="A45" s="84"/>
      <c r="B45" s="84"/>
      <c r="C45" s="101" t="s">
        <v>218</v>
      </c>
      <c r="D45" s="99">
        <v>40.134999999999998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</row>
    <row r="46" spans="1:22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</row>
    <row r="47" spans="1:22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</row>
    <row r="48" spans="1:22">
      <c r="A48" s="84"/>
      <c r="B48" s="97" t="s">
        <v>219</v>
      </c>
      <c r="C48" s="84"/>
      <c r="D48" s="84">
        <f>-1+ POWER(10,-(1/D44))</f>
        <v>0.78102716558460528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spans="1:22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</row>
    <row r="50" spans="1:22">
      <c r="A50" s="84"/>
      <c r="B50" s="97" t="s">
        <v>287</v>
      </c>
      <c r="C50" s="120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 spans="1:22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 spans="1:2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spans="1:22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 spans="1:22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 spans="1:22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 F. prausnitzii</vt:lpstr>
      <vt:lpstr>Determination cell counts FP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2016-04-13T16:08:10Z</dcterms:modified>
</cp:coreProperties>
</file>