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2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27" r:id="rId7"/>
    <sheet name="Determination cell counts FP" sheetId="28" r:id="rId8"/>
    <sheet name="CalibrationB. hydrogenotrophica" sheetId="29" r:id="rId9"/>
    <sheet name="Determination cell counts BH" sheetId="30" r:id="rId10"/>
    <sheet name="Total cell count" sheetId="31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30" l="1"/>
  <c r="H65" i="30"/>
  <c r="H64" i="30"/>
  <c r="H63" i="30"/>
  <c r="H62" i="30"/>
  <c r="H61" i="30"/>
  <c r="H60" i="30"/>
  <c r="H59" i="30"/>
  <c r="H58" i="30"/>
  <c r="H57" i="30"/>
  <c r="H56" i="30"/>
  <c r="H55" i="30"/>
  <c r="H79" i="28"/>
  <c r="H75" i="28"/>
  <c r="H74" i="28"/>
  <c r="H73" i="28"/>
  <c r="H72" i="28"/>
  <c r="H71" i="28"/>
  <c r="H73" i="26"/>
  <c r="H70" i="26"/>
  <c r="H69" i="26"/>
  <c r="H68" i="26"/>
  <c r="H67" i="26"/>
  <c r="H66" i="26"/>
  <c r="H65" i="26"/>
  <c r="H64" i="26"/>
  <c r="H53" i="30"/>
  <c r="H54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4" i="30"/>
  <c r="I4" i="30"/>
  <c r="J4" i="30"/>
  <c r="H5" i="30"/>
  <c r="I5" i="30"/>
  <c r="J5" i="30"/>
  <c r="H6" i="30"/>
  <c r="I6" i="30"/>
  <c r="J6" i="30"/>
  <c r="H7" i="30"/>
  <c r="I7" i="30"/>
  <c r="J7" i="30"/>
  <c r="H8" i="30"/>
  <c r="I8" i="30"/>
  <c r="J8" i="30"/>
  <c r="H9" i="30"/>
  <c r="I9" i="30"/>
  <c r="J9" i="30"/>
  <c r="H10" i="30"/>
  <c r="I10" i="30"/>
  <c r="J10" i="30"/>
  <c r="H11" i="30"/>
  <c r="I11" i="30"/>
  <c r="J11" i="30"/>
  <c r="H12" i="30"/>
  <c r="I12" i="30"/>
  <c r="J12" i="30"/>
  <c r="H13" i="30"/>
  <c r="I13" i="30"/>
  <c r="J13" i="30"/>
  <c r="H14" i="30"/>
  <c r="I14" i="30"/>
  <c r="J14" i="30"/>
  <c r="H15" i="30"/>
  <c r="I15" i="30"/>
  <c r="J15" i="30"/>
  <c r="H16" i="30"/>
  <c r="I16" i="30"/>
  <c r="J16" i="30"/>
  <c r="H17" i="30"/>
  <c r="I17" i="30"/>
  <c r="J17" i="30"/>
  <c r="H18" i="30"/>
  <c r="I18" i="30"/>
  <c r="J18" i="30"/>
  <c r="H19" i="30"/>
  <c r="I19" i="30"/>
  <c r="J19" i="30"/>
  <c r="H20" i="30"/>
  <c r="I20" i="30"/>
  <c r="J20" i="30"/>
  <c r="H68" i="28"/>
  <c r="H69" i="28"/>
  <c r="H70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1" i="26"/>
  <c r="H62" i="26"/>
  <c r="H63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C25" i="30"/>
  <c r="C28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I4" i="26"/>
  <c r="J4" i="26"/>
  <c r="H4" i="26"/>
  <c r="C25" i="26"/>
  <c r="T4" i="8"/>
  <c r="T20" i="8"/>
  <c r="B4" i="23"/>
  <c r="P20" i="8"/>
  <c r="P4" i="8"/>
  <c r="B3" i="23"/>
  <c r="L41" i="8"/>
  <c r="L25" i="8"/>
  <c r="B6" i="23"/>
  <c r="L20" i="8"/>
  <c r="L4" i="8"/>
  <c r="B5" i="23"/>
  <c r="B12" i="23"/>
  <c r="C24" i="26"/>
  <c r="K4" i="26"/>
  <c r="L4" i="26"/>
  <c r="M4" i="26"/>
  <c r="P4" i="26"/>
  <c r="R4" i="26"/>
  <c r="E5" i="31"/>
  <c r="C24" i="30"/>
  <c r="K4" i="30"/>
  <c r="L4" i="30"/>
  <c r="M4" i="30"/>
  <c r="P4" i="30"/>
  <c r="R4" i="30"/>
  <c r="L5" i="31"/>
  <c r="C27" i="28"/>
  <c r="K4" i="28"/>
  <c r="L4" i="28"/>
  <c r="M4" i="28"/>
  <c r="P4" i="28"/>
  <c r="R4" i="28"/>
  <c r="E26" i="31"/>
  <c r="O5" i="31"/>
  <c r="P5" i="31"/>
  <c r="K5" i="30"/>
  <c r="L5" i="30"/>
  <c r="M5" i="30"/>
  <c r="O5" i="30"/>
  <c r="S5" i="30"/>
  <c r="M6" i="31"/>
  <c r="K6" i="30"/>
  <c r="L6" i="30"/>
  <c r="M6" i="30"/>
  <c r="O6" i="30"/>
  <c r="S6" i="30"/>
  <c r="M7" i="31"/>
  <c r="K7" i="30"/>
  <c r="L7" i="30"/>
  <c r="M7" i="30"/>
  <c r="O7" i="30"/>
  <c r="S7" i="30"/>
  <c r="M8" i="31"/>
  <c r="K8" i="30"/>
  <c r="L8" i="30"/>
  <c r="M8" i="30"/>
  <c r="O8" i="30"/>
  <c r="S8" i="30"/>
  <c r="M9" i="31"/>
  <c r="K9" i="30"/>
  <c r="L9" i="30"/>
  <c r="M9" i="30"/>
  <c r="O9" i="30"/>
  <c r="S9" i="30"/>
  <c r="M10" i="31"/>
  <c r="B25" i="30"/>
  <c r="B24" i="30"/>
  <c r="K10" i="30"/>
  <c r="L10" i="30"/>
  <c r="M10" i="30"/>
  <c r="O10" i="30"/>
  <c r="S10" i="30"/>
  <c r="M11" i="31"/>
  <c r="K11" i="30"/>
  <c r="L11" i="30"/>
  <c r="M11" i="30"/>
  <c r="O11" i="30"/>
  <c r="S11" i="30"/>
  <c r="M12" i="31"/>
  <c r="K12" i="30"/>
  <c r="L12" i="30"/>
  <c r="M12" i="30"/>
  <c r="O12" i="30"/>
  <c r="S12" i="30"/>
  <c r="M13" i="31"/>
  <c r="K13" i="30"/>
  <c r="L13" i="30"/>
  <c r="M13" i="30"/>
  <c r="O13" i="30"/>
  <c r="S13" i="30"/>
  <c r="M14" i="31"/>
  <c r="K14" i="30"/>
  <c r="L14" i="30"/>
  <c r="M14" i="30"/>
  <c r="O14" i="30"/>
  <c r="S14" i="30"/>
  <c r="M15" i="31"/>
  <c r="K15" i="30"/>
  <c r="L15" i="30"/>
  <c r="M15" i="30"/>
  <c r="O15" i="30"/>
  <c r="S15" i="30"/>
  <c r="M16" i="31"/>
  <c r="K16" i="30"/>
  <c r="L16" i="30"/>
  <c r="M16" i="30"/>
  <c r="O16" i="30"/>
  <c r="S16" i="30"/>
  <c r="M17" i="31"/>
  <c r="K17" i="30"/>
  <c r="L17" i="30"/>
  <c r="M17" i="30"/>
  <c r="O17" i="30"/>
  <c r="S17" i="30"/>
  <c r="M18" i="31"/>
  <c r="K18" i="30"/>
  <c r="L18" i="30"/>
  <c r="M18" i="30"/>
  <c r="O18" i="30"/>
  <c r="S18" i="30"/>
  <c r="M19" i="31"/>
  <c r="K19" i="30"/>
  <c r="L19" i="30"/>
  <c r="M19" i="30"/>
  <c r="O19" i="30"/>
  <c r="S19" i="30"/>
  <c r="M20" i="31"/>
  <c r="K20" i="30"/>
  <c r="L20" i="30"/>
  <c r="M20" i="30"/>
  <c r="O20" i="30"/>
  <c r="S20" i="30"/>
  <c r="M21" i="31"/>
  <c r="O4" i="30"/>
  <c r="S4" i="30"/>
  <c r="M5" i="31"/>
  <c r="P5" i="30"/>
  <c r="R5" i="30"/>
  <c r="L6" i="31"/>
  <c r="P6" i="30"/>
  <c r="R6" i="30"/>
  <c r="L7" i="31"/>
  <c r="P7" i="30"/>
  <c r="R7" i="30"/>
  <c r="L8" i="31"/>
  <c r="P8" i="30"/>
  <c r="R8" i="30"/>
  <c r="L9" i="31"/>
  <c r="P9" i="30"/>
  <c r="R9" i="30"/>
  <c r="L10" i="31"/>
  <c r="P10" i="30"/>
  <c r="R10" i="30"/>
  <c r="L11" i="31"/>
  <c r="P11" i="30"/>
  <c r="R11" i="30"/>
  <c r="L12" i="31"/>
  <c r="P12" i="30"/>
  <c r="R12" i="30"/>
  <c r="L13" i="31"/>
  <c r="P13" i="30"/>
  <c r="R13" i="30"/>
  <c r="L14" i="31"/>
  <c r="P14" i="30"/>
  <c r="R14" i="30"/>
  <c r="L15" i="31"/>
  <c r="P15" i="30"/>
  <c r="R15" i="30"/>
  <c r="L16" i="31"/>
  <c r="P16" i="30"/>
  <c r="R16" i="30"/>
  <c r="L17" i="31"/>
  <c r="P17" i="30"/>
  <c r="R17" i="30"/>
  <c r="L18" i="31"/>
  <c r="P18" i="30"/>
  <c r="R18" i="30"/>
  <c r="L19" i="31"/>
  <c r="P19" i="30"/>
  <c r="R19" i="30"/>
  <c r="L20" i="31"/>
  <c r="P20" i="30"/>
  <c r="R20" i="30"/>
  <c r="L21" i="31"/>
  <c r="K5" i="28"/>
  <c r="L5" i="28"/>
  <c r="M5" i="28"/>
  <c r="O5" i="28"/>
  <c r="S5" i="28"/>
  <c r="F27" i="31"/>
  <c r="K6" i="28"/>
  <c r="L6" i="28"/>
  <c r="M6" i="28"/>
  <c r="O6" i="28"/>
  <c r="S6" i="28"/>
  <c r="F28" i="31"/>
  <c r="K7" i="28"/>
  <c r="L7" i="28"/>
  <c r="M7" i="28"/>
  <c r="O7" i="28"/>
  <c r="S7" i="28"/>
  <c r="F29" i="31"/>
  <c r="K8" i="28"/>
  <c r="L8" i="28"/>
  <c r="M8" i="28"/>
  <c r="O8" i="28"/>
  <c r="S8" i="28"/>
  <c r="F30" i="31"/>
  <c r="K9" i="28"/>
  <c r="L9" i="28"/>
  <c r="M9" i="28"/>
  <c r="O9" i="28"/>
  <c r="S9" i="28"/>
  <c r="F31" i="31"/>
  <c r="B28" i="28"/>
  <c r="B27" i="28"/>
  <c r="K10" i="28"/>
  <c r="L10" i="28"/>
  <c r="M10" i="28"/>
  <c r="O10" i="28"/>
  <c r="S10" i="28"/>
  <c r="F32" i="31"/>
  <c r="K11" i="28"/>
  <c r="L11" i="28"/>
  <c r="M11" i="28"/>
  <c r="O11" i="28"/>
  <c r="S11" i="28"/>
  <c r="F33" i="31"/>
  <c r="K12" i="28"/>
  <c r="L12" i="28"/>
  <c r="M12" i="28"/>
  <c r="O12" i="28"/>
  <c r="S12" i="28"/>
  <c r="F34" i="31"/>
  <c r="K13" i="28"/>
  <c r="L13" i="28"/>
  <c r="M13" i="28"/>
  <c r="O13" i="28"/>
  <c r="S13" i="28"/>
  <c r="F35" i="31"/>
  <c r="K14" i="28"/>
  <c r="L14" i="28"/>
  <c r="M14" i="28"/>
  <c r="O14" i="28"/>
  <c r="S14" i="28"/>
  <c r="F36" i="31"/>
  <c r="K15" i="28"/>
  <c r="L15" i="28"/>
  <c r="M15" i="28"/>
  <c r="O15" i="28"/>
  <c r="S15" i="28"/>
  <c r="F37" i="31"/>
  <c r="K16" i="28"/>
  <c r="L16" i="28"/>
  <c r="M16" i="28"/>
  <c r="O16" i="28"/>
  <c r="S16" i="28"/>
  <c r="F38" i="31"/>
  <c r="K17" i="28"/>
  <c r="L17" i="28"/>
  <c r="M17" i="28"/>
  <c r="O17" i="28"/>
  <c r="S17" i="28"/>
  <c r="F39" i="31"/>
  <c r="K18" i="28"/>
  <c r="L18" i="28"/>
  <c r="M18" i="28"/>
  <c r="O18" i="28"/>
  <c r="S18" i="28"/>
  <c r="F40" i="31"/>
  <c r="K19" i="28"/>
  <c r="L19" i="28"/>
  <c r="M19" i="28"/>
  <c r="O19" i="28"/>
  <c r="S19" i="28"/>
  <c r="F41" i="31"/>
  <c r="K20" i="28"/>
  <c r="L20" i="28"/>
  <c r="M20" i="28"/>
  <c r="O20" i="28"/>
  <c r="S20" i="28"/>
  <c r="F42" i="31"/>
  <c r="O4" i="28"/>
  <c r="S4" i="28"/>
  <c r="F26" i="31"/>
  <c r="P5" i="28"/>
  <c r="R5" i="28"/>
  <c r="E27" i="31"/>
  <c r="P6" i="28"/>
  <c r="R6" i="28"/>
  <c r="E28" i="31"/>
  <c r="P7" i="28"/>
  <c r="R7" i="28"/>
  <c r="E29" i="31"/>
  <c r="P8" i="28"/>
  <c r="R8" i="28"/>
  <c r="E30" i="31"/>
  <c r="P9" i="28"/>
  <c r="R9" i="28"/>
  <c r="E31" i="31"/>
  <c r="P10" i="28"/>
  <c r="R10" i="28"/>
  <c r="E32" i="31"/>
  <c r="P11" i="28"/>
  <c r="R11" i="28"/>
  <c r="E33" i="31"/>
  <c r="P12" i="28"/>
  <c r="R12" i="28"/>
  <c r="E34" i="31"/>
  <c r="P13" i="28"/>
  <c r="R13" i="28"/>
  <c r="E35" i="31"/>
  <c r="P14" i="28"/>
  <c r="R14" i="28"/>
  <c r="E36" i="31"/>
  <c r="P15" i="28"/>
  <c r="R15" i="28"/>
  <c r="E37" i="31"/>
  <c r="P16" i="28"/>
  <c r="R16" i="28"/>
  <c r="E38" i="31"/>
  <c r="P17" i="28"/>
  <c r="R17" i="28"/>
  <c r="E39" i="31"/>
  <c r="P18" i="28"/>
  <c r="R18" i="28"/>
  <c r="E40" i="31"/>
  <c r="P19" i="28"/>
  <c r="R19" i="28"/>
  <c r="E41" i="31"/>
  <c r="P20" i="28"/>
  <c r="R20" i="28"/>
  <c r="E42" i="31"/>
  <c r="K5" i="26"/>
  <c r="L5" i="26"/>
  <c r="M5" i="26"/>
  <c r="O5" i="26"/>
  <c r="S5" i="26"/>
  <c r="F6" i="31"/>
  <c r="K6" i="26"/>
  <c r="L6" i="26"/>
  <c r="M6" i="26"/>
  <c r="O6" i="26"/>
  <c r="S6" i="26"/>
  <c r="F7" i="31"/>
  <c r="K7" i="26"/>
  <c r="L7" i="26"/>
  <c r="M7" i="26"/>
  <c r="O7" i="26"/>
  <c r="S7" i="26"/>
  <c r="F8" i="31"/>
  <c r="K8" i="26"/>
  <c r="L8" i="26"/>
  <c r="M8" i="26"/>
  <c r="O8" i="26"/>
  <c r="S8" i="26"/>
  <c r="F9" i="31"/>
  <c r="K9" i="26"/>
  <c r="L9" i="26"/>
  <c r="M9" i="26"/>
  <c r="O9" i="26"/>
  <c r="S9" i="26"/>
  <c r="F10" i="31"/>
  <c r="B25" i="26"/>
  <c r="B24" i="26"/>
  <c r="K10" i="26"/>
  <c r="L10" i="26"/>
  <c r="M10" i="26"/>
  <c r="O10" i="26"/>
  <c r="S10" i="26"/>
  <c r="F11" i="31"/>
  <c r="K11" i="26"/>
  <c r="L11" i="26"/>
  <c r="M11" i="26"/>
  <c r="O11" i="26"/>
  <c r="S11" i="26"/>
  <c r="F12" i="31"/>
  <c r="K12" i="26"/>
  <c r="L12" i="26"/>
  <c r="M12" i="26"/>
  <c r="O12" i="26"/>
  <c r="S12" i="26"/>
  <c r="F13" i="31"/>
  <c r="K13" i="26"/>
  <c r="L13" i="26"/>
  <c r="M13" i="26"/>
  <c r="O13" i="26"/>
  <c r="S13" i="26"/>
  <c r="F14" i="31"/>
  <c r="K14" i="26"/>
  <c r="L14" i="26"/>
  <c r="M14" i="26"/>
  <c r="O14" i="26"/>
  <c r="S14" i="26"/>
  <c r="F15" i="31"/>
  <c r="K15" i="26"/>
  <c r="L15" i="26"/>
  <c r="M15" i="26"/>
  <c r="O15" i="26"/>
  <c r="S15" i="26"/>
  <c r="F16" i="31"/>
  <c r="K16" i="26"/>
  <c r="L16" i="26"/>
  <c r="M16" i="26"/>
  <c r="O16" i="26"/>
  <c r="S16" i="26"/>
  <c r="F17" i="31"/>
  <c r="K17" i="26"/>
  <c r="L17" i="26"/>
  <c r="M17" i="26"/>
  <c r="O17" i="26"/>
  <c r="S17" i="26"/>
  <c r="F18" i="31"/>
  <c r="K18" i="26"/>
  <c r="L18" i="26"/>
  <c r="M18" i="26"/>
  <c r="O18" i="26"/>
  <c r="S18" i="26"/>
  <c r="F19" i="31"/>
  <c r="K19" i="26"/>
  <c r="L19" i="26"/>
  <c r="M19" i="26"/>
  <c r="O19" i="26"/>
  <c r="S19" i="26"/>
  <c r="F20" i="31"/>
  <c r="K20" i="26"/>
  <c r="L20" i="26"/>
  <c r="M20" i="26"/>
  <c r="O20" i="26"/>
  <c r="S20" i="26"/>
  <c r="F21" i="31"/>
  <c r="O4" i="26"/>
  <c r="S4" i="26"/>
  <c r="F5" i="31"/>
  <c r="P5" i="26"/>
  <c r="R5" i="26"/>
  <c r="E6" i="31"/>
  <c r="P6" i="26"/>
  <c r="R6" i="26"/>
  <c r="E7" i="31"/>
  <c r="P7" i="26"/>
  <c r="R7" i="26"/>
  <c r="E8" i="31"/>
  <c r="P8" i="26"/>
  <c r="R8" i="26"/>
  <c r="E9" i="31"/>
  <c r="P9" i="26"/>
  <c r="R9" i="26"/>
  <c r="E10" i="31"/>
  <c r="P10" i="26"/>
  <c r="R10" i="26"/>
  <c r="E11" i="31"/>
  <c r="P11" i="26"/>
  <c r="R11" i="26"/>
  <c r="E12" i="31"/>
  <c r="P12" i="26"/>
  <c r="R12" i="26"/>
  <c r="E13" i="31"/>
  <c r="P13" i="26"/>
  <c r="R13" i="26"/>
  <c r="E14" i="31"/>
  <c r="P14" i="26"/>
  <c r="R14" i="26"/>
  <c r="E15" i="31"/>
  <c r="P15" i="26"/>
  <c r="R15" i="26"/>
  <c r="E16" i="31"/>
  <c r="P16" i="26"/>
  <c r="R16" i="26"/>
  <c r="E17" i="31"/>
  <c r="P17" i="26"/>
  <c r="R17" i="26"/>
  <c r="E18" i="31"/>
  <c r="P18" i="26"/>
  <c r="R18" i="26"/>
  <c r="E19" i="31"/>
  <c r="P19" i="26"/>
  <c r="R19" i="26"/>
  <c r="E20" i="31"/>
  <c r="P20" i="26"/>
  <c r="R20" i="26"/>
  <c r="E21" i="31"/>
  <c r="F23" i="2"/>
  <c r="F3" i="2"/>
  <c r="I3" i="2"/>
  <c r="J3" i="2"/>
  <c r="K3" i="2"/>
  <c r="F4" i="2"/>
  <c r="I5" i="2"/>
  <c r="I4" i="2"/>
  <c r="J4" i="2"/>
  <c r="K4" i="2"/>
  <c r="F5" i="2"/>
  <c r="I6" i="2"/>
  <c r="J5" i="2"/>
  <c r="K5" i="2"/>
  <c r="F6" i="2"/>
  <c r="I7" i="2"/>
  <c r="J6" i="2"/>
  <c r="K6" i="2"/>
  <c r="F7" i="2"/>
  <c r="I8" i="2"/>
  <c r="J7" i="2"/>
  <c r="K7" i="2"/>
  <c r="F8" i="2"/>
  <c r="I9" i="2"/>
  <c r="J8" i="2"/>
  <c r="K8" i="2"/>
  <c r="F9" i="2"/>
  <c r="I10" i="2"/>
  <c r="J9" i="2"/>
  <c r="K9" i="2"/>
  <c r="F10" i="2"/>
  <c r="I11" i="2"/>
  <c r="J10" i="2"/>
  <c r="K10" i="2"/>
  <c r="F11" i="2"/>
  <c r="I12" i="2"/>
  <c r="J11" i="2"/>
  <c r="K11" i="2"/>
  <c r="F12" i="2"/>
  <c r="I13" i="2"/>
  <c r="J12" i="2"/>
  <c r="K12" i="2"/>
  <c r="F13" i="2"/>
  <c r="I14" i="2"/>
  <c r="J13" i="2"/>
  <c r="K13" i="2"/>
  <c r="F14" i="2"/>
  <c r="I15" i="2"/>
  <c r="J14" i="2"/>
  <c r="K14" i="2"/>
  <c r="F15" i="2"/>
  <c r="I16" i="2"/>
  <c r="J15" i="2"/>
  <c r="K15" i="2"/>
  <c r="F16" i="2"/>
  <c r="I17" i="2"/>
  <c r="J16" i="2"/>
  <c r="K16" i="2"/>
  <c r="F17" i="2"/>
  <c r="I18" i="2"/>
  <c r="J17" i="2"/>
  <c r="K17" i="2"/>
  <c r="F18" i="2"/>
  <c r="I19" i="2"/>
  <c r="J18" i="2"/>
  <c r="K18" i="2"/>
  <c r="F19" i="2"/>
  <c r="I20" i="2"/>
  <c r="J19" i="2"/>
  <c r="K19" i="2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4" i="30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31"/>
  <c r="O21" i="31"/>
  <c r="P21" i="31"/>
  <c r="Q20" i="31"/>
  <c r="O20" i="31"/>
  <c r="P20" i="31"/>
  <c r="Q19" i="31"/>
  <c r="O19" i="31"/>
  <c r="P19" i="31"/>
  <c r="Q18" i="31"/>
  <c r="O18" i="31"/>
  <c r="P18" i="31"/>
  <c r="Q17" i="31"/>
  <c r="O17" i="31"/>
  <c r="P17" i="31"/>
  <c r="Q16" i="31"/>
  <c r="O16" i="31"/>
  <c r="P16" i="31"/>
  <c r="Q15" i="31"/>
  <c r="O15" i="31"/>
  <c r="P15" i="31"/>
  <c r="Q14" i="31"/>
  <c r="O14" i="31"/>
  <c r="P14" i="31"/>
  <c r="Q13" i="31"/>
  <c r="O13" i="31"/>
  <c r="P13" i="31"/>
  <c r="Q12" i="31"/>
  <c r="O12" i="31"/>
  <c r="P12" i="31"/>
  <c r="Q11" i="31"/>
  <c r="O11" i="31"/>
  <c r="P11" i="31"/>
  <c r="Q10" i="31"/>
  <c r="O10" i="31"/>
  <c r="P10" i="31"/>
  <c r="Q9" i="31"/>
  <c r="O9" i="31"/>
  <c r="P9" i="31"/>
  <c r="Q8" i="31"/>
  <c r="O8" i="31"/>
  <c r="P8" i="31"/>
  <c r="Q7" i="31"/>
  <c r="O7" i="31"/>
  <c r="P7" i="31"/>
  <c r="Q6" i="31"/>
  <c r="O6" i="31"/>
  <c r="P6" i="31"/>
  <c r="Q5" i="31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D48" i="29"/>
  <c r="F40" i="29"/>
  <c r="G38" i="29"/>
  <c r="H38" i="29"/>
  <c r="I38" i="29"/>
  <c r="J38" i="29"/>
  <c r="K38" i="29"/>
  <c r="L38" i="29"/>
  <c r="F38" i="29"/>
  <c r="G37" i="29"/>
  <c r="H37" i="29"/>
  <c r="I37" i="29"/>
  <c r="J37" i="29"/>
  <c r="K37" i="29"/>
  <c r="L37" i="29"/>
  <c r="F37" i="29"/>
  <c r="G36" i="29"/>
  <c r="H36" i="29"/>
  <c r="I36" i="29"/>
  <c r="J36" i="29"/>
  <c r="K36" i="29"/>
  <c r="L36" i="29"/>
  <c r="F36" i="29"/>
  <c r="G35" i="29"/>
  <c r="H35" i="29"/>
  <c r="I35" i="29"/>
  <c r="J35" i="29"/>
  <c r="K35" i="29"/>
  <c r="L35" i="29"/>
  <c r="F35" i="29"/>
  <c r="G34" i="29"/>
  <c r="H34" i="29"/>
  <c r="I34" i="29"/>
  <c r="J34" i="29"/>
  <c r="K34" i="29"/>
  <c r="L34" i="29"/>
  <c r="F34" i="29"/>
  <c r="G33" i="29"/>
  <c r="H33" i="29"/>
  <c r="I33" i="29"/>
  <c r="J33" i="29"/>
  <c r="K33" i="29"/>
  <c r="L33" i="29"/>
  <c r="F33" i="29"/>
  <c r="G32" i="29"/>
  <c r="H32" i="29"/>
  <c r="I32" i="29"/>
  <c r="J32" i="29"/>
  <c r="K32" i="29"/>
  <c r="L32" i="29"/>
  <c r="F32" i="29"/>
  <c r="G31" i="29"/>
  <c r="H31" i="29"/>
  <c r="I31" i="29"/>
  <c r="J31" i="29"/>
  <c r="K31" i="29"/>
  <c r="L31" i="29"/>
  <c r="F31" i="29"/>
  <c r="G30" i="29"/>
  <c r="H30" i="29"/>
  <c r="I30" i="29"/>
  <c r="J30" i="29"/>
  <c r="K30" i="29"/>
  <c r="L30" i="29"/>
  <c r="F30" i="29"/>
  <c r="G29" i="29"/>
  <c r="H29" i="29"/>
  <c r="I29" i="29"/>
  <c r="J29" i="29"/>
  <c r="K29" i="29"/>
  <c r="L29" i="29"/>
  <c r="F29" i="29"/>
  <c r="G28" i="29"/>
  <c r="H28" i="29"/>
  <c r="I28" i="29"/>
  <c r="J28" i="29"/>
  <c r="K28" i="29"/>
  <c r="L28" i="29"/>
  <c r="F28" i="29"/>
  <c r="G27" i="29"/>
  <c r="H27" i="29"/>
  <c r="I27" i="29"/>
  <c r="J27" i="29"/>
  <c r="K27" i="29"/>
  <c r="L27" i="29"/>
  <c r="F27" i="29"/>
  <c r="G26" i="29"/>
  <c r="H26" i="29"/>
  <c r="I26" i="29"/>
  <c r="J26" i="29"/>
  <c r="K26" i="29"/>
  <c r="L26" i="29"/>
  <c r="F26" i="29"/>
  <c r="G25" i="29"/>
  <c r="H25" i="29"/>
  <c r="I25" i="29"/>
  <c r="J25" i="29"/>
  <c r="K25" i="29"/>
  <c r="L25" i="29"/>
  <c r="F25" i="29"/>
  <c r="G24" i="29"/>
  <c r="H24" i="29"/>
  <c r="I24" i="29"/>
  <c r="J24" i="29"/>
  <c r="K24" i="29"/>
  <c r="L24" i="29"/>
  <c r="F24" i="29"/>
  <c r="G23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K4" i="29"/>
  <c r="G4" i="29"/>
  <c r="P4" i="29"/>
  <c r="R4" i="29"/>
  <c r="Q4" i="29"/>
  <c r="N4" i="28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L8" i="27"/>
  <c r="O8" i="27"/>
  <c r="H8" i="27"/>
  <c r="K8" i="27"/>
  <c r="D8" i="27"/>
  <c r="G8" i="27"/>
  <c r="P8" i="27"/>
  <c r="R8" i="27"/>
  <c r="Q8" i="27"/>
  <c r="L7" i="27"/>
  <c r="O7" i="27"/>
  <c r="H7" i="27"/>
  <c r="K7" i="27"/>
  <c r="D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H4" i="8"/>
  <c r="H20" i="8"/>
  <c r="B2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P4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<sst xmlns="http://schemas.openxmlformats.org/spreadsheetml/2006/main" count="925" uniqueCount="368">
  <si>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</si>
  <si>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</si>
  <si>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</si>
  <si>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</si>
  <si>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</si>
  <si>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</si>
  <si>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</si>
  <si>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</si>
  <si>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</si>
  <si>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</si>
  <si>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</si>
  <si>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</si>
  <si>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</si>
  <si>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</si>
  <si>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</si>
  <si>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</si>
  <si>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</si>
  <si>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</si>
  <si>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</si>
  <si>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</si>
  <si>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</si>
  <si>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</si>
  <si>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</si>
  <si>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</si>
  <si>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</si>
  <si>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</si>
  <si>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</si>
  <si>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</si>
  <si>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</si>
  <si>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</si>
  <si>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</si>
  <si>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</si>
  <si>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</si>
  <si>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</si>
  <si>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</si>
  <si>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</si>
  <si>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</si>
  <si>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</si>
  <si>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</si>
  <si>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</si>
  <si>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</si>
  <si>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</si>
  <si>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</si>
  <si>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</si>
  <si>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</si>
  <si>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</si>
  <si>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</si>
  <si>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</si>
  <si>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</si>
  <si>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</si>
  <si>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</si>
  <si>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</si>
  <si>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</si>
  <si>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</si>
  <si>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</si>
  <si>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</si>
  <si>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</si>
  <si>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</si>
  <si>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</si>
  <si>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</si>
  <si>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</si>
  <si>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</si>
  <si>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</si>
  <si>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</si>
  <si>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</si>
  <si>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</si>
  <si>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</si>
  <si>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</si>
  <si>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</si>
  <si>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</si>
  <si>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</si>
  <si>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</si>
  <si>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</si>
  <si>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</si>
  <si>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</si>
  <si>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</si>
  <si>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</si>
  <si>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</si>
  <si>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</si>
  <si>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</si>
  <si>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</si>
  <si>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</si>
  <si>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</si>
  <si>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</si>
  <si>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</si>
  <si>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</si>
  <si>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</si>
  <si>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</si>
  <si>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</si>
  <si>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</si>
  <si>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</si>
  <si>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</si>
  <si>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</si>
  <si>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</si>
  <si>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</si>
  <si>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</si>
  <si>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</si>
  <si>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</si>
  <si>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</si>
  <si>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</si>
  <si>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</si>
  <si>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</si>
  <si>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</si>
  <si>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</si>
  <si>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</si>
  <si>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</si>
  <si>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</si>
  <si>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</si>
  <si>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</si>
  <si>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</si>
  <si>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</si>
  <si>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</si>
  <si>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</si>
  <si>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</si>
  <si>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</si>
  <si>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</si>
  <si>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</si>
  <si>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</si>
  <si>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</si>
  <si>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</si>
  <si>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</si>
  <si>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</si>
  <si>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</si>
  <si>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</si>
  <si>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</si>
  <si>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</si>
  <si>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</si>
  <si>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</si>
  <si>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</si>
  <si>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</si>
  <si>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</si>
  <si>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</si>
  <si>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</si>
  <si>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</si>
  <si>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</si>
  <si>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</si>
  <si>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</si>
  <si>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</si>
  <si>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</si>
  <si>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</si>
  <si>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</si>
  <si>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</si>
  <si>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</si>
  <si>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</si>
  <si>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</si>
  <si>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</si>
  <si>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</si>
  <si>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</si>
  <si>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</si>
  <si>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</si>
  <si>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</si>
  <si>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</si>
  <si>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</si>
  <si>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</si>
  <si>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</si>
  <si>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</si>
  <si>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</si>
  <si>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</si>
  <si>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</si>
  <si>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</si>
  <si>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</si>
  <si>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</si>
  <si>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</si>
  <si>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</si>
  <si>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</si>
  <si>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</si>
  <si>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</si>
  <si>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</si>
  <si>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</si>
  <si>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</si>
  <si>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</si>
  <si>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</si>
  <si>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</si>
  <si>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</si>
  <si>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</si>
  <si>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</si>
  <si>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</si>
  <si>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</si>
  <si>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</si>
  <si>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</si>
  <si>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</si>
  <si>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</si>
  <si>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</si>
  <si>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</si>
  <si>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</si>
  <si>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</si>
  <si>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</si>
  <si>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</si>
  <si>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</si>
  <si>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</si>
  <si>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</si>
  <si>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</si>
  <si>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</si>
  <si>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</si>
  <si>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</si>
  <si>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</si>
  <si>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</si>
  <si>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</si>
  <si>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</si>
  <si>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</si>
  <si>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</si>
  <si>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</si>
  <si>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</si>
  <si>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</si>
  <si>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</si>
  <si>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</si>
  <si>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</si>
  <si>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</si>
  <si>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</si>
  <si>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</si>
  <si>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</si>
  <si>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</si>
  <si>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</si>
  <si>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</si>
  <si>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</si>
  <si>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</si>
  <si>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</si>
  <si>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</si>
  <si>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</si>
  <si>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</si>
  <si>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</si>
  <si>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</si>
  <si>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</si>
  <si>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</si>
  <si>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</si>
  <si>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</si>
  <si>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</si>
  <si>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</si>
  <si>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</si>
  <si>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</si>
  <si>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</si>
  <si>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</si>
  <si>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</si>
  <si>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</si>
  <si>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</si>
  <si>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</si>
  <si>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</si>
  <si>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</si>
  <si>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</si>
  <si>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</si>
  <si>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</si>
  <si>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</si>
  <si>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</si>
  <si>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</si>
  <si>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</si>
  <si>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</si>
  <si>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</si>
  <si>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</si>
  <si>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</si>
  <si>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</si>
  <si>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</si>
  <si>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</si>
  <si>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</si>
  <si>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</si>
  <si>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</si>
  <si>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plate 20150908</t>
  </si>
  <si>
    <t>plate 20150910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</si>
  <si>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</si>
  <si>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</si>
  <si>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</si>
  <si>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</si>
  <si>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</si>
  <si>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</si>
  <si>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FP10 epp</t>
  </si>
  <si>
    <t>Ct Threshold</t>
  </si>
  <si>
    <t>baseline</t>
  </si>
  <si>
    <t>F. prausnitzii</t>
  </si>
  <si>
    <t>STDV  (cells/ml medium)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</si>
  <si>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</si>
  <si>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</si>
  <si>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</si>
  <si>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</si>
  <si>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</si>
  <si>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</si>
  <si>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</si>
  <si>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</si>
  <si>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</si>
  <si>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</si>
  <si>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</si>
  <si>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</si>
  <si>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</si>
  <si>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</si>
  <si>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</si>
  <si>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</si>
  <si>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</si>
  <si>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</si>
  <si>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</si>
  <si>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</si>
  <si>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</si>
  <si>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</si>
  <si>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</si>
  <si>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</si>
  <si>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</si>
  <si>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</si>
  <si>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</si>
  <si>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</si>
  <si>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</si>
  <si>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</si>
  <si>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</si>
  <si>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 xml:space="preserve">Total cell count </t>
  </si>
  <si>
    <t>plate 20150911</t>
  </si>
  <si>
    <t>IPC value epp 5 plate 20150911</t>
  </si>
  <si>
    <t>IPC value  epp 7 plate  20150914</t>
  </si>
  <si>
    <t>IPC value  epp 6 plate  20150910</t>
  </si>
  <si>
    <t>IPC value epp 5</t>
  </si>
  <si>
    <t>plate 20150922</t>
  </si>
  <si>
    <t>IPC value epp 5 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</si>
  <si>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</si>
  <si>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</si>
  <si>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</si>
  <si>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</si>
  <si>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</si>
  <si>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</si>
  <si>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</si>
  <si>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</si>
  <si>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</si>
  <si>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</si>
  <si>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</si>
  <si>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</si>
  <si>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</si>
  <si>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</si>
  <si>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</si>
  <si>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</si>
  <si>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</si>
  <si>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</si>
  <si>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</si>
  <si>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</si>
  <si>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epp 3</t>
  </si>
  <si>
    <t>plate 20151204</t>
  </si>
  <si>
    <t>plate 20160126</t>
  </si>
  <si>
    <t>IPC value epp 2</t>
  </si>
  <si>
    <t>plate 20160208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</si>
  <si>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</si>
  <si>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</si>
  <si>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</si>
  <si>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</si>
  <si>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</si>
  <si>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</si>
  <si>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IPC value epp 2 plate 20151204</t>
  </si>
  <si>
    <t>IPC value epp 1 plate 20160119</t>
  </si>
  <si>
    <t>IPC value epp 1 plate 20160208</t>
  </si>
  <si>
    <t>IPC value epp 1 plate 20160222</t>
  </si>
  <si>
    <t>IPC value  epp 3 plate  20160222</t>
  </si>
  <si>
    <t>IPC value epp 1</t>
  </si>
  <si>
    <t>plate 20160226</t>
  </si>
  <si>
    <t>plate 20160223</t>
  </si>
  <si>
    <t>IPC value epp 1 plate 20160223</t>
  </si>
  <si>
    <t>IPC value epp 9 plate 20160223</t>
  </si>
  <si>
    <t>IPC value epp 9 plate 20160225</t>
  </si>
  <si>
    <t>IPC value  epp 2 plate  20160223</t>
  </si>
  <si>
    <t>IPC value  epp 2 plate  20160224</t>
  </si>
  <si>
    <t>plate 20160308</t>
  </si>
  <si>
    <t>plate 20160310</t>
  </si>
  <si>
    <t>plate 20160311</t>
  </si>
  <si>
    <t>plate 20160318</t>
  </si>
  <si>
    <t>plate 20160405</t>
  </si>
  <si>
    <t>IPC value epp 9 plate 20160308</t>
  </si>
  <si>
    <t>IPC value epp 9 plate 20160310</t>
  </si>
  <si>
    <t>IPC value epp 8 plate 20160325</t>
  </si>
  <si>
    <t>IPC value epp 8 plate 20160405</t>
  </si>
  <si>
    <t>IPC value  epp 2 plate  20160308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</si>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</sst>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6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18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0" borderId="0" xfId="365"/>
    <xf numFmtId="0" fontId="28" fillId="2" borderId="16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28" fillId="0" borderId="3" xfId="365" applyFill="1" applyBorder="1" applyAlignment="1">
      <alignment horizontal="center" vertical="center"/>
    </xf>
    <xf numFmtId="0" fontId="28" fillId="0" borderId="16" xfId="365" applyFill="1" applyBorder="1" applyAlignment="1">
      <alignment horizontal="center" vertical="center"/>
    </xf>
    <xf numFmtId="11" fontId="28" fillId="0" borderId="16" xfId="365" applyNumberFormat="1" applyFill="1" applyBorder="1" applyAlignment="1">
      <alignment horizontal="center" vertical="center"/>
    </xf>
    <xf numFmtId="0" fontId="0" fillId="0" borderId="16" xfId="365" applyFont="1" applyBorder="1" applyAlignment="1">
      <alignment horizontal="center" vertical="center"/>
    </xf>
    <xf numFmtId="0" fontId="28" fillId="0" borderId="16" xfId="365" applyBorder="1" applyAlignment="1">
      <alignment horizontal="center" vertical="center"/>
    </xf>
    <xf numFmtId="11" fontId="28" fillId="0" borderId="16" xfId="365" applyNumberFormat="1" applyBorder="1" applyAlignment="1">
      <alignment horizontal="center" vertical="center"/>
    </xf>
    <xf numFmtId="2" fontId="28" fillId="0" borderId="16" xfId="365" applyNumberFormat="1" applyBorder="1" applyAlignment="1">
      <alignment horizontal="center" vertical="center"/>
    </xf>
    <xf numFmtId="0" fontId="28" fillId="2" borderId="21" xfId="365" applyFill="1" applyBorder="1" applyAlignment="1">
      <alignment wrapText="1"/>
    </xf>
    <xf numFmtId="0" fontId="0" fillId="2" borderId="21" xfId="365" applyFont="1" applyFill="1" applyBorder="1" applyAlignment="1">
      <alignment wrapText="1"/>
    </xf>
    <xf numFmtId="0" fontId="0" fillId="2" borderId="21" xfId="365" applyFont="1" applyFill="1" applyBorder="1" applyAlignment="1">
      <alignment horizontal="center" vertical="center" wrapText="1"/>
    </xf>
    <xf numFmtId="0" fontId="0" fillId="0" borderId="0" xfId="365" applyFont="1"/>
    <xf numFmtId="165" fontId="28" fillId="0" borderId="16" xfId="365" applyNumberFormat="1" applyBorder="1" applyAlignment="1">
      <alignment horizontal="center" vertical="center"/>
    </xf>
    <xf numFmtId="0" fontId="28" fillId="0" borderId="16" xfId="365" applyBorder="1"/>
    <xf numFmtId="0" fontId="28" fillId="0" borderId="0" xfId="365" applyFont="1"/>
    <xf numFmtId="0" fontId="28" fillId="2" borderId="16" xfId="365" applyFill="1" applyBorder="1"/>
    <xf numFmtId="0" fontId="29" fillId="12" borderId="0" xfId="365" applyFont="1" applyFill="1"/>
    <xf numFmtId="165" fontId="28" fillId="0" borderId="16" xfId="365" applyNumberFormat="1" applyBorder="1"/>
    <xf numFmtId="2" fontId="28" fillId="0" borderId="16" xfId="365" applyNumberFormat="1" applyBorder="1"/>
    <xf numFmtId="1" fontId="28" fillId="0" borderId="16" xfId="365" applyNumberFormat="1" applyBorder="1"/>
    <xf numFmtId="165" fontId="0" fillId="0" borderId="16" xfId="365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5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65" applyNumberFormat="1"/>
    <xf numFmtId="0" fontId="30" fillId="0" borderId="16" xfId="365" applyFont="1" applyBorder="1"/>
    <xf numFmtId="165" fontId="28" fillId="0" borderId="0" xfId="365" applyNumberFormat="1" applyBorder="1" applyAlignment="1">
      <alignment horizontal="center" vertical="center"/>
    </xf>
    <xf numFmtId="165" fontId="28" fillId="0" borderId="0" xfId="365" applyNumberFormat="1" applyBorder="1"/>
    <xf numFmtId="2" fontId="28" fillId="0" borderId="0" xfId="365" applyNumberFormat="1" applyBorder="1"/>
    <xf numFmtId="1" fontId="28" fillId="0" borderId="0" xfId="365" applyNumberFormat="1" applyBorder="1"/>
    <xf numFmtId="0" fontId="0" fillId="0" borderId="0" xfId="365" applyFont="1" applyFill="1" applyBorder="1"/>
    <xf numFmtId="1" fontId="28" fillId="0" borderId="0" xfId="365" applyNumberFormat="1"/>
    <xf numFmtId="0" fontId="31" fillId="2" borderId="0" xfId="365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5" applyNumberFormat="1" applyFill="1" applyBorder="1" applyAlignment="1">
      <alignment horizontal="center" vertical="center"/>
    </xf>
    <xf numFmtId="0" fontId="28" fillId="0" borderId="5" xfId="365" applyNumberFormat="1" applyFill="1" applyBorder="1" applyAlignment="1">
      <alignment horizontal="center" vertical="center"/>
    </xf>
    <xf numFmtId="0" fontId="28" fillId="0" borderId="18" xfId="365" applyNumberFormat="1" applyFill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0" fillId="2" borderId="4" xfId="365" applyFont="1" applyFill="1" applyBorder="1" applyAlignment="1">
      <alignment horizontal="center" vertical="center"/>
    </xf>
    <xf numFmtId="0" fontId="28" fillId="2" borderId="16" xfId="365" applyFill="1" applyBorder="1" applyAlignment="1">
      <alignment horizontal="center" vertical="center"/>
    </xf>
    <xf numFmtId="0" fontId="21" fillId="0" borderId="23" xfId="365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65" applyFont="1" applyBorder="1" applyAlignment="1">
      <alignment horizontal="center"/>
    </xf>
    <xf numFmtId="0" fontId="28" fillId="0" borderId="24" xfId="365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5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65" applyFont="1" applyFill="1"/>
  </cellXfs>
  <cellStyles count="46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Input" xfId="10"/>
    <cellStyle name="Linked Cell" xfId="11"/>
    <cellStyle name="Neutral" xfId="12"/>
    <cellStyle name="Normal" xfId="0" builtinId="0"/>
    <cellStyle name="Normal 2" xfId="36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07B01"/>
      <color rgb="FFCC7B37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09928"/>
        <c:axId val="-2090022280"/>
      </c:scatterChart>
      <c:valAx>
        <c:axId val="-209000992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0022280"/>
        <c:crosses val="autoZero"/>
        <c:crossBetween val="midCat"/>
        <c:majorUnit val="2.0"/>
      </c:valAx>
      <c:valAx>
        <c:axId val="-209002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000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17736"/>
        <c:axId val="-2077149720"/>
      </c:scatterChart>
      <c:valAx>
        <c:axId val="-2077517736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7149720"/>
        <c:crosses val="autoZero"/>
        <c:crossBetween val="midCat"/>
        <c:majorUnit val="2.0"/>
      </c:valAx>
      <c:valAx>
        <c:axId val="-20771497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77517736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66360"/>
        <c:axId val="-2126308392"/>
      </c:scatterChart>
      <c:valAx>
        <c:axId val="-212356636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26308392"/>
        <c:crosses val="autoZero"/>
        <c:crossBetween val="midCat"/>
        <c:majorUnit val="2.0"/>
      </c:valAx>
      <c:valAx>
        <c:axId val="-212630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-212356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3631513274"/>
          <c:y val="0.03872286100220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0.0111222439918649</c:v>
                  </c:pt>
                  <c:pt idx="1">
                    <c:v>0.0231527971556316</c:v>
                  </c:pt>
                  <c:pt idx="2">
                    <c:v>0.0333667319755947</c:v>
                  </c:pt>
                  <c:pt idx="3">
                    <c:v>0.0128428611253918</c:v>
                  </c:pt>
                  <c:pt idx="4">
                    <c:v>3.78083988766888E-16</c:v>
                  </c:pt>
                  <c:pt idx="5">
                    <c:v>0.00642653694629128</c:v>
                  </c:pt>
                  <c:pt idx="6">
                    <c:v>0.00643723420220048</c:v>
                  </c:pt>
                  <c:pt idx="7">
                    <c:v>0.00645967277618878</c:v>
                  </c:pt>
                  <c:pt idx="8">
                    <c:v>0.0194671424285389</c:v>
                  </c:pt>
                  <c:pt idx="9">
                    <c:v>0.00652579422696261</c:v>
                  </c:pt>
                  <c:pt idx="10">
                    <c:v>0.0114149702244511</c:v>
                  </c:pt>
                  <c:pt idx="11">
                    <c:v>0.0132765313991349</c:v>
                  </c:pt>
                  <c:pt idx="12">
                    <c:v>0.00669601925366199</c:v>
                  </c:pt>
                  <c:pt idx="13">
                    <c:v>0.0349933777795297</c:v>
                  </c:pt>
                  <c:pt idx="14">
                    <c:v>0.0475430275512592</c:v>
                  </c:pt>
                  <c:pt idx="15">
                    <c:v>0.0826692238688051</c:v>
                  </c:pt>
                  <c:pt idx="16">
                    <c:v>0.0624920592673095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0.0111222439918649</c:v>
                  </c:pt>
                  <c:pt idx="1">
                    <c:v>0.0231527971556316</c:v>
                  </c:pt>
                  <c:pt idx="2">
                    <c:v>0.0333667319755947</c:v>
                  </c:pt>
                  <c:pt idx="3">
                    <c:v>0.0128428611253918</c:v>
                  </c:pt>
                  <c:pt idx="4">
                    <c:v>3.78083988766888E-16</c:v>
                  </c:pt>
                  <c:pt idx="5">
                    <c:v>0.00642653694629128</c:v>
                  </c:pt>
                  <c:pt idx="6">
                    <c:v>0.00643723420220048</c:v>
                  </c:pt>
                  <c:pt idx="7">
                    <c:v>0.00645967277618878</c:v>
                  </c:pt>
                  <c:pt idx="8">
                    <c:v>0.0194671424285389</c:v>
                  </c:pt>
                  <c:pt idx="9">
                    <c:v>0.00652579422696261</c:v>
                  </c:pt>
                  <c:pt idx="10">
                    <c:v>0.0114149702244511</c:v>
                  </c:pt>
                  <c:pt idx="11">
                    <c:v>0.0132765313991349</c:v>
                  </c:pt>
                  <c:pt idx="12">
                    <c:v>0.00669601925366199</c:v>
                  </c:pt>
                  <c:pt idx="13">
                    <c:v>0.0349933777795297</c:v>
                  </c:pt>
                  <c:pt idx="14">
                    <c:v>0.0475430275512592</c:v>
                  </c:pt>
                  <c:pt idx="15">
                    <c:v>0.0826692238688051</c:v>
                  </c:pt>
                  <c:pt idx="16">
                    <c:v>0.0624920592673095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2.11322635845433</c:v>
                </c:pt>
                <c:pt idx="1">
                  <c:v>2.094689285134555</c:v>
                </c:pt>
                <c:pt idx="2">
                  <c:v>2.102104114462465</c:v>
                </c:pt>
                <c:pt idx="3">
                  <c:v>2.09839669979851</c:v>
                </c:pt>
                <c:pt idx="4">
                  <c:v>2.102104114462465</c:v>
                </c:pt>
                <c:pt idx="5">
                  <c:v>2.118617179297953</c:v>
                </c:pt>
                <c:pt idx="6">
                  <c:v>2.1593091005962</c:v>
                </c:pt>
                <c:pt idx="7">
                  <c:v>2.166835907217714</c:v>
                </c:pt>
                <c:pt idx="8">
                  <c:v>2.169196464843655</c:v>
                </c:pt>
                <c:pt idx="9">
                  <c:v>2.207854065417197</c:v>
                </c:pt>
                <c:pt idx="10">
                  <c:v>2.385728776910271</c:v>
                </c:pt>
                <c:pt idx="11">
                  <c:v>2.280399670715532</c:v>
                </c:pt>
                <c:pt idx="12">
                  <c:v>2.427815669681218</c:v>
                </c:pt>
                <c:pt idx="13">
                  <c:v>3.394357644614378</c:v>
                </c:pt>
                <c:pt idx="14">
                  <c:v>6.709314908639804</c:v>
                </c:pt>
                <c:pt idx="15">
                  <c:v>6.956024694103735</c:v>
                </c:pt>
                <c:pt idx="16">
                  <c:v>7.121363141841346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0.326233732847375</c:v>
                  </c:pt>
                  <c:pt idx="1">
                    <c:v>0.133821474560356</c:v>
                  </c:pt>
                  <c:pt idx="2">
                    <c:v>0.192412642641911</c:v>
                  </c:pt>
                  <c:pt idx="3">
                    <c:v>0.0928942068048812</c:v>
                  </c:pt>
                  <c:pt idx="4">
                    <c:v>0.0948709006689197</c:v>
                  </c:pt>
                  <c:pt idx="5">
                    <c:v>0.0500926787397087</c:v>
                  </c:pt>
                  <c:pt idx="6">
                    <c:v>0.0754187957242257</c:v>
                  </c:pt>
                  <c:pt idx="7">
                    <c:v>0.107903796967958</c:v>
                  </c:pt>
                  <c:pt idx="8">
                    <c:v>0.121968067730696</c:v>
                  </c:pt>
                  <c:pt idx="9">
                    <c:v>0.0764563671729365</c:v>
                  </c:pt>
                  <c:pt idx="10">
                    <c:v>0.231218822171888</c:v>
                  </c:pt>
                  <c:pt idx="11">
                    <c:v>0.133970532767272</c:v>
                  </c:pt>
                  <c:pt idx="12">
                    <c:v>0.888534371892339</c:v>
                  </c:pt>
                  <c:pt idx="13">
                    <c:v>0.892609364330617</c:v>
                  </c:pt>
                  <c:pt idx="14">
                    <c:v>0.690106097408802</c:v>
                  </c:pt>
                  <c:pt idx="15">
                    <c:v>0.993982064264206</c:v>
                  </c:pt>
                  <c:pt idx="16">
                    <c:v>0.844990617223378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0.326233732847375</c:v>
                  </c:pt>
                  <c:pt idx="1">
                    <c:v>0.133821474560356</c:v>
                  </c:pt>
                  <c:pt idx="2">
                    <c:v>0.192412642641911</c:v>
                  </c:pt>
                  <c:pt idx="3">
                    <c:v>0.0928942068048812</c:v>
                  </c:pt>
                  <c:pt idx="4">
                    <c:v>0.0948709006689197</c:v>
                  </c:pt>
                  <c:pt idx="5">
                    <c:v>0.0500926787397087</c:v>
                  </c:pt>
                  <c:pt idx="6">
                    <c:v>0.0754187957242257</c:v>
                  </c:pt>
                  <c:pt idx="7">
                    <c:v>0.107903796967958</c:v>
                  </c:pt>
                  <c:pt idx="8">
                    <c:v>0.121968067730696</c:v>
                  </c:pt>
                  <c:pt idx="9">
                    <c:v>0.0764563671729365</c:v>
                  </c:pt>
                  <c:pt idx="10">
                    <c:v>0.231218822171888</c:v>
                  </c:pt>
                  <c:pt idx="11">
                    <c:v>0.133970532767272</c:v>
                  </c:pt>
                  <c:pt idx="12">
                    <c:v>0.888534371892339</c:v>
                  </c:pt>
                  <c:pt idx="13">
                    <c:v>0.892609364330617</c:v>
                  </c:pt>
                  <c:pt idx="14">
                    <c:v>0.690106097408802</c:v>
                  </c:pt>
                  <c:pt idx="15">
                    <c:v>0.993982064264206</c:v>
                  </c:pt>
                  <c:pt idx="16">
                    <c:v>0.844990617223378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1.34586622695809</c:v>
                </c:pt>
                <c:pt idx="1">
                  <c:v>1.306936212128724</c:v>
                </c:pt>
                <c:pt idx="2">
                  <c:v>1.151216152811259</c:v>
                </c:pt>
                <c:pt idx="3">
                  <c:v>1.217953321090172</c:v>
                </c:pt>
                <c:pt idx="4">
                  <c:v>1.273567627989267</c:v>
                </c:pt>
                <c:pt idx="5">
                  <c:v>1.636360838830482</c:v>
                </c:pt>
                <c:pt idx="6">
                  <c:v>2.118544765106765</c:v>
                </c:pt>
                <c:pt idx="7">
                  <c:v>3.149732357515686</c:v>
                </c:pt>
                <c:pt idx="8">
                  <c:v>5.069232698511491</c:v>
                </c:pt>
                <c:pt idx="9">
                  <c:v>9.11072947376058</c:v>
                </c:pt>
                <c:pt idx="10">
                  <c:v>18.40195342462953</c:v>
                </c:pt>
                <c:pt idx="11">
                  <c:v>26.96386923965263</c:v>
                </c:pt>
                <c:pt idx="12">
                  <c:v>38.23442012270987</c:v>
                </c:pt>
                <c:pt idx="13">
                  <c:v>49.49504792237017</c:v>
                </c:pt>
                <c:pt idx="14">
                  <c:v>64.75769833784278</c:v>
                </c:pt>
                <c:pt idx="15">
                  <c:v>65.6371020744802</c:v>
                </c:pt>
                <c:pt idx="16">
                  <c:v>65.12334338077979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0.169998362549559</c:v>
                  </c:pt>
                  <c:pt idx="1">
                    <c:v>0.0981486003797836</c:v>
                  </c:pt>
                  <c:pt idx="2">
                    <c:v>0.0575875816085377</c:v>
                  </c:pt>
                  <c:pt idx="3">
                    <c:v>0.0251332811248163</c:v>
                  </c:pt>
                  <c:pt idx="4">
                    <c:v>0.13823304618649</c:v>
                  </c:pt>
                  <c:pt idx="5">
                    <c:v>0.283462927084746</c:v>
                  </c:pt>
                  <c:pt idx="6">
                    <c:v>0.0125975680411518</c:v>
                  </c:pt>
                  <c:pt idx="7">
                    <c:v>0.0768951207762471</c:v>
                  </c:pt>
                  <c:pt idx="8">
                    <c:v>0.0793050161221569</c:v>
                  </c:pt>
                  <c:pt idx="9">
                    <c:v>0.0383126359307924</c:v>
                  </c:pt>
                  <c:pt idx="10">
                    <c:v>0.0893556826259876</c:v>
                  </c:pt>
                  <c:pt idx="11">
                    <c:v>0.0389729507419316</c:v>
                  </c:pt>
                  <c:pt idx="12">
                    <c:v>0.205945626198708</c:v>
                  </c:pt>
                  <c:pt idx="13">
                    <c:v>0.0574471101157582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0.169998362549559</c:v>
                  </c:pt>
                  <c:pt idx="1">
                    <c:v>0.0981486003797836</c:v>
                  </c:pt>
                  <c:pt idx="2">
                    <c:v>0.0575875816085377</c:v>
                  </c:pt>
                  <c:pt idx="3">
                    <c:v>0.0251332811248163</c:v>
                  </c:pt>
                  <c:pt idx="4">
                    <c:v>0.13823304618649</c:v>
                  </c:pt>
                  <c:pt idx="5">
                    <c:v>0.283462927084746</c:v>
                  </c:pt>
                  <c:pt idx="6">
                    <c:v>0.0125975680411518</c:v>
                  </c:pt>
                  <c:pt idx="7">
                    <c:v>0.0768951207762471</c:v>
                  </c:pt>
                  <c:pt idx="8">
                    <c:v>0.0793050161221569</c:v>
                  </c:pt>
                  <c:pt idx="9">
                    <c:v>0.0383126359307924</c:v>
                  </c:pt>
                  <c:pt idx="10">
                    <c:v>0.0893556826259876</c:v>
                  </c:pt>
                  <c:pt idx="11">
                    <c:v>0.0389729507419316</c:v>
                  </c:pt>
                  <c:pt idx="12">
                    <c:v>0.205945626198708</c:v>
                  </c:pt>
                  <c:pt idx="13">
                    <c:v>0.0574471101157582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2.873119911360179</c:v>
                </c:pt>
                <c:pt idx="1">
                  <c:v>2.909396677917757</c:v>
                </c:pt>
                <c:pt idx="2">
                  <c:v>2.851353851425632</c:v>
                </c:pt>
                <c:pt idx="3">
                  <c:v>2.858609204737148</c:v>
                </c:pt>
                <c:pt idx="4">
                  <c:v>2.749778905064414</c:v>
                </c:pt>
                <c:pt idx="5">
                  <c:v>3.056932715022838</c:v>
                </c:pt>
                <c:pt idx="6">
                  <c:v>3.24385134766336</c:v>
                </c:pt>
                <c:pt idx="7">
                  <c:v>4.17477739073418</c:v>
                </c:pt>
                <c:pt idx="8">
                  <c:v>5.036913166527313</c:v>
                </c:pt>
                <c:pt idx="9">
                  <c:v>5.308754560321708</c:v>
                </c:pt>
                <c:pt idx="10">
                  <c:v>5.36134095755925</c:v>
                </c:pt>
                <c:pt idx="11">
                  <c:v>6.120283859735356</c:v>
                </c:pt>
                <c:pt idx="12">
                  <c:v>5.643938808308468</c:v>
                </c:pt>
                <c:pt idx="13">
                  <c:v>3.439293138802652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0.00644671951784675</c:v>
                </c:pt>
                <c:pt idx="3">
                  <c:v>0.0190256922491791</c:v>
                </c:pt>
                <c:pt idx="4">
                  <c:v>0.0316813889170811</c:v>
                </c:pt>
                <c:pt idx="5">
                  <c:v>0.0447682601560056</c:v>
                </c:pt>
                <c:pt idx="6">
                  <c:v>0.0581473502073482</c:v>
                </c:pt>
                <c:pt idx="7">
                  <c:v>0.071940133273208</c:v>
                </c:pt>
                <c:pt idx="8">
                  <c:v>0.0864159603811778</c:v>
                </c:pt>
                <c:pt idx="9">
                  <c:v>0.102797647702414</c:v>
                </c:pt>
                <c:pt idx="10">
                  <c:v>0.123565917167864</c:v>
                </c:pt>
                <c:pt idx="11">
                  <c:v>0.15063882990725</c:v>
                </c:pt>
                <c:pt idx="12">
                  <c:v>0.186441988770185</c:v>
                </c:pt>
                <c:pt idx="13">
                  <c:v>0.234629155286521</c:v>
                </c:pt>
                <c:pt idx="14">
                  <c:v>0.299905287282844</c:v>
                </c:pt>
                <c:pt idx="15">
                  <c:v>0.394250538516586</c:v>
                </c:pt>
                <c:pt idx="16">
                  <c:v>0.528495213530504</c:v>
                </c:pt>
                <c:pt idx="17">
                  <c:v>0.715381838697277</c:v>
                </c:pt>
                <c:pt idx="18">
                  <c:v>0.984390188720759</c:v>
                </c:pt>
                <c:pt idx="19">
                  <c:v>1.350970264656045</c:v>
                </c:pt>
                <c:pt idx="20">
                  <c:v>1.843905032117397</c:v>
                </c:pt>
                <c:pt idx="21">
                  <c:v>2.500926453809452</c:v>
                </c:pt>
                <c:pt idx="22">
                  <c:v>3.339766542236263</c:v>
                </c:pt>
                <c:pt idx="23">
                  <c:v>4.309965222993871</c:v>
                </c:pt>
                <c:pt idx="24">
                  <c:v>5.459170981472506</c:v>
                </c:pt>
                <c:pt idx="25">
                  <c:v>6.827408861073529</c:v>
                </c:pt>
                <c:pt idx="26">
                  <c:v>8.407226071485947</c:v>
                </c:pt>
                <c:pt idx="27">
                  <c:v>10.19754117395504</c:v>
                </c:pt>
                <c:pt idx="28">
                  <c:v>12.18586270275846</c:v>
                </c:pt>
                <c:pt idx="29">
                  <c:v>14.36487473587899</c:v>
                </c:pt>
                <c:pt idx="30">
                  <c:v>16.64247054282197</c:v>
                </c:pt>
                <c:pt idx="31">
                  <c:v>19.03191118274761</c:v>
                </c:pt>
                <c:pt idx="32">
                  <c:v>21.47128526557738</c:v>
                </c:pt>
                <c:pt idx="33">
                  <c:v>23.87715943018645</c:v>
                </c:pt>
                <c:pt idx="34">
                  <c:v>26.31556793012691</c:v>
                </c:pt>
                <c:pt idx="35">
                  <c:v>28.78842299485636</c:v>
                </c:pt>
                <c:pt idx="36">
                  <c:v>31.31934426822293</c:v>
                </c:pt>
                <c:pt idx="37">
                  <c:v>33.87269055759531</c:v>
                </c:pt>
                <c:pt idx="38">
                  <c:v>36.32304338412339</c:v>
                </c:pt>
                <c:pt idx="39">
                  <c:v>38.5994342789967</c:v>
                </c:pt>
                <c:pt idx="40">
                  <c:v>40.65854695913522</c:v>
                </c:pt>
                <c:pt idx="41">
                  <c:v>42.49700490644557</c:v>
                </c:pt>
                <c:pt idx="42">
                  <c:v>44.04337230143697</c:v>
                </c:pt>
                <c:pt idx="43">
                  <c:v>45.24762269551227</c:v>
                </c:pt>
                <c:pt idx="44">
                  <c:v>46.16600542630123</c:v>
                </c:pt>
                <c:pt idx="45">
                  <c:v>46.86989351682081</c:v>
                </c:pt>
                <c:pt idx="46">
                  <c:v>47.4226202299997</c:v>
                </c:pt>
                <c:pt idx="47">
                  <c:v>47.86707616128277</c:v>
                </c:pt>
                <c:pt idx="48">
                  <c:v>48.2422082844982</c:v>
                </c:pt>
                <c:pt idx="49">
                  <c:v>48.60666360745046</c:v>
                </c:pt>
                <c:pt idx="50">
                  <c:v>48.96026142855798</c:v>
                </c:pt>
                <c:pt idx="51">
                  <c:v>49.26307582359918</c:v>
                </c:pt>
                <c:pt idx="52">
                  <c:v>49.51649954978352</c:v>
                </c:pt>
                <c:pt idx="53">
                  <c:v>49.73401702918444</c:v>
                </c:pt>
                <c:pt idx="54">
                  <c:v>49.92024250429063</c:v>
                </c:pt>
                <c:pt idx="55">
                  <c:v>50.07809528297367</c:v>
                </c:pt>
                <c:pt idx="56">
                  <c:v>50.21244805751373</c:v>
                </c:pt>
                <c:pt idx="57">
                  <c:v>50.32557988516264</c:v>
                </c:pt>
                <c:pt idx="58">
                  <c:v>50.42034285074016</c:v>
                </c:pt>
                <c:pt idx="59">
                  <c:v>50.50156526625923</c:v>
                </c:pt>
                <c:pt idx="60">
                  <c:v>50.57431976168522</c:v>
                </c:pt>
                <c:pt idx="61">
                  <c:v>50.65023916079329</c:v>
                </c:pt>
                <c:pt idx="62">
                  <c:v>50.72740060079413</c:v>
                </c:pt>
                <c:pt idx="63">
                  <c:v>50.79598831381954</c:v>
                </c:pt>
                <c:pt idx="64">
                  <c:v>50.85555651092606</c:v>
                </c:pt>
                <c:pt idx="65">
                  <c:v>50.90382648164958</c:v>
                </c:pt>
                <c:pt idx="66">
                  <c:v>50.94276292160095</c:v>
                </c:pt>
                <c:pt idx="67">
                  <c:v>50.97671928223901</c:v>
                </c:pt>
                <c:pt idx="68">
                  <c:v>51.00581612283777</c:v>
                </c:pt>
                <c:pt idx="69">
                  <c:v>51.03092118979976</c:v>
                </c:pt>
                <c:pt idx="70">
                  <c:v>51.04297921997947</c:v>
                </c:pt>
                <c:pt idx="71">
                  <c:v>51.04297921997947</c:v>
                </c:pt>
                <c:pt idx="72">
                  <c:v>51.04297921997947</c:v>
                </c:pt>
                <c:pt idx="73">
                  <c:v>51.04297921997947</c:v>
                </c:pt>
                <c:pt idx="74">
                  <c:v>51.04297921997947</c:v>
                </c:pt>
                <c:pt idx="75">
                  <c:v>51.04297921997947</c:v>
                </c:pt>
                <c:pt idx="76">
                  <c:v>51.04297921997947</c:v>
                </c:pt>
                <c:pt idx="77">
                  <c:v>51.04297921997947</c:v>
                </c:pt>
                <c:pt idx="78">
                  <c:v>51.04297921997947</c:v>
                </c:pt>
                <c:pt idx="79">
                  <c:v>51.04297921997947</c:v>
                </c:pt>
                <c:pt idx="80">
                  <c:v>51.04297921997947</c:v>
                </c:pt>
                <c:pt idx="81">
                  <c:v>51.04297921997947</c:v>
                </c:pt>
                <c:pt idx="82">
                  <c:v>51.04297921997947</c:v>
                </c:pt>
                <c:pt idx="83">
                  <c:v>51.04297921997947</c:v>
                </c:pt>
                <c:pt idx="84">
                  <c:v>51.04297921997947</c:v>
                </c:pt>
                <c:pt idx="85">
                  <c:v>51.04297921997947</c:v>
                </c:pt>
                <c:pt idx="86">
                  <c:v>51.04297921997947</c:v>
                </c:pt>
                <c:pt idx="87">
                  <c:v>51.04297921997947</c:v>
                </c:pt>
                <c:pt idx="88">
                  <c:v>51.04297921997947</c:v>
                </c:pt>
                <c:pt idx="89">
                  <c:v>51.04297921997947</c:v>
                </c:pt>
                <c:pt idx="90">
                  <c:v>51.04297921997947</c:v>
                </c:pt>
                <c:pt idx="91">
                  <c:v>51.04297921997947</c:v>
                </c:pt>
                <c:pt idx="92">
                  <c:v>51.04297921997947</c:v>
                </c:pt>
                <c:pt idx="93">
                  <c:v>51.04297921997947</c:v>
                </c:pt>
                <c:pt idx="94">
                  <c:v>51.04297921997947</c:v>
                </c:pt>
                <c:pt idx="95">
                  <c:v>51.04297921997947</c:v>
                </c:pt>
                <c:pt idx="96">
                  <c:v>51.04297921997947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0.829558367084125</c:v>
                  </c:pt>
                  <c:pt idx="1">
                    <c:v>0.259194424690679</c:v>
                  </c:pt>
                  <c:pt idx="2">
                    <c:v>0.984449496110516</c:v>
                  </c:pt>
                  <c:pt idx="3">
                    <c:v>0.835970627445369</c:v>
                  </c:pt>
                  <c:pt idx="4">
                    <c:v>0.464478545367837</c:v>
                  </c:pt>
                  <c:pt idx="5">
                    <c:v>0.267377921299162</c:v>
                  </c:pt>
                  <c:pt idx="6">
                    <c:v>0.228657771640323</c:v>
                  </c:pt>
                  <c:pt idx="7">
                    <c:v>0.578816959670638</c:v>
                  </c:pt>
                  <c:pt idx="8">
                    <c:v>0.423419671062149</c:v>
                  </c:pt>
                  <c:pt idx="9">
                    <c:v>0.380138016463183</c:v>
                  </c:pt>
                  <c:pt idx="10">
                    <c:v>0.335594947701687</c:v>
                  </c:pt>
                  <c:pt idx="11">
                    <c:v>0.23283663712028</c:v>
                  </c:pt>
                  <c:pt idx="12">
                    <c:v>0.461041713441025</c:v>
                  </c:pt>
                  <c:pt idx="13">
                    <c:v>0.176547412755438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0.829558367084125</c:v>
                  </c:pt>
                  <c:pt idx="1">
                    <c:v>0.259194424690679</c:v>
                  </c:pt>
                  <c:pt idx="2">
                    <c:v>0.984449496110516</c:v>
                  </c:pt>
                  <c:pt idx="3">
                    <c:v>0.835970627445369</c:v>
                  </c:pt>
                  <c:pt idx="4">
                    <c:v>0.464478545367837</c:v>
                  </c:pt>
                  <c:pt idx="5">
                    <c:v>0.267377921299162</c:v>
                  </c:pt>
                  <c:pt idx="6">
                    <c:v>0.228657771640323</c:v>
                  </c:pt>
                  <c:pt idx="7">
                    <c:v>0.578816959670638</c:v>
                  </c:pt>
                  <c:pt idx="8">
                    <c:v>0.423419671062149</c:v>
                  </c:pt>
                  <c:pt idx="9">
                    <c:v>0.380138016463183</c:v>
                  </c:pt>
                  <c:pt idx="10">
                    <c:v>0.335594947701687</c:v>
                  </c:pt>
                  <c:pt idx="11">
                    <c:v>0.23283663712028</c:v>
                  </c:pt>
                  <c:pt idx="12">
                    <c:v>0.461041713441025</c:v>
                  </c:pt>
                  <c:pt idx="13">
                    <c:v>0.176547412755438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51.25686143650936</c:v>
                </c:pt>
                <c:pt idx="1">
                  <c:v>51.21422616787388</c:v>
                </c:pt>
                <c:pt idx="2">
                  <c:v>51.02144060534823</c:v>
                </c:pt>
                <c:pt idx="3">
                  <c:v>51.33286343712044</c:v>
                </c:pt>
                <c:pt idx="4">
                  <c:v>51.30135041247683</c:v>
                </c:pt>
                <c:pt idx="5">
                  <c:v>50.97481982098937</c:v>
                </c:pt>
                <c:pt idx="6">
                  <c:v>50.12681840669751</c:v>
                </c:pt>
                <c:pt idx="7">
                  <c:v>48.45917790091801</c:v>
                </c:pt>
                <c:pt idx="8">
                  <c:v>44.93496096603594</c:v>
                </c:pt>
                <c:pt idx="9">
                  <c:v>40.17277128414822</c:v>
                </c:pt>
                <c:pt idx="10">
                  <c:v>30.45323806379801</c:v>
                </c:pt>
                <c:pt idx="11">
                  <c:v>22.75225654655926</c:v>
                </c:pt>
                <c:pt idx="12">
                  <c:v>14.74666062420224</c:v>
                </c:pt>
                <c:pt idx="13">
                  <c:v>8.431459968323343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0.0399333577638006</c:v>
                  </c:pt>
                  <c:pt idx="4">
                    <c:v>0.0113709197456269</c:v>
                  </c:pt>
                  <c:pt idx="5">
                    <c:v>0.0</c:v>
                  </c:pt>
                  <c:pt idx="6">
                    <c:v>0.00658116055991623</c:v>
                  </c:pt>
                  <c:pt idx="7">
                    <c:v>0.00660410082486762</c:v>
                  </c:pt>
                  <c:pt idx="8">
                    <c:v>0.0673290893067659</c:v>
                  </c:pt>
                  <c:pt idx="9">
                    <c:v>0.0811647414120247</c:v>
                  </c:pt>
                  <c:pt idx="10">
                    <c:v>0.169519314260949</c:v>
                  </c:pt>
                  <c:pt idx="11">
                    <c:v>0.185984938744558</c:v>
                  </c:pt>
                  <c:pt idx="12">
                    <c:v>0.4303564714074</c:v>
                  </c:pt>
                  <c:pt idx="13">
                    <c:v>0.341972933823467</c:v>
                  </c:pt>
                  <c:pt idx="14">
                    <c:v>0.239633676730547</c:v>
                  </c:pt>
                  <c:pt idx="15">
                    <c:v>0.439332153385237</c:v>
                  </c:pt>
                  <c:pt idx="16">
                    <c:v>0.356198269418129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0.0399333577638006</c:v>
                  </c:pt>
                  <c:pt idx="4">
                    <c:v>0.0113709197456269</c:v>
                  </c:pt>
                  <c:pt idx="5">
                    <c:v>0.0</c:v>
                  </c:pt>
                  <c:pt idx="6">
                    <c:v>0.00658116055991623</c:v>
                  </c:pt>
                  <c:pt idx="7">
                    <c:v>0.00660410082486762</c:v>
                  </c:pt>
                  <c:pt idx="8">
                    <c:v>0.0673290893067659</c:v>
                  </c:pt>
                  <c:pt idx="9">
                    <c:v>0.0811647414120247</c:v>
                  </c:pt>
                  <c:pt idx="10">
                    <c:v>0.169519314260949</c:v>
                  </c:pt>
                  <c:pt idx="11">
                    <c:v>0.185984938744558</c:v>
                  </c:pt>
                  <c:pt idx="12">
                    <c:v>0.4303564714074</c:v>
                  </c:pt>
                  <c:pt idx="13">
                    <c:v>0.341972933823467</c:v>
                  </c:pt>
                  <c:pt idx="14">
                    <c:v>0.239633676730547</c:v>
                  </c:pt>
                  <c:pt idx="15">
                    <c:v>0.439332153385237</c:v>
                  </c:pt>
                  <c:pt idx="16">
                    <c:v>0.356198269418129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0.0606449053100103</c:v>
                </c:pt>
                <c:pt idx="4">
                  <c:v>0.14782195669315</c:v>
                </c:pt>
                <c:pt idx="5">
                  <c:v>0.409678632389446</c:v>
                </c:pt>
                <c:pt idx="6">
                  <c:v>1.42106342299707</c:v>
                </c:pt>
                <c:pt idx="7">
                  <c:v>3.725183163045913</c:v>
                </c:pt>
                <c:pt idx="8">
                  <c:v>6.672239873214083</c:v>
                </c:pt>
                <c:pt idx="9">
                  <c:v>10.55422836996378</c:v>
                </c:pt>
                <c:pt idx="10">
                  <c:v>14.54105782773709</c:v>
                </c:pt>
                <c:pt idx="11">
                  <c:v>18.00064930946755</c:v>
                </c:pt>
                <c:pt idx="12">
                  <c:v>20.11763966187424</c:v>
                </c:pt>
                <c:pt idx="13">
                  <c:v>21.18323345017616</c:v>
                </c:pt>
                <c:pt idx="14">
                  <c:v>22.56240714375017</c:v>
                </c:pt>
                <c:pt idx="15">
                  <c:v>23.77358694154182</c:v>
                </c:pt>
                <c:pt idx="16">
                  <c:v>24.30081563450643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0.000700737351002585</c:v>
                </c:pt>
                <c:pt idx="1">
                  <c:v>0.00140147470200517</c:v>
                </c:pt>
                <c:pt idx="2">
                  <c:v>0.0126459691203349</c:v>
                </c:pt>
                <c:pt idx="3">
                  <c:v>0.0364091715755831</c:v>
                </c:pt>
                <c:pt idx="4">
                  <c:v>0.0609801563103104</c:v>
                </c:pt>
                <c:pt idx="5">
                  <c:v>0.0876010568796817</c:v>
                </c:pt>
                <c:pt idx="6">
                  <c:v>0.119254651796561</c:v>
                </c:pt>
                <c:pt idx="7">
                  <c:v>0.160298759508292</c:v>
                </c:pt>
                <c:pt idx="8">
                  <c:v>0.220888738526004</c:v>
                </c:pt>
                <c:pt idx="9">
                  <c:v>0.311912204207008</c:v>
                </c:pt>
                <c:pt idx="10">
                  <c:v>0.453022257900168</c:v>
                </c:pt>
                <c:pt idx="11">
                  <c:v>0.651480993848675</c:v>
                </c:pt>
                <c:pt idx="12">
                  <c:v>0.909101372739755</c:v>
                </c:pt>
                <c:pt idx="13">
                  <c:v>1.228630122606723</c:v>
                </c:pt>
                <c:pt idx="14">
                  <c:v>1.627209536622327</c:v>
                </c:pt>
                <c:pt idx="15">
                  <c:v>2.163532410344775</c:v>
                </c:pt>
                <c:pt idx="16">
                  <c:v>2.921148404152488</c:v>
                </c:pt>
                <c:pt idx="17">
                  <c:v>3.934526135585325</c:v>
                </c:pt>
                <c:pt idx="18">
                  <c:v>5.206799994694797</c:v>
                </c:pt>
                <c:pt idx="19">
                  <c:v>6.76362107303752</c:v>
                </c:pt>
                <c:pt idx="20">
                  <c:v>8.692770531004604</c:v>
                </c:pt>
                <c:pt idx="21">
                  <c:v>11.03093792631265</c:v>
                </c:pt>
                <c:pt idx="22">
                  <c:v>13.85063686639565</c:v>
                </c:pt>
                <c:pt idx="23">
                  <c:v>16.70402206626358</c:v>
                </c:pt>
                <c:pt idx="24">
                  <c:v>19.29404499329607</c:v>
                </c:pt>
                <c:pt idx="25">
                  <c:v>21.76769465797652</c:v>
                </c:pt>
                <c:pt idx="26">
                  <c:v>24.1947381719578</c:v>
                </c:pt>
                <c:pt idx="27">
                  <c:v>26.78677316918399</c:v>
                </c:pt>
                <c:pt idx="28">
                  <c:v>29.71039536544364</c:v>
                </c:pt>
                <c:pt idx="29">
                  <c:v>33.02733032939559</c:v>
                </c:pt>
                <c:pt idx="30">
                  <c:v>36.47064737825922</c:v>
                </c:pt>
                <c:pt idx="31">
                  <c:v>40.0761455060911</c:v>
                </c:pt>
                <c:pt idx="32">
                  <c:v>43.99107030516007</c:v>
                </c:pt>
                <c:pt idx="33">
                  <c:v>48.17553600244667</c:v>
                </c:pt>
                <c:pt idx="34">
                  <c:v>52.65834246329763</c:v>
                </c:pt>
                <c:pt idx="35">
                  <c:v>57.21791181766683</c:v>
                </c:pt>
                <c:pt idx="36">
                  <c:v>61.49282199637545</c:v>
                </c:pt>
                <c:pt idx="37">
                  <c:v>65.37269367919748</c:v>
                </c:pt>
                <c:pt idx="38">
                  <c:v>68.6178699284877</c:v>
                </c:pt>
                <c:pt idx="39">
                  <c:v>71.2476117511597</c:v>
                </c:pt>
                <c:pt idx="40">
                  <c:v>73.33266118643083</c:v>
                </c:pt>
                <c:pt idx="41">
                  <c:v>74.64225206156017</c:v>
                </c:pt>
                <c:pt idx="42">
                  <c:v>75.25228599142814</c:v>
                </c:pt>
                <c:pt idx="43">
                  <c:v>75.45599050681754</c:v>
                </c:pt>
                <c:pt idx="44">
                  <c:v>75.53495224217313</c:v>
                </c:pt>
                <c:pt idx="45">
                  <c:v>75.58025325611383</c:v>
                </c:pt>
                <c:pt idx="46">
                  <c:v>75.62027453575401</c:v>
                </c:pt>
                <c:pt idx="47">
                  <c:v>75.66881621003219</c:v>
                </c:pt>
                <c:pt idx="48">
                  <c:v>75.73443679802853</c:v>
                </c:pt>
                <c:pt idx="49">
                  <c:v>75.81667278053274</c:v>
                </c:pt>
                <c:pt idx="50">
                  <c:v>75.91382510137917</c:v>
                </c:pt>
                <c:pt idx="51">
                  <c:v>76.03361135850686</c:v>
                </c:pt>
                <c:pt idx="52">
                  <c:v>76.17460485685493</c:v>
                </c:pt>
                <c:pt idx="53">
                  <c:v>76.3012654868445</c:v>
                </c:pt>
                <c:pt idx="54">
                  <c:v>76.39472053984106</c:v>
                </c:pt>
                <c:pt idx="55">
                  <c:v>76.47047047682155</c:v>
                </c:pt>
                <c:pt idx="56">
                  <c:v>76.53765959078585</c:v>
                </c:pt>
                <c:pt idx="57">
                  <c:v>76.59940102694912</c:v>
                </c:pt>
                <c:pt idx="58">
                  <c:v>76.65854817543311</c:v>
                </c:pt>
                <c:pt idx="59">
                  <c:v>76.7167874863921</c:v>
                </c:pt>
                <c:pt idx="60">
                  <c:v>76.78762166684788</c:v>
                </c:pt>
                <c:pt idx="61">
                  <c:v>76.8630546233038</c:v>
                </c:pt>
                <c:pt idx="62">
                  <c:v>76.92797018495379</c:v>
                </c:pt>
                <c:pt idx="63">
                  <c:v>76.98863673312069</c:v>
                </c:pt>
                <c:pt idx="64">
                  <c:v>77.04860656083193</c:v>
                </c:pt>
                <c:pt idx="65">
                  <c:v>77.11226816584693</c:v>
                </c:pt>
                <c:pt idx="66">
                  <c:v>77.17843698320587</c:v>
                </c:pt>
                <c:pt idx="67">
                  <c:v>77.2468347452821</c:v>
                </c:pt>
                <c:pt idx="68">
                  <c:v>77.31585983613883</c:v>
                </c:pt>
                <c:pt idx="69">
                  <c:v>77.38982996000828</c:v>
                </c:pt>
                <c:pt idx="70">
                  <c:v>77.4638694755529</c:v>
                </c:pt>
                <c:pt idx="71">
                  <c:v>77.53581953065655</c:v>
                </c:pt>
                <c:pt idx="72">
                  <c:v>77.60574951699442</c:v>
                </c:pt>
                <c:pt idx="73">
                  <c:v>77.67177885007703</c:v>
                </c:pt>
                <c:pt idx="74">
                  <c:v>77.73557923844235</c:v>
                </c:pt>
                <c:pt idx="75">
                  <c:v>77.79798688682238</c:v>
                </c:pt>
                <c:pt idx="76">
                  <c:v>77.86213633634155</c:v>
                </c:pt>
                <c:pt idx="77">
                  <c:v>77.92440520137125</c:v>
                </c:pt>
                <c:pt idx="78">
                  <c:v>77.98583786166897</c:v>
                </c:pt>
                <c:pt idx="79">
                  <c:v>78.047410006243</c:v>
                </c:pt>
                <c:pt idx="80">
                  <c:v>78.10661442274944</c:v>
                </c:pt>
                <c:pt idx="81">
                  <c:v>78.16352050286343</c:v>
                </c:pt>
                <c:pt idx="82">
                  <c:v>78.22188871463788</c:v>
                </c:pt>
                <c:pt idx="83">
                  <c:v>78.29822656657495</c:v>
                </c:pt>
                <c:pt idx="84">
                  <c:v>78.39511206454575</c:v>
                </c:pt>
                <c:pt idx="85">
                  <c:v>78.48461470883505</c:v>
                </c:pt>
                <c:pt idx="86">
                  <c:v>78.55503253967709</c:v>
                </c:pt>
                <c:pt idx="87">
                  <c:v>78.61660468425112</c:v>
                </c:pt>
                <c:pt idx="88">
                  <c:v>78.67601797670906</c:v>
                </c:pt>
                <c:pt idx="89">
                  <c:v>78.73445628108468</c:v>
                </c:pt>
                <c:pt idx="90">
                  <c:v>78.79101400097084</c:v>
                </c:pt>
                <c:pt idx="91">
                  <c:v>78.84548155949004</c:v>
                </c:pt>
                <c:pt idx="92">
                  <c:v>78.8991830058784</c:v>
                </c:pt>
                <c:pt idx="93">
                  <c:v>78.95204894846081</c:v>
                </c:pt>
                <c:pt idx="94">
                  <c:v>79.00324318250524</c:v>
                </c:pt>
                <c:pt idx="95">
                  <c:v>79.05590024913614</c:v>
                </c:pt>
                <c:pt idx="96">
                  <c:v>79.11263455688369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51864"/>
        <c:axId val="-211239588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3829.0</c:v>
                </c:pt>
                <c:pt idx="1">
                  <c:v>4853.0</c:v>
                </c:pt>
                <c:pt idx="2">
                  <c:v>6374.0</c:v>
                </c:pt>
                <c:pt idx="3">
                  <c:v>14474.0</c:v>
                </c:pt>
                <c:pt idx="4">
                  <c:v>3064.0</c:v>
                </c:pt>
                <c:pt idx="5">
                  <c:v>8570.0</c:v>
                </c:pt>
                <c:pt idx="6">
                  <c:v>24826.0</c:v>
                </c:pt>
                <c:pt idx="7">
                  <c:v>5763.0</c:v>
                </c:pt>
                <c:pt idx="8">
                  <c:v>10044.0</c:v>
                </c:pt>
                <c:pt idx="9">
                  <c:v>14599.0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0.0235808224463456</c:v>
                  </c:pt>
                  <c:pt idx="1">
                    <c:v>0.0152322645037162</c:v>
                  </c:pt>
                  <c:pt idx="2">
                    <c:v>0.016101558189738</c:v>
                  </c:pt>
                  <c:pt idx="3">
                    <c:v>0.00443953755205196</c:v>
                  </c:pt>
                  <c:pt idx="4">
                    <c:v>0.0361617726001655</c:v>
                  </c:pt>
                  <c:pt idx="5">
                    <c:v>0.0392348115053269</c:v>
                  </c:pt>
                  <c:pt idx="6">
                    <c:v>0.0145329179854831</c:v>
                  </c:pt>
                  <c:pt idx="7">
                    <c:v>0.0203637384549193</c:v>
                  </c:pt>
                  <c:pt idx="8">
                    <c:v>0.0272601498116772</c:v>
                  </c:pt>
                  <c:pt idx="9">
                    <c:v>0.0373098465980108</c:v>
                  </c:pt>
                  <c:pt idx="10">
                    <c:v>0.0214160800901632</c:v>
                  </c:pt>
                  <c:pt idx="11">
                    <c:v>0.0031612625002359</c:v>
                  </c:pt>
                  <c:pt idx="12">
                    <c:v>0.0309921030333701</c:v>
                  </c:pt>
                  <c:pt idx="13">
                    <c:v>0.0314829866950784</c:v>
                  </c:pt>
                  <c:pt idx="14">
                    <c:v>0.00515837373081438</c:v>
                  </c:pt>
                  <c:pt idx="15">
                    <c:v>0.0232699460206502</c:v>
                  </c:pt>
                  <c:pt idx="16">
                    <c:v>0.0216434630290681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0.0235808224463456</c:v>
                  </c:pt>
                  <c:pt idx="1">
                    <c:v>0.0152322645037162</c:v>
                  </c:pt>
                  <c:pt idx="2">
                    <c:v>0.016101558189738</c:v>
                  </c:pt>
                  <c:pt idx="3">
                    <c:v>0.00443953755205196</c:v>
                  </c:pt>
                  <c:pt idx="4">
                    <c:v>0.0361617726001655</c:v>
                  </c:pt>
                  <c:pt idx="5">
                    <c:v>0.0392348115053269</c:v>
                  </c:pt>
                  <c:pt idx="6">
                    <c:v>0.0145329179854831</c:v>
                  </c:pt>
                  <c:pt idx="7">
                    <c:v>0.0203637384549193</c:v>
                  </c:pt>
                  <c:pt idx="8">
                    <c:v>0.0272601498116772</c:v>
                  </c:pt>
                  <c:pt idx="9">
                    <c:v>0.0373098465980108</c:v>
                  </c:pt>
                  <c:pt idx="10">
                    <c:v>0.0214160800901632</c:v>
                  </c:pt>
                  <c:pt idx="11">
                    <c:v>0.0031612625002359</c:v>
                  </c:pt>
                  <c:pt idx="12">
                    <c:v>0.0309921030333701</c:v>
                  </c:pt>
                  <c:pt idx="13">
                    <c:v>0.0314829866950784</c:v>
                  </c:pt>
                  <c:pt idx="14">
                    <c:v>0.00515837373081438</c:v>
                  </c:pt>
                  <c:pt idx="15">
                    <c:v>0.0232699460206502</c:v>
                  </c:pt>
                  <c:pt idx="16">
                    <c:v>0.0216434630290681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6.720746048714541</c:v>
                </c:pt>
                <c:pt idx="1">
                  <c:v>6.83611266573295</c:v>
                </c:pt>
                <c:pt idx="2">
                  <c:v>6.9865564075821</c:v>
                </c:pt>
                <c:pt idx="3">
                  <c:v>7.32062972683733</c:v>
                </c:pt>
                <c:pt idx="4">
                  <c:v>7.611067147809095</c:v>
                </c:pt>
                <c:pt idx="5">
                  <c:v>8.064269804413251</c:v>
                </c:pt>
                <c:pt idx="6">
                  <c:v>8.547353424374254</c:v>
                </c:pt>
                <c:pt idx="7">
                  <c:v>8.91984595185553</c:v>
                </c:pt>
                <c:pt idx="8">
                  <c:v>9.155180925421198</c:v>
                </c:pt>
                <c:pt idx="9">
                  <c:v>9.319021442841261</c:v>
                </c:pt>
                <c:pt idx="10">
                  <c:v>9.490952772431668</c:v>
                </c:pt>
                <c:pt idx="11">
                  <c:v>9.548721902739446</c:v>
                </c:pt>
                <c:pt idx="12">
                  <c:v>9.542248478231176</c:v>
                </c:pt>
                <c:pt idx="13">
                  <c:v>9.558029787561672</c:v>
                </c:pt>
                <c:pt idx="14">
                  <c:v>9.615342978987417</c:v>
                </c:pt>
                <c:pt idx="15">
                  <c:v>9.463979406150679</c:v>
                </c:pt>
                <c:pt idx="16">
                  <c:v>9.38143591138754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spPr>
            <a:ln>
              <a:solidFill>
                <a:srgbClr val="CC7B37"/>
              </a:solidFill>
            </a:ln>
          </c:spPr>
          <c:marker>
            <c:symbol val="circle"/>
            <c:size val="8"/>
            <c:spPr>
              <a:solidFill>
                <a:srgbClr val="CC7B37"/>
              </a:solidFill>
              <a:ln>
                <a:solidFill>
                  <a:srgbClr val="CC7B3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0.233218710944585</c:v>
                  </c:pt>
                  <c:pt idx="1">
                    <c:v>0.111362638112405</c:v>
                  </c:pt>
                  <c:pt idx="2">
                    <c:v>0.0668972185703938</c:v>
                  </c:pt>
                  <c:pt idx="3">
                    <c:v>0.204400368929061</c:v>
                  </c:pt>
                  <c:pt idx="4">
                    <c:v>0.274991289968417</c:v>
                  </c:pt>
                  <c:pt idx="5">
                    <c:v>0.150828441756011</c:v>
                  </c:pt>
                  <c:pt idx="6">
                    <c:v>0.318470687629961</c:v>
                  </c:pt>
                  <c:pt idx="7">
                    <c:v>0.0470159047896112</c:v>
                  </c:pt>
                  <c:pt idx="8">
                    <c:v>0.178555032896504</c:v>
                  </c:pt>
                  <c:pt idx="9">
                    <c:v>0.0655768080780316</c:v>
                  </c:pt>
                  <c:pt idx="10">
                    <c:v>0.0438248975327814</c:v>
                  </c:pt>
                  <c:pt idx="11">
                    <c:v>0.0236696698423234</c:v>
                  </c:pt>
                  <c:pt idx="12">
                    <c:v>0.0605196397778929</c:v>
                  </c:pt>
                  <c:pt idx="13">
                    <c:v>0.0468610609026271</c:v>
                  </c:pt>
                  <c:pt idx="14">
                    <c:v>0.0119894378181986</c:v>
                  </c:pt>
                  <c:pt idx="15">
                    <c:v>0.0514383953233169</c:v>
                  </c:pt>
                  <c:pt idx="16">
                    <c:v>0.0299909282495876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0.233218710944585</c:v>
                  </c:pt>
                  <c:pt idx="1">
                    <c:v>0.111362638112405</c:v>
                  </c:pt>
                  <c:pt idx="2">
                    <c:v>0.0668972185703938</c:v>
                  </c:pt>
                  <c:pt idx="3">
                    <c:v>0.204400368929061</c:v>
                  </c:pt>
                  <c:pt idx="4">
                    <c:v>0.274991289968417</c:v>
                  </c:pt>
                  <c:pt idx="5">
                    <c:v>0.150828441756011</c:v>
                  </c:pt>
                  <c:pt idx="6">
                    <c:v>0.318470687629961</c:v>
                  </c:pt>
                  <c:pt idx="7">
                    <c:v>0.0470159047896112</c:v>
                  </c:pt>
                  <c:pt idx="8">
                    <c:v>0.178555032896504</c:v>
                  </c:pt>
                  <c:pt idx="9">
                    <c:v>0.0655768080780316</c:v>
                  </c:pt>
                  <c:pt idx="10">
                    <c:v>0.0438248975327814</c:v>
                  </c:pt>
                  <c:pt idx="11">
                    <c:v>0.0236696698423234</c:v>
                  </c:pt>
                  <c:pt idx="12">
                    <c:v>0.0605196397778929</c:v>
                  </c:pt>
                  <c:pt idx="13">
                    <c:v>0.0468610609026271</c:v>
                  </c:pt>
                  <c:pt idx="14">
                    <c:v>0.0119894378181986</c:v>
                  </c:pt>
                  <c:pt idx="15">
                    <c:v>0.0514383953233169</c:v>
                  </c:pt>
                  <c:pt idx="16">
                    <c:v>0.0299909282495876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5.855915019286702</c:v>
                </c:pt>
                <c:pt idx="1">
                  <c:v>6.235748875037814</c:v>
                </c:pt>
                <c:pt idx="2">
                  <c:v>5.749654126891144</c:v>
                </c:pt>
                <c:pt idx="3">
                  <c:v>5.33822477920835</c:v>
                </c:pt>
                <c:pt idx="4">
                  <c:v>5.296488307814054</c:v>
                </c:pt>
                <c:pt idx="5">
                  <c:v>5.623856202708993</c:v>
                </c:pt>
                <c:pt idx="6">
                  <c:v>5.174650615956266</c:v>
                </c:pt>
                <c:pt idx="7">
                  <c:v>5.341828886303793</c:v>
                </c:pt>
                <c:pt idx="8">
                  <c:v>5.447554988329738</c:v>
                </c:pt>
                <c:pt idx="9">
                  <c:v>5.528954810116359</c:v>
                </c:pt>
                <c:pt idx="10">
                  <c:v>5.674122337854433</c:v>
                </c:pt>
                <c:pt idx="11">
                  <c:v>5.886423280985762</c:v>
                </c:pt>
                <c:pt idx="12">
                  <c:v>6.224672019071123</c:v>
                </c:pt>
                <c:pt idx="13">
                  <c:v>6.544565115053226</c:v>
                </c:pt>
                <c:pt idx="14">
                  <c:v>7.618622416081584</c:v>
                </c:pt>
                <c:pt idx="15">
                  <c:v>8.187961107081898</c:v>
                </c:pt>
                <c:pt idx="16">
                  <c:v>7.680856822601902</c:v>
                </c:pt>
              </c:numCache>
            </c:numRef>
          </c:yVal>
          <c:smooth val="0"/>
        </c:ser>
        <c:ser>
          <c:idx val="7"/>
          <c:order val="10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0.322155735267489</c:v>
                  </c:pt>
                  <c:pt idx="1">
                    <c:v>0.102171331389217</c:v>
                  </c:pt>
                  <c:pt idx="2">
                    <c:v>0.0912639108272329</c:v>
                  </c:pt>
                  <c:pt idx="3">
                    <c:v>0.123941741921972</c:v>
                  </c:pt>
                  <c:pt idx="4">
                    <c:v>0.351478277295314</c:v>
                  </c:pt>
                  <c:pt idx="5">
                    <c:v>0.215971814460967</c:v>
                  </c:pt>
                  <c:pt idx="6">
                    <c:v>0.0373718424195505</c:v>
                  </c:pt>
                  <c:pt idx="7">
                    <c:v>0.0653160560088549</c:v>
                  </c:pt>
                  <c:pt idx="8">
                    <c:v>0.0374786482272421</c:v>
                  </c:pt>
                  <c:pt idx="9">
                    <c:v>0.0433038393662269</c:v>
                  </c:pt>
                  <c:pt idx="10">
                    <c:v>0.0356092061091312</c:v>
                  </c:pt>
                  <c:pt idx="11">
                    <c:v>0.00806869950978325</c:v>
                  </c:pt>
                  <c:pt idx="12">
                    <c:v>0.0430295410834374</c:v>
                  </c:pt>
                  <c:pt idx="13">
                    <c:v>0.00455812676213972</c:v>
                  </c:pt>
                  <c:pt idx="14">
                    <c:v>0.0359006919976463</c:v>
                  </c:pt>
                  <c:pt idx="15">
                    <c:v>0.00690720420190546</c:v>
                  </c:pt>
                  <c:pt idx="16">
                    <c:v>0.0222481868390081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0.322155735267489</c:v>
                  </c:pt>
                  <c:pt idx="1">
                    <c:v>0.102171331389217</c:v>
                  </c:pt>
                  <c:pt idx="2">
                    <c:v>0.0912639108272329</c:v>
                  </c:pt>
                  <c:pt idx="3">
                    <c:v>0.123941741921972</c:v>
                  </c:pt>
                  <c:pt idx="4">
                    <c:v>0.351478277295314</c:v>
                  </c:pt>
                  <c:pt idx="5">
                    <c:v>0.215971814460967</c:v>
                  </c:pt>
                  <c:pt idx="6">
                    <c:v>0.0373718424195505</c:v>
                  </c:pt>
                  <c:pt idx="7">
                    <c:v>0.0653160560088549</c:v>
                  </c:pt>
                  <c:pt idx="8">
                    <c:v>0.0374786482272421</c:v>
                  </c:pt>
                  <c:pt idx="9">
                    <c:v>0.0433038393662269</c:v>
                  </c:pt>
                  <c:pt idx="10">
                    <c:v>0.0356092061091312</c:v>
                  </c:pt>
                  <c:pt idx="11">
                    <c:v>0.00806869950978325</c:v>
                  </c:pt>
                  <c:pt idx="12">
                    <c:v>0.0430295410834374</c:v>
                  </c:pt>
                  <c:pt idx="13">
                    <c:v>0.00455812676213972</c:v>
                  </c:pt>
                  <c:pt idx="14">
                    <c:v>0.0359006919976463</c:v>
                  </c:pt>
                  <c:pt idx="15">
                    <c:v>0.00690720420190546</c:v>
                  </c:pt>
                  <c:pt idx="16">
                    <c:v>0.0222481868390081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5.187765405753948</c:v>
                </c:pt>
                <c:pt idx="1">
                  <c:v>5.399752008694264</c:v>
                </c:pt>
                <c:pt idx="2">
                  <c:v>5.4623410365863</c:v>
                </c:pt>
                <c:pt idx="3">
                  <c:v>5.616076731140707</c:v>
                </c:pt>
                <c:pt idx="4">
                  <c:v>6.512246424488075</c:v>
                </c:pt>
                <c:pt idx="5">
                  <c:v>7.130483466590527</c:v>
                </c:pt>
                <c:pt idx="6">
                  <c:v>8.184580486669997</c:v>
                </c:pt>
                <c:pt idx="7">
                  <c:v>8.541789721938231</c:v>
                </c:pt>
                <c:pt idx="8">
                  <c:v>8.816963682148411</c:v>
                </c:pt>
                <c:pt idx="9">
                  <c:v>9.076893959713525</c:v>
                </c:pt>
                <c:pt idx="10">
                  <c:v>9.22697037948367</c:v>
                </c:pt>
                <c:pt idx="11">
                  <c:v>9.31985942598479</c:v>
                </c:pt>
                <c:pt idx="12">
                  <c:v>9.4651711327626</c:v>
                </c:pt>
                <c:pt idx="13">
                  <c:v>9.473244901891153</c:v>
                </c:pt>
                <c:pt idx="14">
                  <c:v>9.301584570786875</c:v>
                </c:pt>
                <c:pt idx="15">
                  <c:v>9.31072897646661</c:v>
                </c:pt>
                <c:pt idx="16">
                  <c:v>9.110994988263293</c:v>
                </c:pt>
              </c:numCache>
            </c:numRef>
          </c:yVal>
          <c:smooth val="0"/>
        </c:ser>
        <c:ser>
          <c:idx val="11"/>
          <c:order val="11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0.209927231946204</c:v>
                  </c:pt>
                  <c:pt idx="1">
                    <c:v>0.120372792512014</c:v>
                  </c:pt>
                  <c:pt idx="2">
                    <c:v>0.0863078411244763</c:v>
                  </c:pt>
                  <c:pt idx="3">
                    <c:v>0.0641980698826064</c:v>
                  </c:pt>
                  <c:pt idx="4">
                    <c:v>0.100249595676236</c:v>
                  </c:pt>
                  <c:pt idx="5">
                    <c:v>0.167153045131821</c:v>
                  </c:pt>
                  <c:pt idx="6">
                    <c:v>0.0831422735710452</c:v>
                  </c:pt>
                  <c:pt idx="7">
                    <c:v>0.0427737188923086</c:v>
                  </c:pt>
                  <c:pt idx="8">
                    <c:v>0.0830876713414968</c:v>
                  </c:pt>
                  <c:pt idx="9">
                    <c:v>0.0315427201960422</c:v>
                  </c:pt>
                  <c:pt idx="10">
                    <c:v>0.0156222588991768</c:v>
                  </c:pt>
                  <c:pt idx="11">
                    <c:v>0.0692717594491949</c:v>
                  </c:pt>
                  <c:pt idx="12">
                    <c:v>0.0527041425617387</c:v>
                  </c:pt>
                  <c:pt idx="13">
                    <c:v>0.0356718152009639</c:v>
                  </c:pt>
                  <c:pt idx="14">
                    <c:v>0.0111061667713221</c:v>
                  </c:pt>
                  <c:pt idx="15">
                    <c:v>0.0204432293241656</c:v>
                  </c:pt>
                  <c:pt idx="16">
                    <c:v>0.0199844915770919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0.209927231946204</c:v>
                  </c:pt>
                  <c:pt idx="1">
                    <c:v>0.120372792512014</c:v>
                  </c:pt>
                  <c:pt idx="2">
                    <c:v>0.0863078411244763</c:v>
                  </c:pt>
                  <c:pt idx="3">
                    <c:v>0.0641980698826064</c:v>
                  </c:pt>
                  <c:pt idx="4">
                    <c:v>0.100249595676236</c:v>
                  </c:pt>
                  <c:pt idx="5">
                    <c:v>0.167153045131821</c:v>
                  </c:pt>
                  <c:pt idx="6">
                    <c:v>0.0831422735710452</c:v>
                  </c:pt>
                  <c:pt idx="7">
                    <c:v>0.0427737188923086</c:v>
                  </c:pt>
                  <c:pt idx="8">
                    <c:v>0.0830876713414968</c:v>
                  </c:pt>
                  <c:pt idx="9">
                    <c:v>0.0315427201960422</c:v>
                  </c:pt>
                  <c:pt idx="10">
                    <c:v>0.0156222588991768</c:v>
                  </c:pt>
                  <c:pt idx="11">
                    <c:v>0.0692717594491949</c:v>
                  </c:pt>
                  <c:pt idx="12">
                    <c:v>0.0527041425617387</c:v>
                  </c:pt>
                  <c:pt idx="13">
                    <c:v>0.0356718152009639</c:v>
                  </c:pt>
                  <c:pt idx="14">
                    <c:v>0.0111061667713221</c:v>
                  </c:pt>
                  <c:pt idx="15">
                    <c:v>0.0204432293241656</c:v>
                  </c:pt>
                  <c:pt idx="16">
                    <c:v>0.0199844915770919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6.49271779325836</c:v>
                </c:pt>
                <c:pt idx="1">
                  <c:v>6.782290007343512</c:v>
                </c:pt>
                <c:pt idx="2">
                  <c:v>6.71569183116355</c:v>
                </c:pt>
                <c:pt idx="3">
                  <c:v>6.799714697293065</c:v>
                </c:pt>
                <c:pt idx="4">
                  <c:v>7.349159271766639</c:v>
                </c:pt>
                <c:pt idx="5">
                  <c:v>7.552426596202798</c:v>
                </c:pt>
                <c:pt idx="6">
                  <c:v>8.06049213038365</c:v>
                </c:pt>
                <c:pt idx="7">
                  <c:v>8.420207784320107</c:v>
                </c:pt>
                <c:pt idx="8">
                  <c:v>8.515482591651645</c:v>
                </c:pt>
                <c:pt idx="9">
                  <c:v>8.982160124682588</c:v>
                </c:pt>
                <c:pt idx="10">
                  <c:v>9.277148616033017</c:v>
                </c:pt>
                <c:pt idx="11">
                  <c:v>9.293513610116</c:v>
                </c:pt>
                <c:pt idx="12">
                  <c:v>9.388266319080527</c:v>
                </c:pt>
                <c:pt idx="13">
                  <c:v>9.514200569940131</c:v>
                </c:pt>
                <c:pt idx="14">
                  <c:v>9.89843174855684</c:v>
                </c:pt>
                <c:pt idx="15">
                  <c:v>10.15976085170479</c:v>
                </c:pt>
                <c:pt idx="16">
                  <c:v>9.76653741241044</c:v>
                </c:pt>
              </c:numCache>
            </c:numRef>
          </c:yVal>
          <c:smooth val="0"/>
        </c:ser>
        <c:ser>
          <c:idx val="12"/>
          <c:order val="12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6.600039698059645</c:v>
                </c:pt>
                <c:pt idx="1">
                  <c:v>6.904681515757622</c:v>
                </c:pt>
                <c:pt idx="2">
                  <c:v>6.781620907814895</c:v>
                </c:pt>
                <c:pt idx="3">
                  <c:v>6.841136260752616</c:v>
                </c:pt>
                <c:pt idx="4">
                  <c:v>7.411527998222235</c:v>
                </c:pt>
                <c:pt idx="5">
                  <c:v>7.695528827396498</c:v>
                </c:pt>
                <c:pt idx="6">
                  <c:v>8.428225475241694</c:v>
                </c:pt>
                <c:pt idx="7">
                  <c:v>8.786425627610617</c:v>
                </c:pt>
                <c:pt idx="8">
                  <c:v>8.993028329202996</c:v>
                </c:pt>
                <c:pt idx="9">
                  <c:v>9.333203167857475</c:v>
                </c:pt>
                <c:pt idx="10">
                  <c:v>9.553871075804558</c:v>
                </c:pt>
                <c:pt idx="11">
                  <c:v>9.607998722992645</c:v>
                </c:pt>
                <c:pt idx="12">
                  <c:v>9.729584601434593</c:v>
                </c:pt>
                <c:pt idx="13">
                  <c:v>9.79547911444748</c:v>
                </c:pt>
                <c:pt idx="14">
                  <c:v>9.998205313554571</c:v>
                </c:pt>
                <c:pt idx="15">
                  <c:v>10.22130374947096</c:v>
                </c:pt>
                <c:pt idx="16">
                  <c:v>9.856175079947144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0024"/>
        <c:axId val="-2107136072"/>
      </c:scatterChart>
      <c:valAx>
        <c:axId val="-21125518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395880"/>
        <c:crosses val="autoZero"/>
        <c:crossBetween val="midCat"/>
        <c:majorUnit val="6.0"/>
      </c:valAx>
      <c:valAx>
        <c:axId val="-21123958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551864"/>
        <c:crosses val="autoZero"/>
        <c:crossBetween val="midCat"/>
      </c:valAx>
      <c:valAx>
        <c:axId val="-2107136072"/>
        <c:scaling>
          <c:orientation val="minMax"/>
          <c:max val="12.0"/>
          <c:min val="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3480024"/>
        <c:crosses val="max"/>
        <c:crossBetween val="midCat"/>
        <c:majorUnit val="1.0"/>
        <c:minorUnit val="0.2"/>
      </c:valAx>
      <c:valAx>
        <c:axId val="-211348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71360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0.0111222439918649</c:v>
                  </c:pt>
                  <c:pt idx="1">
                    <c:v>0.0231527971556316</c:v>
                  </c:pt>
                  <c:pt idx="2">
                    <c:v>0.0333667319755947</c:v>
                  </c:pt>
                  <c:pt idx="3">
                    <c:v>0.0128428611253918</c:v>
                  </c:pt>
                  <c:pt idx="4">
                    <c:v>3.78083988766888E-16</c:v>
                  </c:pt>
                  <c:pt idx="5">
                    <c:v>0.00642653694629128</c:v>
                  </c:pt>
                  <c:pt idx="6">
                    <c:v>0.00643723420220048</c:v>
                  </c:pt>
                  <c:pt idx="7">
                    <c:v>0.00645967277618878</c:v>
                  </c:pt>
                  <c:pt idx="8">
                    <c:v>0.0194671424285389</c:v>
                  </c:pt>
                  <c:pt idx="9">
                    <c:v>0.00652579422696261</c:v>
                  </c:pt>
                  <c:pt idx="10">
                    <c:v>0.0114149702244511</c:v>
                  </c:pt>
                  <c:pt idx="11">
                    <c:v>0.0132765313991349</c:v>
                  </c:pt>
                  <c:pt idx="12">
                    <c:v>0.00669601925366199</c:v>
                  </c:pt>
                  <c:pt idx="13">
                    <c:v>0.0349933777795297</c:v>
                  </c:pt>
                  <c:pt idx="14">
                    <c:v>0.0475430275512592</c:v>
                  </c:pt>
                  <c:pt idx="15">
                    <c:v>0.0826692238688051</c:v>
                  </c:pt>
                  <c:pt idx="16">
                    <c:v>0.0624920592673095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0.0111222439918649</c:v>
                  </c:pt>
                  <c:pt idx="1">
                    <c:v>0.0231527971556316</c:v>
                  </c:pt>
                  <c:pt idx="2">
                    <c:v>0.0333667319755947</c:v>
                  </c:pt>
                  <c:pt idx="3">
                    <c:v>0.0128428611253918</c:v>
                  </c:pt>
                  <c:pt idx="4">
                    <c:v>3.78083988766888E-16</c:v>
                  </c:pt>
                  <c:pt idx="5">
                    <c:v>0.00642653694629128</c:v>
                  </c:pt>
                  <c:pt idx="6">
                    <c:v>0.00643723420220048</c:v>
                  </c:pt>
                  <c:pt idx="7">
                    <c:v>0.00645967277618878</c:v>
                  </c:pt>
                  <c:pt idx="8">
                    <c:v>0.0194671424285389</c:v>
                  </c:pt>
                  <c:pt idx="9">
                    <c:v>0.00652579422696261</c:v>
                  </c:pt>
                  <c:pt idx="10">
                    <c:v>0.0114149702244511</c:v>
                  </c:pt>
                  <c:pt idx="11">
                    <c:v>0.0132765313991349</c:v>
                  </c:pt>
                  <c:pt idx="12">
                    <c:v>0.00669601925366199</c:v>
                  </c:pt>
                  <c:pt idx="13">
                    <c:v>0.0349933777795297</c:v>
                  </c:pt>
                  <c:pt idx="14">
                    <c:v>0.0475430275512592</c:v>
                  </c:pt>
                  <c:pt idx="15">
                    <c:v>0.0826692238688051</c:v>
                  </c:pt>
                  <c:pt idx="16">
                    <c:v>0.0624920592673095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2.11322635845433</c:v>
                </c:pt>
                <c:pt idx="1">
                  <c:v>2.094689285134555</c:v>
                </c:pt>
                <c:pt idx="2">
                  <c:v>2.102104114462465</c:v>
                </c:pt>
                <c:pt idx="3">
                  <c:v>2.09839669979851</c:v>
                </c:pt>
                <c:pt idx="4">
                  <c:v>2.102104114462465</c:v>
                </c:pt>
                <c:pt idx="5">
                  <c:v>2.118617179297953</c:v>
                </c:pt>
                <c:pt idx="6">
                  <c:v>2.1593091005962</c:v>
                </c:pt>
                <c:pt idx="7">
                  <c:v>2.166835907217714</c:v>
                </c:pt>
                <c:pt idx="8">
                  <c:v>2.169196464843655</c:v>
                </c:pt>
                <c:pt idx="9">
                  <c:v>2.207854065417197</c:v>
                </c:pt>
                <c:pt idx="10">
                  <c:v>2.385728776910271</c:v>
                </c:pt>
                <c:pt idx="11">
                  <c:v>2.280399670715532</c:v>
                </c:pt>
                <c:pt idx="12">
                  <c:v>2.427815669681218</c:v>
                </c:pt>
                <c:pt idx="13">
                  <c:v>3.394357644614378</c:v>
                </c:pt>
                <c:pt idx="14">
                  <c:v>6.709314908639804</c:v>
                </c:pt>
                <c:pt idx="15">
                  <c:v>6.956024694103735</c:v>
                </c:pt>
                <c:pt idx="16">
                  <c:v>7.121363141841346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0.326233732847375</c:v>
                  </c:pt>
                  <c:pt idx="1">
                    <c:v>0.133821474560356</c:v>
                  </c:pt>
                  <c:pt idx="2">
                    <c:v>0.192412642641911</c:v>
                  </c:pt>
                  <c:pt idx="3">
                    <c:v>0.0928942068048812</c:v>
                  </c:pt>
                  <c:pt idx="4">
                    <c:v>0.0948709006689197</c:v>
                  </c:pt>
                  <c:pt idx="5">
                    <c:v>0.0500926787397087</c:v>
                  </c:pt>
                  <c:pt idx="6">
                    <c:v>0.0754187957242257</c:v>
                  </c:pt>
                  <c:pt idx="7">
                    <c:v>0.107903796967958</c:v>
                  </c:pt>
                  <c:pt idx="8">
                    <c:v>0.121968067730696</c:v>
                  </c:pt>
                  <c:pt idx="9">
                    <c:v>0.0764563671729365</c:v>
                  </c:pt>
                  <c:pt idx="10">
                    <c:v>0.231218822171888</c:v>
                  </c:pt>
                  <c:pt idx="11">
                    <c:v>0.133970532767272</c:v>
                  </c:pt>
                  <c:pt idx="12">
                    <c:v>0.888534371892339</c:v>
                  </c:pt>
                  <c:pt idx="13">
                    <c:v>0.892609364330617</c:v>
                  </c:pt>
                  <c:pt idx="14">
                    <c:v>0.690106097408802</c:v>
                  </c:pt>
                  <c:pt idx="15">
                    <c:v>0.993982064264206</c:v>
                  </c:pt>
                  <c:pt idx="16">
                    <c:v>0.844990617223378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0.326233732847375</c:v>
                  </c:pt>
                  <c:pt idx="1">
                    <c:v>0.133821474560356</c:v>
                  </c:pt>
                  <c:pt idx="2">
                    <c:v>0.192412642641911</c:v>
                  </c:pt>
                  <c:pt idx="3">
                    <c:v>0.0928942068048812</c:v>
                  </c:pt>
                  <c:pt idx="4">
                    <c:v>0.0948709006689197</c:v>
                  </c:pt>
                  <c:pt idx="5">
                    <c:v>0.0500926787397087</c:v>
                  </c:pt>
                  <c:pt idx="6">
                    <c:v>0.0754187957242257</c:v>
                  </c:pt>
                  <c:pt idx="7">
                    <c:v>0.107903796967958</c:v>
                  </c:pt>
                  <c:pt idx="8">
                    <c:v>0.121968067730696</c:v>
                  </c:pt>
                  <c:pt idx="9">
                    <c:v>0.0764563671729365</c:v>
                  </c:pt>
                  <c:pt idx="10">
                    <c:v>0.231218822171888</c:v>
                  </c:pt>
                  <c:pt idx="11">
                    <c:v>0.133970532767272</c:v>
                  </c:pt>
                  <c:pt idx="12">
                    <c:v>0.888534371892339</c:v>
                  </c:pt>
                  <c:pt idx="13">
                    <c:v>0.892609364330617</c:v>
                  </c:pt>
                  <c:pt idx="14">
                    <c:v>0.690106097408802</c:v>
                  </c:pt>
                  <c:pt idx="15">
                    <c:v>0.993982064264206</c:v>
                  </c:pt>
                  <c:pt idx="16">
                    <c:v>0.844990617223378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1.34586622695809</c:v>
                </c:pt>
                <c:pt idx="1">
                  <c:v>1.306936212128724</c:v>
                </c:pt>
                <c:pt idx="2">
                  <c:v>1.151216152811259</c:v>
                </c:pt>
                <c:pt idx="3">
                  <c:v>1.217953321090172</c:v>
                </c:pt>
                <c:pt idx="4">
                  <c:v>1.273567627989267</c:v>
                </c:pt>
                <c:pt idx="5">
                  <c:v>1.636360838830482</c:v>
                </c:pt>
                <c:pt idx="6">
                  <c:v>2.118544765106765</c:v>
                </c:pt>
                <c:pt idx="7">
                  <c:v>3.149732357515686</c:v>
                </c:pt>
                <c:pt idx="8">
                  <c:v>5.069232698511491</c:v>
                </c:pt>
                <c:pt idx="9">
                  <c:v>9.11072947376058</c:v>
                </c:pt>
                <c:pt idx="10">
                  <c:v>18.40195342462953</c:v>
                </c:pt>
                <c:pt idx="11">
                  <c:v>26.96386923965263</c:v>
                </c:pt>
                <c:pt idx="12">
                  <c:v>38.23442012270987</c:v>
                </c:pt>
                <c:pt idx="13">
                  <c:v>49.49504792237017</c:v>
                </c:pt>
                <c:pt idx="14">
                  <c:v>64.75769833784278</c:v>
                </c:pt>
                <c:pt idx="15">
                  <c:v>65.6371020744802</c:v>
                </c:pt>
                <c:pt idx="16">
                  <c:v>65.12334338077979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0.169998362549559</c:v>
                  </c:pt>
                  <c:pt idx="1">
                    <c:v>0.0981486003797836</c:v>
                  </c:pt>
                  <c:pt idx="2">
                    <c:v>0.0575875816085377</c:v>
                  </c:pt>
                  <c:pt idx="3">
                    <c:v>0.0251332811248163</c:v>
                  </c:pt>
                  <c:pt idx="4">
                    <c:v>0.13823304618649</c:v>
                  </c:pt>
                  <c:pt idx="5">
                    <c:v>0.283462927084746</c:v>
                  </c:pt>
                  <c:pt idx="6">
                    <c:v>0.0125975680411518</c:v>
                  </c:pt>
                  <c:pt idx="7">
                    <c:v>0.0768951207762471</c:v>
                  </c:pt>
                  <c:pt idx="8">
                    <c:v>0.0793050161221569</c:v>
                  </c:pt>
                  <c:pt idx="9">
                    <c:v>0.0383126359307924</c:v>
                  </c:pt>
                  <c:pt idx="10">
                    <c:v>0.0893556826259876</c:v>
                  </c:pt>
                  <c:pt idx="11">
                    <c:v>0.0389729507419316</c:v>
                  </c:pt>
                  <c:pt idx="12">
                    <c:v>0.205945626198708</c:v>
                  </c:pt>
                  <c:pt idx="13">
                    <c:v>0.0574471101157582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0.169998362549559</c:v>
                  </c:pt>
                  <c:pt idx="1">
                    <c:v>0.0981486003797836</c:v>
                  </c:pt>
                  <c:pt idx="2">
                    <c:v>0.0575875816085377</c:v>
                  </c:pt>
                  <c:pt idx="3">
                    <c:v>0.0251332811248163</c:v>
                  </c:pt>
                  <c:pt idx="4">
                    <c:v>0.13823304618649</c:v>
                  </c:pt>
                  <c:pt idx="5">
                    <c:v>0.283462927084746</c:v>
                  </c:pt>
                  <c:pt idx="6">
                    <c:v>0.0125975680411518</c:v>
                  </c:pt>
                  <c:pt idx="7">
                    <c:v>0.0768951207762471</c:v>
                  </c:pt>
                  <c:pt idx="8">
                    <c:v>0.0793050161221569</c:v>
                  </c:pt>
                  <c:pt idx="9">
                    <c:v>0.0383126359307924</c:v>
                  </c:pt>
                  <c:pt idx="10">
                    <c:v>0.0893556826259876</c:v>
                  </c:pt>
                  <c:pt idx="11">
                    <c:v>0.0389729507419316</c:v>
                  </c:pt>
                  <c:pt idx="12">
                    <c:v>0.205945626198708</c:v>
                  </c:pt>
                  <c:pt idx="13">
                    <c:v>0.0574471101157582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2.873119911360179</c:v>
                </c:pt>
                <c:pt idx="1">
                  <c:v>2.909396677917757</c:v>
                </c:pt>
                <c:pt idx="2">
                  <c:v>2.851353851425632</c:v>
                </c:pt>
                <c:pt idx="3">
                  <c:v>2.858609204737148</c:v>
                </c:pt>
                <c:pt idx="4">
                  <c:v>2.749778905064414</c:v>
                </c:pt>
                <c:pt idx="5">
                  <c:v>3.056932715022838</c:v>
                </c:pt>
                <c:pt idx="6">
                  <c:v>3.24385134766336</c:v>
                </c:pt>
                <c:pt idx="7">
                  <c:v>4.17477739073418</c:v>
                </c:pt>
                <c:pt idx="8">
                  <c:v>5.036913166527313</c:v>
                </c:pt>
                <c:pt idx="9">
                  <c:v>5.308754560321708</c:v>
                </c:pt>
                <c:pt idx="10">
                  <c:v>5.36134095755925</c:v>
                </c:pt>
                <c:pt idx="11">
                  <c:v>6.120283859735356</c:v>
                </c:pt>
                <c:pt idx="12">
                  <c:v>5.643938808308468</c:v>
                </c:pt>
                <c:pt idx="13">
                  <c:v>3.439293138802652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0.00644671951784675</c:v>
                </c:pt>
                <c:pt idx="3">
                  <c:v>0.0190256922491791</c:v>
                </c:pt>
                <c:pt idx="4">
                  <c:v>0.0316813889170811</c:v>
                </c:pt>
                <c:pt idx="5">
                  <c:v>0.0447682601560056</c:v>
                </c:pt>
                <c:pt idx="6">
                  <c:v>0.0581473502073482</c:v>
                </c:pt>
                <c:pt idx="7">
                  <c:v>0.071940133273208</c:v>
                </c:pt>
                <c:pt idx="8">
                  <c:v>0.0864159603811778</c:v>
                </c:pt>
                <c:pt idx="9">
                  <c:v>0.102797647702414</c:v>
                </c:pt>
                <c:pt idx="10">
                  <c:v>0.123565917167864</c:v>
                </c:pt>
                <c:pt idx="11">
                  <c:v>0.15063882990725</c:v>
                </c:pt>
                <c:pt idx="12">
                  <c:v>0.186441988770185</c:v>
                </c:pt>
                <c:pt idx="13">
                  <c:v>0.234629155286521</c:v>
                </c:pt>
                <c:pt idx="14">
                  <c:v>0.299905287282844</c:v>
                </c:pt>
                <c:pt idx="15">
                  <c:v>0.394250538516586</c:v>
                </c:pt>
                <c:pt idx="16">
                  <c:v>0.528495213530504</c:v>
                </c:pt>
                <c:pt idx="17">
                  <c:v>0.715381838697277</c:v>
                </c:pt>
                <c:pt idx="18">
                  <c:v>0.984390188720759</c:v>
                </c:pt>
                <c:pt idx="19">
                  <c:v>1.350970264656045</c:v>
                </c:pt>
                <c:pt idx="20">
                  <c:v>1.843905032117397</c:v>
                </c:pt>
                <c:pt idx="21">
                  <c:v>2.500926453809452</c:v>
                </c:pt>
                <c:pt idx="22">
                  <c:v>3.339766542236263</c:v>
                </c:pt>
                <c:pt idx="23">
                  <c:v>4.309965222993871</c:v>
                </c:pt>
                <c:pt idx="24">
                  <c:v>5.459170981472506</c:v>
                </c:pt>
                <c:pt idx="25">
                  <c:v>6.827408861073529</c:v>
                </c:pt>
                <c:pt idx="26">
                  <c:v>8.407226071485947</c:v>
                </c:pt>
                <c:pt idx="27">
                  <c:v>10.19754117395504</c:v>
                </c:pt>
                <c:pt idx="28">
                  <c:v>12.18586270275846</c:v>
                </c:pt>
                <c:pt idx="29">
                  <c:v>14.36487473587899</c:v>
                </c:pt>
                <c:pt idx="30">
                  <c:v>16.64247054282197</c:v>
                </c:pt>
                <c:pt idx="31">
                  <c:v>19.03191118274761</c:v>
                </c:pt>
                <c:pt idx="32">
                  <c:v>21.47128526557738</c:v>
                </c:pt>
                <c:pt idx="33">
                  <c:v>23.87715943018645</c:v>
                </c:pt>
                <c:pt idx="34">
                  <c:v>26.31556793012691</c:v>
                </c:pt>
                <c:pt idx="35">
                  <c:v>28.78842299485636</c:v>
                </c:pt>
                <c:pt idx="36">
                  <c:v>31.31934426822293</c:v>
                </c:pt>
                <c:pt idx="37">
                  <c:v>33.87269055759531</c:v>
                </c:pt>
                <c:pt idx="38">
                  <c:v>36.32304338412339</c:v>
                </c:pt>
                <c:pt idx="39">
                  <c:v>38.5994342789967</c:v>
                </c:pt>
                <c:pt idx="40">
                  <c:v>40.65854695913522</c:v>
                </c:pt>
                <c:pt idx="41">
                  <c:v>42.49700490644557</c:v>
                </c:pt>
                <c:pt idx="42">
                  <c:v>44.04337230143697</c:v>
                </c:pt>
                <c:pt idx="43">
                  <c:v>45.24762269551227</c:v>
                </c:pt>
                <c:pt idx="44">
                  <c:v>46.16600542630123</c:v>
                </c:pt>
                <c:pt idx="45">
                  <c:v>46.86989351682081</c:v>
                </c:pt>
                <c:pt idx="46">
                  <c:v>47.4226202299997</c:v>
                </c:pt>
                <c:pt idx="47">
                  <c:v>47.86707616128277</c:v>
                </c:pt>
                <c:pt idx="48">
                  <c:v>48.2422082844982</c:v>
                </c:pt>
                <c:pt idx="49">
                  <c:v>48.60666360745046</c:v>
                </c:pt>
                <c:pt idx="50">
                  <c:v>48.96026142855798</c:v>
                </c:pt>
                <c:pt idx="51">
                  <c:v>49.26307582359918</c:v>
                </c:pt>
                <c:pt idx="52">
                  <c:v>49.51649954978352</c:v>
                </c:pt>
                <c:pt idx="53">
                  <c:v>49.73401702918444</c:v>
                </c:pt>
                <c:pt idx="54">
                  <c:v>49.92024250429063</c:v>
                </c:pt>
                <c:pt idx="55">
                  <c:v>50.07809528297367</c:v>
                </c:pt>
                <c:pt idx="56">
                  <c:v>50.21244805751373</c:v>
                </c:pt>
                <c:pt idx="57">
                  <c:v>50.32557988516264</c:v>
                </c:pt>
                <c:pt idx="58">
                  <c:v>50.42034285074016</c:v>
                </c:pt>
                <c:pt idx="59">
                  <c:v>50.50156526625923</c:v>
                </c:pt>
                <c:pt idx="60">
                  <c:v>50.57431976168522</c:v>
                </c:pt>
                <c:pt idx="61">
                  <c:v>50.65023916079329</c:v>
                </c:pt>
                <c:pt idx="62">
                  <c:v>50.72740060079413</c:v>
                </c:pt>
                <c:pt idx="63">
                  <c:v>50.79598831381954</c:v>
                </c:pt>
                <c:pt idx="64">
                  <c:v>50.85555651092606</c:v>
                </c:pt>
                <c:pt idx="65">
                  <c:v>50.90382648164958</c:v>
                </c:pt>
                <c:pt idx="66">
                  <c:v>50.94276292160095</c:v>
                </c:pt>
                <c:pt idx="67">
                  <c:v>50.97671928223901</c:v>
                </c:pt>
                <c:pt idx="68">
                  <c:v>51.00581612283777</c:v>
                </c:pt>
                <c:pt idx="69">
                  <c:v>51.03092118979976</c:v>
                </c:pt>
                <c:pt idx="70">
                  <c:v>51.04297921997947</c:v>
                </c:pt>
                <c:pt idx="71">
                  <c:v>51.04297921997947</c:v>
                </c:pt>
                <c:pt idx="72">
                  <c:v>51.04297921997947</c:v>
                </c:pt>
                <c:pt idx="73">
                  <c:v>51.04297921997947</c:v>
                </c:pt>
                <c:pt idx="74">
                  <c:v>51.04297921997947</c:v>
                </c:pt>
                <c:pt idx="75">
                  <c:v>51.04297921997947</c:v>
                </c:pt>
                <c:pt idx="76">
                  <c:v>51.04297921997947</c:v>
                </c:pt>
                <c:pt idx="77">
                  <c:v>51.04297921997947</c:v>
                </c:pt>
                <c:pt idx="78">
                  <c:v>51.04297921997947</c:v>
                </c:pt>
                <c:pt idx="79">
                  <c:v>51.04297921997947</c:v>
                </c:pt>
                <c:pt idx="80">
                  <c:v>51.04297921997947</c:v>
                </c:pt>
                <c:pt idx="81">
                  <c:v>51.04297921997947</c:v>
                </c:pt>
                <c:pt idx="82">
                  <c:v>51.04297921997947</c:v>
                </c:pt>
                <c:pt idx="83">
                  <c:v>51.04297921997947</c:v>
                </c:pt>
                <c:pt idx="84">
                  <c:v>51.04297921997947</c:v>
                </c:pt>
                <c:pt idx="85">
                  <c:v>51.04297921997947</c:v>
                </c:pt>
                <c:pt idx="86">
                  <c:v>51.04297921997947</c:v>
                </c:pt>
                <c:pt idx="87">
                  <c:v>51.04297921997947</c:v>
                </c:pt>
                <c:pt idx="88">
                  <c:v>51.04297921997947</c:v>
                </c:pt>
                <c:pt idx="89">
                  <c:v>51.04297921997947</c:v>
                </c:pt>
                <c:pt idx="90">
                  <c:v>51.04297921997947</c:v>
                </c:pt>
                <c:pt idx="91">
                  <c:v>51.04297921997947</c:v>
                </c:pt>
                <c:pt idx="92">
                  <c:v>51.04297921997947</c:v>
                </c:pt>
                <c:pt idx="93">
                  <c:v>51.04297921997947</c:v>
                </c:pt>
                <c:pt idx="94">
                  <c:v>51.04297921997947</c:v>
                </c:pt>
                <c:pt idx="95">
                  <c:v>51.04297921997947</c:v>
                </c:pt>
                <c:pt idx="96">
                  <c:v>51.04297921997947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0.829558367084125</c:v>
                  </c:pt>
                  <c:pt idx="1">
                    <c:v>0.259194424690679</c:v>
                  </c:pt>
                  <c:pt idx="2">
                    <c:v>0.984449496110516</c:v>
                  </c:pt>
                  <c:pt idx="3">
                    <c:v>0.835970627445369</c:v>
                  </c:pt>
                  <c:pt idx="4">
                    <c:v>0.464478545367837</c:v>
                  </c:pt>
                  <c:pt idx="5">
                    <c:v>0.267377921299162</c:v>
                  </c:pt>
                  <c:pt idx="6">
                    <c:v>0.228657771640323</c:v>
                  </c:pt>
                  <c:pt idx="7">
                    <c:v>0.578816959670638</c:v>
                  </c:pt>
                  <c:pt idx="8">
                    <c:v>0.423419671062149</c:v>
                  </c:pt>
                  <c:pt idx="9">
                    <c:v>0.380138016463183</c:v>
                  </c:pt>
                  <c:pt idx="10">
                    <c:v>0.335594947701687</c:v>
                  </c:pt>
                  <c:pt idx="11">
                    <c:v>0.23283663712028</c:v>
                  </c:pt>
                  <c:pt idx="12">
                    <c:v>0.461041713441025</c:v>
                  </c:pt>
                  <c:pt idx="13">
                    <c:v>0.176547412755438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0.829558367084125</c:v>
                  </c:pt>
                  <c:pt idx="1">
                    <c:v>0.259194424690679</c:v>
                  </c:pt>
                  <c:pt idx="2">
                    <c:v>0.984449496110516</c:v>
                  </c:pt>
                  <c:pt idx="3">
                    <c:v>0.835970627445369</c:v>
                  </c:pt>
                  <c:pt idx="4">
                    <c:v>0.464478545367837</c:v>
                  </c:pt>
                  <c:pt idx="5">
                    <c:v>0.267377921299162</c:v>
                  </c:pt>
                  <c:pt idx="6">
                    <c:v>0.228657771640323</c:v>
                  </c:pt>
                  <c:pt idx="7">
                    <c:v>0.578816959670638</c:v>
                  </c:pt>
                  <c:pt idx="8">
                    <c:v>0.423419671062149</c:v>
                  </c:pt>
                  <c:pt idx="9">
                    <c:v>0.380138016463183</c:v>
                  </c:pt>
                  <c:pt idx="10">
                    <c:v>0.335594947701687</c:v>
                  </c:pt>
                  <c:pt idx="11">
                    <c:v>0.23283663712028</c:v>
                  </c:pt>
                  <c:pt idx="12">
                    <c:v>0.461041713441025</c:v>
                  </c:pt>
                  <c:pt idx="13">
                    <c:v>0.176547412755438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51.25686143650936</c:v>
                </c:pt>
                <c:pt idx="1">
                  <c:v>51.21422616787388</c:v>
                </c:pt>
                <c:pt idx="2">
                  <c:v>51.02144060534823</c:v>
                </c:pt>
                <c:pt idx="3">
                  <c:v>51.33286343712044</c:v>
                </c:pt>
                <c:pt idx="4">
                  <c:v>51.30135041247683</c:v>
                </c:pt>
                <c:pt idx="5">
                  <c:v>50.97481982098937</c:v>
                </c:pt>
                <c:pt idx="6">
                  <c:v>50.12681840669751</c:v>
                </c:pt>
                <c:pt idx="7">
                  <c:v>48.45917790091801</c:v>
                </c:pt>
                <c:pt idx="8">
                  <c:v>44.93496096603594</c:v>
                </c:pt>
                <c:pt idx="9">
                  <c:v>40.17277128414822</c:v>
                </c:pt>
                <c:pt idx="10">
                  <c:v>30.45323806379801</c:v>
                </c:pt>
                <c:pt idx="11">
                  <c:v>22.75225654655926</c:v>
                </c:pt>
                <c:pt idx="12">
                  <c:v>14.74666062420224</c:v>
                </c:pt>
                <c:pt idx="13">
                  <c:v>8.431459968323343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0.0399333577638006</c:v>
                  </c:pt>
                  <c:pt idx="4">
                    <c:v>0.0113709197456269</c:v>
                  </c:pt>
                  <c:pt idx="5">
                    <c:v>0.0</c:v>
                  </c:pt>
                  <c:pt idx="6">
                    <c:v>0.00658116055991623</c:v>
                  </c:pt>
                  <c:pt idx="7">
                    <c:v>0.00660410082486762</c:v>
                  </c:pt>
                  <c:pt idx="8">
                    <c:v>0.0673290893067659</c:v>
                  </c:pt>
                  <c:pt idx="9">
                    <c:v>0.0811647414120247</c:v>
                  </c:pt>
                  <c:pt idx="10">
                    <c:v>0.169519314260949</c:v>
                  </c:pt>
                  <c:pt idx="11">
                    <c:v>0.185984938744558</c:v>
                  </c:pt>
                  <c:pt idx="12">
                    <c:v>0.4303564714074</c:v>
                  </c:pt>
                  <c:pt idx="13">
                    <c:v>0.341972933823467</c:v>
                  </c:pt>
                  <c:pt idx="14">
                    <c:v>0.239633676730547</c:v>
                  </c:pt>
                  <c:pt idx="15">
                    <c:v>0.439332153385237</c:v>
                  </c:pt>
                  <c:pt idx="16">
                    <c:v>0.356198269418129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0.0399333577638006</c:v>
                  </c:pt>
                  <c:pt idx="4">
                    <c:v>0.0113709197456269</c:v>
                  </c:pt>
                  <c:pt idx="5">
                    <c:v>0.0</c:v>
                  </c:pt>
                  <c:pt idx="6">
                    <c:v>0.00658116055991623</c:v>
                  </c:pt>
                  <c:pt idx="7">
                    <c:v>0.00660410082486762</c:v>
                  </c:pt>
                  <c:pt idx="8">
                    <c:v>0.0673290893067659</c:v>
                  </c:pt>
                  <c:pt idx="9">
                    <c:v>0.0811647414120247</c:v>
                  </c:pt>
                  <c:pt idx="10">
                    <c:v>0.169519314260949</c:v>
                  </c:pt>
                  <c:pt idx="11">
                    <c:v>0.185984938744558</c:v>
                  </c:pt>
                  <c:pt idx="12">
                    <c:v>0.4303564714074</c:v>
                  </c:pt>
                  <c:pt idx="13">
                    <c:v>0.341972933823467</c:v>
                  </c:pt>
                  <c:pt idx="14">
                    <c:v>0.239633676730547</c:v>
                  </c:pt>
                  <c:pt idx="15">
                    <c:v>0.439332153385237</c:v>
                  </c:pt>
                  <c:pt idx="16">
                    <c:v>0.356198269418129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0.0606449053100103</c:v>
                </c:pt>
                <c:pt idx="4">
                  <c:v>0.14782195669315</c:v>
                </c:pt>
                <c:pt idx="5">
                  <c:v>0.409678632389446</c:v>
                </c:pt>
                <c:pt idx="6">
                  <c:v>1.42106342299707</c:v>
                </c:pt>
                <c:pt idx="7">
                  <c:v>3.725183163045913</c:v>
                </c:pt>
                <c:pt idx="8">
                  <c:v>6.672239873214083</c:v>
                </c:pt>
                <c:pt idx="9">
                  <c:v>10.55422836996378</c:v>
                </c:pt>
                <c:pt idx="10">
                  <c:v>14.54105782773709</c:v>
                </c:pt>
                <c:pt idx="11">
                  <c:v>18.00064930946755</c:v>
                </c:pt>
                <c:pt idx="12">
                  <c:v>20.11763966187424</c:v>
                </c:pt>
                <c:pt idx="13">
                  <c:v>21.18323345017616</c:v>
                </c:pt>
                <c:pt idx="14">
                  <c:v>22.56240714375017</c:v>
                </c:pt>
                <c:pt idx="15">
                  <c:v>23.77358694154182</c:v>
                </c:pt>
                <c:pt idx="16">
                  <c:v>24.30081563450643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0.000700737351002585</c:v>
                </c:pt>
                <c:pt idx="1">
                  <c:v>0.00140147470200517</c:v>
                </c:pt>
                <c:pt idx="2">
                  <c:v>0.0126459691203349</c:v>
                </c:pt>
                <c:pt idx="3">
                  <c:v>0.0364091715755831</c:v>
                </c:pt>
                <c:pt idx="4">
                  <c:v>0.0609801563103104</c:v>
                </c:pt>
                <c:pt idx="5">
                  <c:v>0.0876010568796817</c:v>
                </c:pt>
                <c:pt idx="6">
                  <c:v>0.119254651796561</c:v>
                </c:pt>
                <c:pt idx="7">
                  <c:v>0.160298759508292</c:v>
                </c:pt>
                <c:pt idx="8">
                  <c:v>0.220888738526004</c:v>
                </c:pt>
                <c:pt idx="9">
                  <c:v>0.311912204207008</c:v>
                </c:pt>
                <c:pt idx="10">
                  <c:v>0.453022257900168</c:v>
                </c:pt>
                <c:pt idx="11">
                  <c:v>0.651480993848675</c:v>
                </c:pt>
                <c:pt idx="12">
                  <c:v>0.909101372739755</c:v>
                </c:pt>
                <c:pt idx="13">
                  <c:v>1.228630122606723</c:v>
                </c:pt>
                <c:pt idx="14">
                  <c:v>1.627209536622327</c:v>
                </c:pt>
                <c:pt idx="15">
                  <c:v>2.163532410344775</c:v>
                </c:pt>
                <c:pt idx="16">
                  <c:v>2.921148404152488</c:v>
                </c:pt>
                <c:pt idx="17">
                  <c:v>3.934526135585325</c:v>
                </c:pt>
                <c:pt idx="18">
                  <c:v>5.206799994694797</c:v>
                </c:pt>
                <c:pt idx="19">
                  <c:v>6.76362107303752</c:v>
                </c:pt>
                <c:pt idx="20">
                  <c:v>8.692770531004604</c:v>
                </c:pt>
                <c:pt idx="21">
                  <c:v>11.03093792631265</c:v>
                </c:pt>
                <c:pt idx="22">
                  <c:v>13.85063686639565</c:v>
                </c:pt>
                <c:pt idx="23">
                  <c:v>16.70402206626358</c:v>
                </c:pt>
                <c:pt idx="24">
                  <c:v>19.29404499329607</c:v>
                </c:pt>
                <c:pt idx="25">
                  <c:v>21.76769465797652</c:v>
                </c:pt>
                <c:pt idx="26">
                  <c:v>24.1947381719578</c:v>
                </c:pt>
                <c:pt idx="27">
                  <c:v>26.78677316918399</c:v>
                </c:pt>
                <c:pt idx="28">
                  <c:v>29.71039536544364</c:v>
                </c:pt>
                <c:pt idx="29">
                  <c:v>33.02733032939559</c:v>
                </c:pt>
                <c:pt idx="30">
                  <c:v>36.47064737825922</c:v>
                </c:pt>
                <c:pt idx="31">
                  <c:v>40.0761455060911</c:v>
                </c:pt>
                <c:pt idx="32">
                  <c:v>43.99107030516007</c:v>
                </c:pt>
                <c:pt idx="33">
                  <c:v>48.17553600244667</c:v>
                </c:pt>
                <c:pt idx="34">
                  <c:v>52.65834246329763</c:v>
                </c:pt>
                <c:pt idx="35">
                  <c:v>57.21791181766683</c:v>
                </c:pt>
                <c:pt idx="36">
                  <c:v>61.49282199637545</c:v>
                </c:pt>
                <c:pt idx="37">
                  <c:v>65.37269367919748</c:v>
                </c:pt>
                <c:pt idx="38">
                  <c:v>68.6178699284877</c:v>
                </c:pt>
                <c:pt idx="39">
                  <c:v>71.2476117511597</c:v>
                </c:pt>
                <c:pt idx="40">
                  <c:v>73.33266118643083</c:v>
                </c:pt>
                <c:pt idx="41">
                  <c:v>74.64225206156017</c:v>
                </c:pt>
                <c:pt idx="42">
                  <c:v>75.25228599142814</c:v>
                </c:pt>
                <c:pt idx="43">
                  <c:v>75.45599050681754</c:v>
                </c:pt>
                <c:pt idx="44">
                  <c:v>75.53495224217313</c:v>
                </c:pt>
                <c:pt idx="45">
                  <c:v>75.58025325611383</c:v>
                </c:pt>
                <c:pt idx="46">
                  <c:v>75.62027453575401</c:v>
                </c:pt>
                <c:pt idx="47">
                  <c:v>75.66881621003219</c:v>
                </c:pt>
                <c:pt idx="48">
                  <c:v>75.73443679802853</c:v>
                </c:pt>
                <c:pt idx="49">
                  <c:v>75.81667278053274</c:v>
                </c:pt>
                <c:pt idx="50">
                  <c:v>75.91382510137917</c:v>
                </c:pt>
                <c:pt idx="51">
                  <c:v>76.03361135850686</c:v>
                </c:pt>
                <c:pt idx="52">
                  <c:v>76.17460485685493</c:v>
                </c:pt>
                <c:pt idx="53">
                  <c:v>76.3012654868445</c:v>
                </c:pt>
                <c:pt idx="54">
                  <c:v>76.39472053984106</c:v>
                </c:pt>
                <c:pt idx="55">
                  <c:v>76.47047047682155</c:v>
                </c:pt>
                <c:pt idx="56">
                  <c:v>76.53765959078585</c:v>
                </c:pt>
                <c:pt idx="57">
                  <c:v>76.59940102694912</c:v>
                </c:pt>
                <c:pt idx="58">
                  <c:v>76.65854817543311</c:v>
                </c:pt>
                <c:pt idx="59">
                  <c:v>76.7167874863921</c:v>
                </c:pt>
                <c:pt idx="60">
                  <c:v>76.78762166684788</c:v>
                </c:pt>
                <c:pt idx="61">
                  <c:v>76.8630546233038</c:v>
                </c:pt>
                <c:pt idx="62">
                  <c:v>76.92797018495379</c:v>
                </c:pt>
                <c:pt idx="63">
                  <c:v>76.98863673312069</c:v>
                </c:pt>
                <c:pt idx="64">
                  <c:v>77.04860656083193</c:v>
                </c:pt>
                <c:pt idx="65">
                  <c:v>77.11226816584693</c:v>
                </c:pt>
                <c:pt idx="66">
                  <c:v>77.17843698320587</c:v>
                </c:pt>
                <c:pt idx="67">
                  <c:v>77.2468347452821</c:v>
                </c:pt>
                <c:pt idx="68">
                  <c:v>77.31585983613883</c:v>
                </c:pt>
                <c:pt idx="69">
                  <c:v>77.38982996000828</c:v>
                </c:pt>
                <c:pt idx="70">
                  <c:v>77.4638694755529</c:v>
                </c:pt>
                <c:pt idx="71">
                  <c:v>77.53581953065655</c:v>
                </c:pt>
                <c:pt idx="72">
                  <c:v>77.60574951699442</c:v>
                </c:pt>
                <c:pt idx="73">
                  <c:v>77.67177885007703</c:v>
                </c:pt>
                <c:pt idx="74">
                  <c:v>77.73557923844235</c:v>
                </c:pt>
                <c:pt idx="75">
                  <c:v>77.79798688682238</c:v>
                </c:pt>
                <c:pt idx="76">
                  <c:v>77.86213633634155</c:v>
                </c:pt>
                <c:pt idx="77">
                  <c:v>77.92440520137125</c:v>
                </c:pt>
                <c:pt idx="78">
                  <c:v>77.98583786166897</c:v>
                </c:pt>
                <c:pt idx="79">
                  <c:v>78.047410006243</c:v>
                </c:pt>
                <c:pt idx="80">
                  <c:v>78.10661442274944</c:v>
                </c:pt>
                <c:pt idx="81">
                  <c:v>78.16352050286343</c:v>
                </c:pt>
                <c:pt idx="82">
                  <c:v>78.22188871463788</c:v>
                </c:pt>
                <c:pt idx="83">
                  <c:v>78.29822656657495</c:v>
                </c:pt>
                <c:pt idx="84">
                  <c:v>78.39511206454575</c:v>
                </c:pt>
                <c:pt idx="85">
                  <c:v>78.48461470883505</c:v>
                </c:pt>
                <c:pt idx="86">
                  <c:v>78.55503253967709</c:v>
                </c:pt>
                <c:pt idx="87">
                  <c:v>78.61660468425112</c:v>
                </c:pt>
                <c:pt idx="88">
                  <c:v>78.67601797670906</c:v>
                </c:pt>
                <c:pt idx="89">
                  <c:v>78.73445628108468</c:v>
                </c:pt>
                <c:pt idx="90">
                  <c:v>78.79101400097084</c:v>
                </c:pt>
                <c:pt idx="91">
                  <c:v>78.84548155949004</c:v>
                </c:pt>
                <c:pt idx="92">
                  <c:v>78.8991830058784</c:v>
                </c:pt>
                <c:pt idx="93">
                  <c:v>78.95204894846081</c:v>
                </c:pt>
                <c:pt idx="94">
                  <c:v>79.00324318250524</c:v>
                </c:pt>
                <c:pt idx="95">
                  <c:v>79.05590024913614</c:v>
                </c:pt>
                <c:pt idx="96">
                  <c:v>79.11263455688369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93656"/>
        <c:axId val="-210748575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3829.0</c:v>
                </c:pt>
                <c:pt idx="1">
                  <c:v>4853.0</c:v>
                </c:pt>
                <c:pt idx="2">
                  <c:v>6374.0</c:v>
                </c:pt>
                <c:pt idx="3">
                  <c:v>14474.0</c:v>
                </c:pt>
                <c:pt idx="4">
                  <c:v>3064.0</c:v>
                </c:pt>
                <c:pt idx="5">
                  <c:v>8570.0</c:v>
                </c:pt>
                <c:pt idx="6">
                  <c:v>24826.0</c:v>
                </c:pt>
                <c:pt idx="7">
                  <c:v>5763.0</c:v>
                </c:pt>
                <c:pt idx="8">
                  <c:v>10044.0</c:v>
                </c:pt>
                <c:pt idx="9">
                  <c:v>14599.0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0.0333212276534544</c:v>
                  </c:pt>
                  <c:pt idx="7">
                    <c:v>0.0402833999351263</c:v>
                  </c:pt>
                  <c:pt idx="8">
                    <c:v>0.0924164575891834</c:v>
                  </c:pt>
                  <c:pt idx="9">
                    <c:v>0.0369665830356734</c:v>
                  </c:pt>
                  <c:pt idx="10">
                    <c:v>0.161133599740505</c:v>
                  </c:pt>
                  <c:pt idx="11">
                    <c:v>0.224858946162552</c:v>
                  </c:pt>
                  <c:pt idx="12">
                    <c:v>0.471595668483076</c:v>
                  </c:pt>
                  <c:pt idx="13">
                    <c:v>0.417820518147844</c:v>
                  </c:pt>
                  <c:pt idx="14">
                    <c:v>0.209929836917004</c:v>
                  </c:pt>
                  <c:pt idx="15">
                    <c:v>0.290487728032241</c:v>
                  </c:pt>
                  <c:pt idx="16">
                    <c:v>0.17824640831164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0.0333212276534544</c:v>
                  </c:pt>
                  <c:pt idx="7">
                    <c:v>0.0402833999351263</c:v>
                  </c:pt>
                  <c:pt idx="8">
                    <c:v>0.0924164575891834</c:v>
                  </c:pt>
                  <c:pt idx="9">
                    <c:v>0.0369665830356734</c:v>
                  </c:pt>
                  <c:pt idx="10">
                    <c:v>0.161133599740505</c:v>
                  </c:pt>
                  <c:pt idx="11">
                    <c:v>0.224858946162552</c:v>
                  </c:pt>
                  <c:pt idx="12">
                    <c:v>0.471595668483076</c:v>
                  </c:pt>
                  <c:pt idx="13">
                    <c:v>0.417820518147844</c:v>
                  </c:pt>
                  <c:pt idx="14">
                    <c:v>0.209929836917004</c:v>
                  </c:pt>
                  <c:pt idx="15">
                    <c:v>0.290487728032241</c:v>
                  </c:pt>
                  <c:pt idx="16">
                    <c:v>0.17824640831164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0.1722805</c:v>
                </c:pt>
                <c:pt idx="1">
                  <c:v>0.1722805</c:v>
                </c:pt>
                <c:pt idx="2">
                  <c:v>0.1834854</c:v>
                </c:pt>
                <c:pt idx="3">
                  <c:v>0.2026938</c:v>
                </c:pt>
                <c:pt idx="4">
                  <c:v>0.2619197</c:v>
                </c:pt>
                <c:pt idx="5">
                  <c:v>0.3915764</c:v>
                </c:pt>
                <c:pt idx="6">
                  <c:v>0.816049333333333</c:v>
                </c:pt>
                <c:pt idx="7">
                  <c:v>1.717469333333333</c:v>
                </c:pt>
                <c:pt idx="8">
                  <c:v>2.853966333333333</c:v>
                </c:pt>
                <c:pt idx="9">
                  <c:v>4.480729333333332</c:v>
                </c:pt>
                <c:pt idx="10">
                  <c:v>7.052520666666667</c:v>
                </c:pt>
                <c:pt idx="11">
                  <c:v>7.756828666666667</c:v>
                </c:pt>
                <c:pt idx="12">
                  <c:v>9.272158000000001</c:v>
                </c:pt>
                <c:pt idx="13">
                  <c:v>10.40331933333333</c:v>
                </c:pt>
                <c:pt idx="14">
                  <c:v>8.727920000000001</c:v>
                </c:pt>
                <c:pt idx="15">
                  <c:v>6.049415333333333</c:v>
                </c:pt>
                <c:pt idx="16">
                  <c:v>3.88375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82568"/>
        <c:axId val="2119972616"/>
      </c:scatterChart>
      <c:valAx>
        <c:axId val="-207719365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7485752"/>
        <c:crosses val="autoZero"/>
        <c:crossBetween val="midCat"/>
        <c:majorUnit val="6.0"/>
      </c:valAx>
      <c:valAx>
        <c:axId val="-21074857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7193656"/>
        <c:crosses val="autoZero"/>
        <c:crossBetween val="midCat"/>
      </c:valAx>
      <c:valAx>
        <c:axId val="2119972616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682568"/>
        <c:crosses val="max"/>
        <c:crossBetween val="midCat"/>
        <c:majorUnit val="1.0"/>
        <c:minorUnit val="0.2"/>
      </c:valAx>
      <c:valAx>
        <c:axId val="-211268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199726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25" t="s">
        <v>0</v>
      </c>
      <c r="B1" s="126"/>
      <c r="C1" s="34">
        <v>42306</v>
      </c>
    </row>
    <row r="2" spans="1:3" ht="16">
      <c r="A2" s="125" t="s">
        <v>1</v>
      </c>
      <c r="B2" s="127"/>
      <c r="C2" s="32" t="s">
        <v>180</v>
      </c>
    </row>
    <row r="3" spans="1:3">
      <c r="A3" s="11"/>
      <c r="B3" s="11"/>
      <c r="C3" s="10"/>
    </row>
    <row r="4" spans="1:3">
      <c r="A4" s="128" t="s">
        <v>49</v>
      </c>
      <c r="B4" s="128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69" t="s">
        <v>77</v>
      </c>
      <c r="B13" s="37" t="s">
        <v>94</v>
      </c>
      <c r="C13" s="37" t="s">
        <v>101</v>
      </c>
    </row>
    <row r="14" spans="1:3" ht="16">
      <c r="A14" s="69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opLeftCell="A44" workbookViewId="0">
      <selection activeCell="H10" sqref="H10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1" t="s">
        <v>288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spans="1:29">
      <c r="A2" s="129" t="s">
        <v>4</v>
      </c>
      <c r="B2" s="129" t="s">
        <v>117</v>
      </c>
      <c r="C2" s="129" t="s">
        <v>117</v>
      </c>
      <c r="D2" s="129" t="s">
        <v>5</v>
      </c>
      <c r="E2" s="141" t="s">
        <v>221</v>
      </c>
      <c r="F2" s="141" t="s">
        <v>222</v>
      </c>
      <c r="G2" s="141" t="s">
        <v>223</v>
      </c>
      <c r="H2" s="143" t="s">
        <v>224</v>
      </c>
      <c r="I2" s="143" t="s">
        <v>225</v>
      </c>
      <c r="J2" s="143" t="s">
        <v>226</v>
      </c>
      <c r="K2" s="141" t="s">
        <v>227</v>
      </c>
      <c r="L2" s="141" t="s">
        <v>228</v>
      </c>
      <c r="M2" s="141" t="s">
        <v>229</v>
      </c>
      <c r="N2" s="141" t="s">
        <v>230</v>
      </c>
      <c r="O2" s="141" t="s">
        <v>231</v>
      </c>
      <c r="P2" s="143" t="s">
        <v>232</v>
      </c>
      <c r="Q2" s="143" t="s">
        <v>267</v>
      </c>
      <c r="R2" s="143" t="s">
        <v>234</v>
      </c>
      <c r="S2" s="143" t="s">
        <v>235</v>
      </c>
      <c r="T2" s="83"/>
      <c r="U2" s="83"/>
      <c r="V2" s="83"/>
      <c r="W2" s="83"/>
      <c r="X2" s="83"/>
      <c r="Y2" s="83"/>
      <c r="Z2" s="83"/>
      <c r="AA2" s="83"/>
      <c r="AB2" s="83"/>
      <c r="AC2" s="83"/>
    </row>
    <row r="3" spans="1:29">
      <c r="A3" s="130"/>
      <c r="B3" s="130"/>
      <c r="C3" s="130"/>
      <c r="D3" s="130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29.278331756591797</v>
      </c>
      <c r="F4" s="97">
        <v>29.211435317993164</v>
      </c>
      <c r="G4" s="102">
        <v>30.691513061523438</v>
      </c>
      <c r="H4" s="108">
        <f>(E4-$H$51)+$H$68</f>
        <v>29.594066782894295</v>
      </c>
      <c r="I4" s="108">
        <f>(F4-$H$51)+$H$68</f>
        <v>29.527170344295662</v>
      </c>
      <c r="J4" s="108">
        <f>(G4-$H$51)+$H$68</f>
        <v>31.007248087825936</v>
      </c>
      <c r="K4" s="102">
        <f>((H4-'CalibrationB. hydrogenotrophica'!$D$45)/('CalibrationB. hydrogenotrophica'!$D$44))+$C$24</f>
        <v>6.5742675754119277</v>
      </c>
      <c r="L4" s="102">
        <f>((I4-'CalibrationB. hydrogenotrophica'!$D$45)/('CalibrationB. hydrogenotrophica'!$D$44))+$C$24</f>
        <v>6.5910365420473358</v>
      </c>
      <c r="M4" s="102">
        <f>((J4-'CalibrationB. hydrogenotrophica'!$D$45)/('CalibrationB. hydrogenotrophica'!$D$44))+$C$24</f>
        <v>6.2200246493518065</v>
      </c>
      <c r="N4" s="103">
        <f>AVERAGE(K4:M4)</f>
        <v>6.4617762556036906</v>
      </c>
      <c r="O4" s="103">
        <f>STDEV(K4:M4)</f>
        <v>0.2095308543020076</v>
      </c>
      <c r="P4" s="104">
        <f>(AVERAGE(POWER(10,K4),POWER(10,L4),POWER(10,M4)))*Calculation!$I4/Calculation!$K3</f>
        <v>3109694.9849717193</v>
      </c>
      <c r="Q4" s="104">
        <f>(STDEV(POWER(10,K4),POWER(10,L4),POWER(10,M4)))*Calculation!$I4/Calculation!$K3</f>
        <v>1255212.6127047099</v>
      </c>
      <c r="R4" s="103">
        <f>LOG(P4)</f>
        <v>6.4927177932583611</v>
      </c>
      <c r="S4" s="103">
        <f>O4*Calculation!$I4/Calculation!$K3</f>
        <v>0.20992723194620369</v>
      </c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7">
        <v>29.000295639038086</v>
      </c>
      <c r="F5" s="97">
        <v>28.43773078918457</v>
      </c>
      <c r="G5" s="102">
        <v>28.046840667724609</v>
      </c>
      <c r="H5" s="108">
        <f>(E5-$H$51)+$H$68</f>
        <v>29.316030665340584</v>
      </c>
      <c r="I5" s="108">
        <f>(F5-$H$51)+$H$68</f>
        <v>28.753465815487068</v>
      </c>
      <c r="J5" s="108">
        <f>(G5-$H$51)+$H$68</f>
        <v>28.362575694027107</v>
      </c>
      <c r="K5" s="102">
        <f>((H5-'CalibrationB. hydrogenotrophica'!$D$45)/('CalibrationB. hydrogenotrophica'!$D$44))+$C$24</f>
        <v>6.643963040168579</v>
      </c>
      <c r="L5" s="102">
        <f>((I5-'CalibrationB. hydrogenotrophica'!$D$45)/('CalibrationB. hydrogenotrophica'!$D$44))+$C$24</f>
        <v>6.7849814769503496</v>
      </c>
      <c r="M5" s="102">
        <f>((J5-'CalibrationB. hydrogenotrophica'!$D$45)/('CalibrationB. hydrogenotrophica'!$D$44))+$C$24</f>
        <v>6.8829661162254006</v>
      </c>
      <c r="N5" s="103">
        <f t="shared" ref="N5:N20" si="1">AVERAGE(K5:M5)</f>
        <v>6.7706368777814427</v>
      </c>
      <c r="O5" s="103">
        <f t="shared" ref="O5:O20" si="2">STDEV(K5:M5)</f>
        <v>0.12014550859330179</v>
      </c>
      <c r="P5" s="104">
        <f>(AVERAGE(POWER(10,K5),POWER(10,L5),POWER(10,M5)))*Calculation!$I5/Calculation!$K4</f>
        <v>6057452.3615772389</v>
      </c>
      <c r="Q5" s="104">
        <f>(STDEV(POWER(10,K5),POWER(10,L5),POWER(10,M5)))*Calculation!$I5/Calculation!$K4</f>
        <v>1619911.8644203669</v>
      </c>
      <c r="R5" s="103">
        <f t="shared" ref="R5:R20" si="3">LOG(P5)</f>
        <v>6.7822900073435122</v>
      </c>
      <c r="S5" s="103">
        <f>O5*Calculation!$I5/Calculation!$K4</f>
        <v>0.12037279251201437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28.951595306396484</v>
      </c>
      <c r="F6" s="97">
        <v>28.3443603515625</v>
      </c>
      <c r="G6" s="102">
        <v>28.926816940307617</v>
      </c>
      <c r="H6" s="108">
        <f>(E6-$H$51)+$H$68</f>
        <v>29.267330332698982</v>
      </c>
      <c r="I6" s="108">
        <f>(F6-$H$51)+$H$68</f>
        <v>28.660095377864998</v>
      </c>
      <c r="J6" s="108">
        <f>(G6-$H$51)+$H$68</f>
        <v>29.242551966610115</v>
      </c>
      <c r="K6" s="102">
        <f>((H6-'CalibrationB. hydrogenotrophica'!$D$45)/('CalibrationB. hydrogenotrophica'!$D$44))+$C$24</f>
        <v>6.6561707790304352</v>
      </c>
      <c r="L6" s="102">
        <f>((I6-'CalibrationB. hydrogenotrophica'!$D$45)/('CalibrationB. hydrogenotrophica'!$D$44))+$C$24</f>
        <v>6.8083866953149919</v>
      </c>
      <c r="M6" s="102">
        <f>((J6-'CalibrationB. hydrogenotrophica'!$D$45)/('CalibrationB. hydrogenotrophica'!$D$44))+$C$24</f>
        <v>6.6623819855300379</v>
      </c>
      <c r="N6" s="103">
        <f t="shared" si="1"/>
        <v>6.7089798199584889</v>
      </c>
      <c r="O6" s="103">
        <f t="shared" si="2"/>
        <v>8.6144877518357116E-2</v>
      </c>
      <c r="P6" s="104">
        <f>(AVERAGE(POWER(10,K6),POWER(10,L6),POWER(10,M6)))*Calculation!$I6/Calculation!$K5</f>
        <v>5196271.4607131723</v>
      </c>
      <c r="Q6" s="104">
        <f>(STDEV(POWER(10,K6),POWER(10,L6),POWER(10,M6)))*Calculation!$I6/Calculation!$K5</f>
        <v>1081726.4957951028</v>
      </c>
      <c r="R6" s="103">
        <f t="shared" si="3"/>
        <v>6.7156918311635492</v>
      </c>
      <c r="S6" s="103">
        <f>O6*Calculation!$I6/Calculation!$K5</f>
        <v>8.6307841124476301E-2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28.5924072265625</v>
      </c>
      <c r="F7" s="97">
        <v>28.106304168701172</v>
      </c>
      <c r="G7" s="102">
        <v>28.486488342285156</v>
      </c>
      <c r="H7" s="108">
        <f>(E7-$H$51)+$H$68</f>
        <v>28.908142252864998</v>
      </c>
      <c r="I7" s="108">
        <f>(F7-$H$51)+$H$68</f>
        <v>28.42203919500367</v>
      </c>
      <c r="J7" s="108">
        <f>(G7-$H$51)+$H$68</f>
        <v>28.802223368587654</v>
      </c>
      <c r="K7" s="102">
        <f>((H7-'CalibrationB. hydrogenotrophica'!$D$45)/('CalibrationB. hydrogenotrophica'!$D$44))+$C$24</f>
        <v>6.7462086502945624</v>
      </c>
      <c r="L7" s="102">
        <f>((I7-'CalibrationB. hydrogenotrophica'!$D$45)/('CalibrationB. hydrogenotrophica'!$D$44))+$C$24</f>
        <v>6.8680603681050378</v>
      </c>
      <c r="M7" s="102">
        <f>((J7-'CalibrationB. hydrogenotrophica'!$D$45)/('CalibrationB. hydrogenotrophica'!$D$44))+$C$24</f>
        <v>6.7727593946049289</v>
      </c>
      <c r="N7" s="103">
        <f t="shared" si="1"/>
        <v>6.7956761376681767</v>
      </c>
      <c r="O7" s="103">
        <f t="shared" si="2"/>
        <v>6.4076853214020346E-2</v>
      </c>
      <c r="P7" s="104">
        <f>(AVERAGE(POWER(10,K7),POWER(10,L7),POWER(10,M7)))*Calculation!$I7/Calculation!$K6</f>
        <v>6305429.8341828501</v>
      </c>
      <c r="Q7" s="104">
        <f>(STDEV(POWER(10,K7),POWER(10,L7),POWER(10,M7)))*Calculation!$I7/Calculation!$K6</f>
        <v>959051.58020297729</v>
      </c>
      <c r="R7" s="103">
        <f t="shared" si="3"/>
        <v>6.7997146972930658</v>
      </c>
      <c r="S7" s="103">
        <f>O7*Calculation!$I7/Calculation!$K6</f>
        <v>6.4198069882606373E-2</v>
      </c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spans="1:2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25.803316116333008</v>
      </c>
      <c r="F8" s="97">
        <v>26.261724472045898</v>
      </c>
      <c r="G8" s="102">
        <v>26.598566055297852</v>
      </c>
      <c r="H8" s="108">
        <f>(E8-$H$51)+$H$68</f>
        <v>26.119051142635506</v>
      </c>
      <c r="I8" s="108">
        <f>(F8-$H$51)+$H$68</f>
        <v>26.577459498348396</v>
      </c>
      <c r="J8" s="108">
        <f>(G8-$H$51)+$H$68</f>
        <v>26.91430108160035</v>
      </c>
      <c r="K8" s="102">
        <f>((H8-'CalibrationB. hydrogenotrophica'!$D$45)/('CalibrationB. hydrogenotrophica'!$D$44))+$C$24</f>
        <v>7.445351635336924</v>
      </c>
      <c r="L8" s="102">
        <f>((I8-'CalibrationB. hydrogenotrophica'!$D$45)/('CalibrationB. hydrogenotrophica'!$D$44))+$C$24</f>
        <v>7.3304421635717301</v>
      </c>
      <c r="M8" s="102">
        <f>((J8-'CalibrationB. hydrogenotrophica'!$D$45)/('CalibrationB. hydrogenotrophica'!$D$44))+$C$24</f>
        <v>7.2460059007557085</v>
      </c>
      <c r="N8" s="103">
        <f t="shared" si="1"/>
        <v>7.3405998998881214</v>
      </c>
      <c r="O8" s="103">
        <f t="shared" si="2"/>
        <v>0.10006030771108042</v>
      </c>
      <c r="P8" s="104">
        <f>(AVERAGE(POWER(10,K8),POWER(10,L8),POWER(10,M8)))*Calculation!$I8/Calculation!$K7</f>
        <v>22343915.0617176</v>
      </c>
      <c r="Q8" s="104">
        <f>(STDEV(POWER(10,K8),POWER(10,L8),POWER(10,M8)))*Calculation!$I8/Calculation!$K7</f>
        <v>5200603.0949429581</v>
      </c>
      <c r="R8" s="103">
        <f t="shared" si="3"/>
        <v>7.3491592717666387</v>
      </c>
      <c r="S8" s="103">
        <f>O8*Calculation!$I8/Calculation!$K7</f>
        <v>0.10024959567623562</v>
      </c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spans="1:2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25.081512451171875</v>
      </c>
      <c r="F9" s="97">
        <v>25.068235397338867</v>
      </c>
      <c r="G9" s="102">
        <v>26.226692199707031</v>
      </c>
      <c r="H9" s="108">
        <f>(E9-$H$51)+$H$68</f>
        <v>25.397247477474373</v>
      </c>
      <c r="I9" s="108">
        <f>(F9-$H$51)+$H$68</f>
        <v>25.383970423641365</v>
      </c>
      <c r="J9" s="108">
        <f>(G9-$H$51)+$H$68</f>
        <v>26.542427226009529</v>
      </c>
      <c r="K9" s="102">
        <f>((H9-'CalibrationB. hydrogenotrophica'!$D$45)/('CalibrationB. hydrogenotrophica'!$D$44))+$C$24</f>
        <v>7.6262865525307006</v>
      </c>
      <c r="L9" s="102">
        <f>((I9-'CalibrationB. hydrogenotrophica'!$D$45)/('CalibrationB. hydrogenotrophica'!$D$44))+$C$24</f>
        <v>7.6296147188338139</v>
      </c>
      <c r="M9" s="102">
        <f>((J9-'CalibrationB. hydrogenotrophica'!$D$45)/('CalibrationB. hydrogenotrophica'!$D$44))+$C$24</f>
        <v>7.3392237223261141</v>
      </c>
      <c r="N9" s="103">
        <f t="shared" si="1"/>
        <v>7.5317083312302096</v>
      </c>
      <c r="O9" s="103">
        <f t="shared" si="2"/>
        <v>0.16670486696991554</v>
      </c>
      <c r="P9" s="104">
        <f>(AVERAGE(POWER(10,K9),POWER(10,L9),POWER(10,M9)))*Calculation!$I9/Calculation!$K8</f>
        <v>35680143.814675383</v>
      </c>
      <c r="Q9" s="104">
        <f>(STDEV(POWER(10,K9),POWER(10,L9),POWER(10,M9)))*Calculation!$I9/Calculation!$K8</f>
        <v>11937443.773270562</v>
      </c>
      <c r="R9" s="103">
        <f t="shared" si="3"/>
        <v>7.5524265962027979</v>
      </c>
      <c r="S9" s="103">
        <f>O9*Calculation!$I9/Calculation!$K8</f>
        <v>0.16715304513182141</v>
      </c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spans="1:2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21.91943359375</v>
      </c>
      <c r="F10" s="97">
        <v>22.301412582397461</v>
      </c>
      <c r="G10" s="102">
        <v>22.577054977416992</v>
      </c>
      <c r="H10" s="108">
        <f>(E10-$H$51)+$H$68</f>
        <v>22.235168620052498</v>
      </c>
      <c r="I10" s="108">
        <f>(F10-$H$51)+$H$68</f>
        <v>22.617147608699959</v>
      </c>
      <c r="J10" s="108">
        <f>(G10-$H$51)+$H$68</f>
        <v>22.89279000371949</v>
      </c>
      <c r="K10" s="102">
        <f>((H10-'CalibrationB. hydrogenotrophica'!$D$45)/('CalibrationB. hydrogenotrophica'!$D$44))+$B$24</f>
        <v>8.1401729780040295</v>
      </c>
      <c r="L10" s="102">
        <f>((I10-'CalibrationB. hydrogenotrophica'!$D$45)/('CalibrationB. hydrogenotrophica'!$D$44))+$B$24</f>
        <v>8.0444220972361116</v>
      </c>
      <c r="M10" s="102">
        <f>((J10-'CalibrationB. hydrogenotrophica'!$D$45)/('CalibrationB. hydrogenotrophica'!$D$44))+$B$24</f>
        <v>7.9753266682085791</v>
      </c>
      <c r="N10" s="103">
        <f t="shared" si="1"/>
        <v>8.0533072478162406</v>
      </c>
      <c r="O10" s="103">
        <f t="shared" si="2"/>
        <v>8.2781555245828004E-2</v>
      </c>
      <c r="P10" s="104">
        <f>(AVERAGE(POWER(10,K10),POWER(10,L10),POWER(10,M10)))*Calculation!$I10/Calculation!$K9</f>
        <v>114945541.45687759</v>
      </c>
      <c r="Q10" s="104">
        <f>(STDEV(POWER(10,K10),POWER(10,L10),POWER(10,M10)))*Calculation!$I10/Calculation!$K9</f>
        <v>22135425.991895255</v>
      </c>
      <c r="R10" s="103">
        <f t="shared" si="3"/>
        <v>8.0604921303836523</v>
      </c>
      <c r="S10" s="103">
        <f>O10*Calculation!$I10/Calculation!$K9</f>
        <v>8.3142273571045228E-2</v>
      </c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spans="1:2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20.636892318725586</v>
      </c>
      <c r="F11" s="97">
        <v>20.857757568359375</v>
      </c>
      <c r="G11" s="102">
        <v>20.9696044921875</v>
      </c>
      <c r="H11" s="108">
        <f>(E11-$H$51)+$H$68</f>
        <v>20.952627345028084</v>
      </c>
      <c r="I11" s="108">
        <f>(F11-$H$51)+$H$68</f>
        <v>21.173492594661873</v>
      </c>
      <c r="J11" s="108">
        <f>(G11-$H$51)+$H$68</f>
        <v>21.285339518489998</v>
      </c>
      <c r="K11" s="102">
        <f>((H11-'CalibrationB. hydrogenotrophica'!$D$45)/('CalibrationB. hydrogenotrophica'!$D$44))+$B$24</f>
        <v>8.4616682967377468</v>
      </c>
      <c r="L11" s="102">
        <f>((I11-'CalibrationB. hydrogenotrophica'!$D$45)/('CalibrationB. hydrogenotrophica'!$D$44))+$B$24</f>
        <v>8.4063038845266345</v>
      </c>
      <c r="M11" s="102">
        <f>((J11-'CalibrationB. hydrogenotrophica'!$D$45)/('CalibrationB. hydrogenotrophica'!$D$44))+$B$24</f>
        <v>8.3782671553189729</v>
      </c>
      <c r="N11" s="103">
        <f t="shared" si="1"/>
        <v>8.415413112194452</v>
      </c>
      <c r="O11" s="103">
        <f t="shared" si="2"/>
        <v>4.244020639696125E-2</v>
      </c>
      <c r="P11" s="104">
        <f>(AVERAGE(POWER(10,K11),POWER(10,L11),POWER(10,M11)))*Calculation!$I11/Calculation!$K10</f>
        <v>263152672.12388474</v>
      </c>
      <c r="Q11" s="104">
        <f>(STDEV(POWER(10,K11),POWER(10,L11),POWER(10,M11)))*Calculation!$I11/Calculation!$K10</f>
        <v>26066573.650099382</v>
      </c>
      <c r="R11" s="103">
        <f t="shared" si="3"/>
        <v>8.4202077843201071</v>
      </c>
      <c r="S11" s="103">
        <f>O11*Calculation!$I11/Calculation!$K10</f>
        <v>4.2773718892308646E-2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spans="1:2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20.123624801635742</v>
      </c>
      <c r="F12" s="97">
        <v>20.492929458618164</v>
      </c>
      <c r="G12" s="102">
        <v>20.776529312133789</v>
      </c>
      <c r="H12" s="108">
        <f>(E12-$H$51)+$H$68</f>
        <v>20.43935982793824</v>
      </c>
      <c r="I12" s="108">
        <f>(F12-$H$51)+$H$68</f>
        <v>20.808664484920662</v>
      </c>
      <c r="J12" s="108">
        <f>(G12-$H$51)+$H$68</f>
        <v>21.092264338436287</v>
      </c>
      <c r="K12" s="102">
        <f>((H12-'CalibrationB. hydrogenotrophica'!$D$45)/('CalibrationB. hydrogenotrophica'!$D$44))+$B$24</f>
        <v>8.5903293443124689</v>
      </c>
      <c r="L12" s="102">
        <f>((I12-'CalibrationB. hydrogenotrophica'!$D$45)/('CalibrationB. hydrogenotrophica'!$D$44))+$B$24</f>
        <v>8.4977555451541154</v>
      </c>
      <c r="M12" s="102">
        <f>((J12-'CalibrationB. hydrogenotrophica'!$D$45)/('CalibrationB. hydrogenotrophica'!$D$44))+$B$24</f>
        <v>8.4266654156788636</v>
      </c>
      <c r="N12" s="103">
        <f>AVERAGE(K12:M12)</f>
        <v>8.5049167683818165</v>
      </c>
      <c r="O12" s="103">
        <f>STDEV(K12:M12)</f>
        <v>8.2066635867045115E-2</v>
      </c>
      <c r="P12" s="104">
        <f>(AVERAGE(POWER(10,K12),POWER(10,L12),POWER(10,M12)))*Calculation!$I12/Calculation!$K11</f>
        <v>327704640.76241964</v>
      </c>
      <c r="Q12" s="104">
        <f>(STDEV(POWER(10,K12),POWER(10,L12),POWER(10,M12)))*Calculation!$I12/Calculation!$K11</f>
        <v>62393214.014868818</v>
      </c>
      <c r="R12" s="103">
        <f t="shared" si="3"/>
        <v>8.5154825916516454</v>
      </c>
      <c r="S12" s="103">
        <f>O12*Calculation!$I12/Calculation!$K11</f>
        <v>8.3087671341496777E-2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18.489589691162109</v>
      </c>
      <c r="F13" s="97">
        <v>18.563449859619141</v>
      </c>
      <c r="G13" s="102">
        <v>18.730798721313477</v>
      </c>
      <c r="H13" s="108">
        <f>(E13-$H$51)+$H$68</f>
        <v>18.805324717464607</v>
      </c>
      <c r="I13" s="108">
        <f>(F13-$H$51)+$H$68</f>
        <v>18.879184885921639</v>
      </c>
      <c r="J13" s="108">
        <f>(G13-$H$51)+$H$68</f>
        <v>19.046533747615975</v>
      </c>
      <c r="K13" s="102">
        <f>((H13-'CalibrationB. hydrogenotrophica'!$D$45)/('CalibrationB. hydrogenotrophica'!$D$44))+$B$24</f>
        <v>8.9999338138869902</v>
      </c>
      <c r="L13" s="102">
        <f>((I13-'CalibrationB. hydrogenotrophica'!$D$45)/('CalibrationB. hydrogenotrophica'!$D$44))+$B$24</f>
        <v>8.9814192453017672</v>
      </c>
      <c r="M13" s="102">
        <f>((J13-'CalibrationB. hydrogenotrophica'!$D$45)/('CalibrationB. hydrogenotrophica'!$D$44))+$B$24</f>
        <v>8.9394698151525329</v>
      </c>
      <c r="N13" s="103">
        <f t="shared" si="1"/>
        <v>8.9736076247804295</v>
      </c>
      <c r="O13" s="103">
        <f t="shared" si="2"/>
        <v>3.0979668286105714E-2</v>
      </c>
      <c r="P13" s="104">
        <f>(AVERAGE(POWER(10,K13),POWER(10,L13),POWER(10,M13)))*Calculation!$I13/Calculation!$K12</f>
        <v>959754428.42578936</v>
      </c>
      <c r="Q13" s="104">
        <f>(STDEV(POWER(10,K13),POWER(10,L13),POWER(10,M13)))*Calculation!$I13/Calculation!$K12</f>
        <v>67550596.75119178</v>
      </c>
      <c r="R13" s="103">
        <f t="shared" si="3"/>
        <v>8.9821601246825882</v>
      </c>
      <c r="S13" s="103">
        <f>O13*Calculation!$I13/Calculation!$K12</f>
        <v>3.1542720196042234E-2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spans="1:2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17.4156494140625</v>
      </c>
      <c r="F14" s="97">
        <v>17.49998664855957</v>
      </c>
      <c r="G14" s="102">
        <v>17.382413864135742</v>
      </c>
      <c r="H14" s="108">
        <f>(E14-$H$51)+$H$68</f>
        <v>17.731384440364998</v>
      </c>
      <c r="I14" s="108">
        <f>(F14-$H$51)+$H$68</f>
        <v>17.815721674862068</v>
      </c>
      <c r="J14" s="108">
        <f>(G14-$H$51)+$H$68</f>
        <v>17.69814889043824</v>
      </c>
      <c r="K14" s="102">
        <f>((H14-'CalibrationB. hydrogenotrophica'!$D$45)/('CalibrationB. hydrogenotrophica'!$D$44))+$B$24</f>
        <v>9.2691390070536119</v>
      </c>
      <c r="L14" s="102">
        <f>((I14-'CalibrationB. hydrogenotrophica'!$D$45)/('CalibrationB. hydrogenotrophica'!$D$44))+$B$24</f>
        <v>9.2479981466277064</v>
      </c>
      <c r="M14" s="102">
        <f>((J14-'CalibrationB. hydrogenotrophica'!$D$45)/('CalibrationB. hydrogenotrophica'!$D$44))+$B$24</f>
        <v>9.2774701804240678</v>
      </c>
      <c r="N14" s="103">
        <f t="shared" si="1"/>
        <v>9.264869111368462</v>
      </c>
      <c r="O14" s="103">
        <f t="shared" si="2"/>
        <v>1.5192899686860764E-2</v>
      </c>
      <c r="P14" s="104">
        <f>(AVERAGE(POWER(10,K14),POWER(10,L14),POWER(10,M14)))*Calculation!$I14/Calculation!$K13</f>
        <v>1892991291.4521749</v>
      </c>
      <c r="Q14" s="104">
        <f>(STDEV(POWER(10,K14),POWER(10,L14),POWER(10,M14)))*Calculation!$I14/Calculation!$K13</f>
        <v>65761251.521604329</v>
      </c>
      <c r="R14" s="103">
        <f t="shared" si="3"/>
        <v>9.277148616033017</v>
      </c>
      <c r="S14" s="103">
        <f>O14*Calculation!$I14/Calculation!$K13</f>
        <v>1.5622258899176754E-2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spans="1:2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17.093957901000977</v>
      </c>
      <c r="F15" s="97">
        <v>17.479314804077148</v>
      </c>
      <c r="G15" s="102">
        <v>17.606315612792969</v>
      </c>
      <c r="H15" s="108">
        <f>(E15-$H$51)+$H$68</f>
        <v>17.409692927303475</v>
      </c>
      <c r="I15" s="108">
        <f>(F15-$H$51)+$H$68</f>
        <v>17.795049830379646</v>
      </c>
      <c r="J15" s="108">
        <f>(G15-$H$51)+$H$68</f>
        <v>17.922050639095467</v>
      </c>
      <c r="K15" s="102">
        <f>((H15-'CalibrationB. hydrogenotrophica'!$D$45)/('CalibrationB. hydrogenotrophica'!$D$44))+$B$24</f>
        <v>9.3497775935378389</v>
      </c>
      <c r="L15" s="102">
        <f>((I15-'CalibrationB. hydrogenotrophica'!$D$45)/('CalibrationB. hydrogenotrophica'!$D$44))+$B$24</f>
        <v>9.2531799691234884</v>
      </c>
      <c r="M15" s="102">
        <f>((J15-'CalibrationB. hydrogenotrophica'!$D$45)/('CalibrationB. hydrogenotrophica'!$D$44))+$B$24</f>
        <v>9.221344607351794</v>
      </c>
      <c r="N15" s="103">
        <f t="shared" si="1"/>
        <v>9.2747673900043726</v>
      </c>
      <c r="O15" s="103">
        <f t="shared" si="2"/>
        <v>6.6882512964021965E-2</v>
      </c>
      <c r="P15" s="104">
        <f>(AVERAGE(POWER(10,K15),POWER(10,L15),POWER(10,M15)))*Calculation!$I15/Calculation!$K14</f>
        <v>1965683581.0921743</v>
      </c>
      <c r="Q15" s="104">
        <f>(STDEV(POWER(10,K15),POWER(10,L15),POWER(10,M15)))*Calculation!$I15/Calculation!$K14</f>
        <v>311664205.27944988</v>
      </c>
      <c r="R15" s="103">
        <f t="shared" si="3"/>
        <v>9.2935136101159994</v>
      </c>
      <c r="S15" s="103">
        <f>O15*Calculation!$I15/Calculation!$K14</f>
        <v>6.9271759449194878E-2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spans="1:2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16.856775283813477</v>
      </c>
      <c r="F16" s="97">
        <v>17.247297286987305</v>
      </c>
      <c r="G16" s="102">
        <v>16.967632293701172</v>
      </c>
      <c r="H16" s="108">
        <f>(E16-$H$51)+$H$68</f>
        <v>17.172510310115975</v>
      </c>
      <c r="I16" s="108">
        <f>(F16-$H$51)+$H$68</f>
        <v>17.563032313289803</v>
      </c>
      <c r="J16" s="108">
        <f>(G16-$H$51)+$H$68</f>
        <v>17.28336732000367</v>
      </c>
      <c r="K16" s="102">
        <f>((H16-'CalibrationB. hydrogenotrophica'!$D$45)/('CalibrationB. hydrogenotrophica'!$D$44))+$B$24</f>
        <v>9.4092322891454643</v>
      </c>
      <c r="L16" s="102">
        <f>((I16-'CalibrationB. hydrogenotrophica'!$D$45)/('CalibrationB. hydrogenotrophica'!$D$44))+$B$24</f>
        <v>9.3113399262813452</v>
      </c>
      <c r="M16" s="102">
        <f>((J16-'CalibrationB. hydrogenotrophica'!$D$45)/('CalibrationB. hydrogenotrophica'!$D$44))+$B$24</f>
        <v>9.3814437022034713</v>
      </c>
      <c r="N16" s="103">
        <f t="shared" si="1"/>
        <v>9.3673386392100948</v>
      </c>
      <c r="O16" s="103">
        <f t="shared" si="2"/>
        <v>5.0447430839592369E-2</v>
      </c>
      <c r="P16" s="104">
        <f>(AVERAGE(POWER(10,K16),POWER(10,L16),POWER(10,M16)))*Calculation!$I16/Calculation!$K15</f>
        <v>2444929378.4165978</v>
      </c>
      <c r="Q16" s="104">
        <f>(STDEV(POWER(10,K16),POWER(10,L16),POWER(10,M16)))*Calculation!$I16/Calculation!$K15</f>
        <v>277112890.16605985</v>
      </c>
      <c r="R16" s="103">
        <f t="shared" si="3"/>
        <v>9.3882663190805271</v>
      </c>
      <c r="S16" s="103">
        <f>O16*Calculation!$I16/Calculation!$K15</f>
        <v>5.2704142561738707E-2</v>
      </c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spans="1:2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16.411348342895508</v>
      </c>
      <c r="F17" s="97">
        <v>16.494306564331055</v>
      </c>
      <c r="G17" s="102">
        <v>16.67613410949707</v>
      </c>
      <c r="H17" s="108">
        <f>(E17-$H$51)+$H$68</f>
        <v>16.727083369198006</v>
      </c>
      <c r="I17" s="108">
        <f>(F17-$H$51)+$H$68</f>
        <v>16.810041590633553</v>
      </c>
      <c r="J17" s="108">
        <f>(G17-$H$51)+$H$68</f>
        <v>16.991869135799568</v>
      </c>
      <c r="K17" s="102">
        <f>((H17-'CalibrationB. hydrogenotrophica'!$D$45)/('CalibrationB. hydrogenotrophica'!$D$44))+$B$24</f>
        <v>9.5208877026059628</v>
      </c>
      <c r="L17" s="102">
        <f>((I17-'CalibrationB. hydrogenotrophica'!$D$45)/('CalibrationB. hydrogenotrophica'!$D$44))+$B$24</f>
        <v>9.5000925201339648</v>
      </c>
      <c r="M17" s="102">
        <f>((J17-'CalibrationB. hydrogenotrophica'!$D$45)/('CalibrationB. hydrogenotrophica'!$D$44))+$B$24</f>
        <v>9.4545137105267614</v>
      </c>
      <c r="N17" s="103">
        <f t="shared" si="1"/>
        <v>9.4918313110888963</v>
      </c>
      <c r="O17" s="103">
        <f t="shared" si="2"/>
        <v>3.3949409233405156E-2</v>
      </c>
      <c r="P17" s="104">
        <f>(AVERAGE(POWER(10,K17),POWER(10,L17),POWER(10,M17)))*Calculation!$I17/Calculation!$K16</f>
        <v>3267386948.5369964</v>
      </c>
      <c r="Q17" s="104">
        <f>(STDEV(POWER(10,K17),POWER(10,L17),POWER(10,M17)))*Calculation!$I17/Calculation!$K16</f>
        <v>251779449.05183211</v>
      </c>
      <c r="R17" s="103">
        <f t="shared" si="3"/>
        <v>9.5142005699401313</v>
      </c>
      <c r="S17" s="103">
        <f>O17*Calculation!$I17/Calculation!$K16</f>
        <v>3.5671815200963887E-2</v>
      </c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spans="1:2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14.973258972167969</v>
      </c>
      <c r="F18" s="97">
        <v>14.991618156433105</v>
      </c>
      <c r="G18" s="102">
        <v>15.053089141845703</v>
      </c>
      <c r="H18" s="108">
        <f>(E18-$H$51)+$H$68</f>
        <v>15.288993998470469</v>
      </c>
      <c r="I18" s="108">
        <f>(F18-$H$51)+$H$68</f>
        <v>15.307353182735605</v>
      </c>
      <c r="J18" s="108">
        <f>(G18-$H$51)+$H$68</f>
        <v>15.368824168148203</v>
      </c>
      <c r="K18" s="102">
        <f>((H18-'CalibrationB. hydrogenotrophica'!$D$45)/('CalibrationB. hydrogenotrophica'!$D$44))+$B$24</f>
        <v>9.881374347061767</v>
      </c>
      <c r="L18" s="102">
        <f>((I18-'CalibrationB. hydrogenotrophica'!$D$45)/('CalibrationB. hydrogenotrophica'!$D$44))+$B$24</f>
        <v>9.8767722403600562</v>
      </c>
      <c r="M18" s="102">
        <f>((J18-'CalibrationB. hydrogenotrophica'!$D$45)/('CalibrationB. hydrogenotrophica'!$D$44))+$B$24</f>
        <v>9.8613632750246349</v>
      </c>
      <c r="N18" s="103">
        <f t="shared" si="1"/>
        <v>9.8731699541488194</v>
      </c>
      <c r="O18" s="103">
        <f t="shared" si="2"/>
        <v>1.0480605921394628E-2</v>
      </c>
      <c r="P18" s="104">
        <f>(AVERAGE(POWER(10,K18),POWER(10,L18),POWER(10,M18)))*Calculation!$I18/Calculation!$K17</f>
        <v>7914650623.5166283</v>
      </c>
      <c r="Q18" s="104">
        <f>(STDEV(POWER(10,K18),POWER(10,L18),POWER(10,M18)))*Calculation!$I18/Calculation!$K17</f>
        <v>189935860.72105834</v>
      </c>
      <c r="R18" s="103">
        <f t="shared" si="3"/>
        <v>9.89843174855684</v>
      </c>
      <c r="S18" s="103">
        <f>O18*Calculation!$I18/Calculation!$K17</f>
        <v>1.1106166771322111E-2</v>
      </c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13.907804489135742</v>
      </c>
      <c r="F19" s="97">
        <v>13.948976516723633</v>
      </c>
      <c r="G19" s="102">
        <v>14.056293487548828</v>
      </c>
      <c r="H19" s="108">
        <f>(E19-$H$51)+$H$68</f>
        <v>14.223539515438242</v>
      </c>
      <c r="I19" s="108">
        <f>(F19-$H$51)+$H$68</f>
        <v>14.264711543026133</v>
      </c>
      <c r="J19" s="108">
        <f>(G19-$H$51)+$H$68</f>
        <v>14.372028513851328</v>
      </c>
      <c r="K19" s="102">
        <f>((H19-'CalibrationB. hydrogenotrophica'!$D$45)/('CalibrationB. hydrogenotrophica'!$D$44))+$B$24</f>
        <v>10.148452401615756</v>
      </c>
      <c r="L19" s="102">
        <f>((I19-'CalibrationB. hydrogenotrophica'!$D$45)/('CalibrationB. hydrogenotrophica'!$D$44))+$B$24</f>
        <v>10.138131787074887</v>
      </c>
      <c r="M19" s="102">
        <f>((J19-'CalibrationB. hydrogenotrophica'!$D$45)/('CalibrationB. hydrogenotrophica'!$D$44))+$B$24</f>
        <v>10.111230583649425</v>
      </c>
      <c r="N19" s="103">
        <f t="shared" si="1"/>
        <v>10.132604924113357</v>
      </c>
      <c r="O19" s="103">
        <f t="shared" si="2"/>
        <v>1.9216544794169906E-2</v>
      </c>
      <c r="P19" s="104">
        <f>(AVERAGE(POWER(10,K19),POWER(10,L19),POWER(10,M19)))*Calculation!$I19/Calculation!$K18</f>
        <v>14446440450.012178</v>
      </c>
      <c r="Q19" s="104">
        <f>(STDEV(POWER(10,K19),POWER(10,L19),POWER(10,M19)))*Calculation!$I19/Calculation!$K18</f>
        <v>633449697.77686214</v>
      </c>
      <c r="R19" s="103">
        <f t="shared" si="3"/>
        <v>10.159760851704794</v>
      </c>
      <c r="S19" s="103">
        <f>O19*Calculation!$I19/Calculation!$K18</f>
        <v>2.0443229324165649E-2</v>
      </c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15.454729080200195</v>
      </c>
      <c r="F20" s="97">
        <v>15.596437454223633</v>
      </c>
      <c r="G20" s="102">
        <v>15.567858695983887</v>
      </c>
      <c r="H20" s="108">
        <f>(E20-$H$51)+$H$68</f>
        <v>15.770464106502695</v>
      </c>
      <c r="I20" s="108">
        <f>(F20-$H$51)+$H$68</f>
        <v>15.912172480526133</v>
      </c>
      <c r="J20" s="108">
        <f>(G20-$H$51)+$H$68</f>
        <v>15.883593722286387</v>
      </c>
      <c r="K20" s="102">
        <f>((H20-'CalibrationB. hydrogenotrophica'!$D$45)/('CalibrationB. hydrogenotrophica'!$D$44))+$B$24</f>
        <v>9.7606839733039088</v>
      </c>
      <c r="L20" s="102">
        <f>((I20-'CalibrationB. hydrogenotrophica'!$D$45)/('CalibrationB. hydrogenotrophica'!$D$44))+$B$24</f>
        <v>9.7251618581399857</v>
      </c>
      <c r="M20" s="102">
        <f>((J20-'CalibrationB. hydrogenotrophica'!$D$45)/('CalibrationB. hydrogenotrophica'!$D$44))+$B$24</f>
        <v>9.7323257110063395</v>
      </c>
      <c r="N20" s="103">
        <f t="shared" si="1"/>
        <v>9.7393905141500792</v>
      </c>
      <c r="O20" s="103">
        <f t="shared" si="2"/>
        <v>1.8785333348774712E-2</v>
      </c>
      <c r="P20" s="104">
        <f>(AVERAGE(POWER(10,K20),POWER(10,L20),POWER(10,M20)))*Calculation!$I20/Calculation!$K19</f>
        <v>5841675281.8810282</v>
      </c>
      <c r="Q20" s="104">
        <f>(STDEV(POWER(10,K20),POWER(10,L20),POWER(10,M20)))*Calculation!$I20/Calculation!$K19</f>
        <v>255252401.54180863</v>
      </c>
      <c r="R20" s="103">
        <f t="shared" si="3"/>
        <v>9.7665374124104396</v>
      </c>
      <c r="S20" s="103">
        <f>O20*Calculation!$I20/Calculation!$K19</f>
        <v>1.9984491577091926E-2</v>
      </c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spans="1:29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spans="1:29">
      <c r="A22" s="120"/>
      <c r="B22" s="121"/>
      <c r="C22" s="120"/>
      <c r="D22" s="121"/>
      <c r="E22" s="113"/>
      <c r="F22" s="113"/>
      <c r="G22" s="114"/>
      <c r="H22" s="110"/>
      <c r="I22" s="110"/>
      <c r="J22" s="110"/>
      <c r="K22" s="114"/>
      <c r="L22" s="114"/>
      <c r="M22" s="114"/>
      <c r="N22" s="115"/>
      <c r="O22" s="115"/>
      <c r="P22" s="116"/>
      <c r="Q22" s="116"/>
      <c r="R22" s="115"/>
      <c r="S22" s="115"/>
    </row>
    <row r="23" spans="1:29">
      <c r="A23" s="120"/>
      <c r="B23" s="121"/>
      <c r="C23" s="120"/>
      <c r="D23" s="121"/>
      <c r="E23" s="113"/>
      <c r="F23" s="113"/>
      <c r="G23" s="114"/>
      <c r="H23" s="110"/>
      <c r="I23" s="110"/>
      <c r="J23" s="110"/>
      <c r="K23" s="114"/>
      <c r="L23" s="114"/>
      <c r="M23" s="114"/>
      <c r="N23" s="115"/>
      <c r="O23" s="115"/>
      <c r="P23" s="116"/>
      <c r="Q23" s="116"/>
      <c r="R23" s="115"/>
      <c r="S23" s="115"/>
    </row>
    <row r="24" spans="1:29">
      <c r="A24" s="100" t="s">
        <v>236</v>
      </c>
      <c r="B24" s="107">
        <f>LOG(B25)</f>
        <v>3.6532125137753435</v>
      </c>
      <c r="C24" s="107">
        <f>LOG(C25)</f>
        <v>3.9319661147281728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29">
      <c r="A25" s="96" t="s">
        <v>289</v>
      </c>
      <c r="B25" s="83">
        <f>20*1800/4/2</f>
        <v>4500</v>
      </c>
      <c r="C25" s="83">
        <f>2*19*1800/4/2</f>
        <v>8550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2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29">
      <c r="A27" s="117" t="s">
        <v>290</v>
      </c>
      <c r="E27" s="97">
        <v>11.064262390136719</v>
      </c>
      <c r="F27" s="97">
        <v>11.419097900390625</v>
      </c>
      <c r="G27" s="97"/>
      <c r="H27" s="108">
        <f>AVERAGE(E27:G27)</f>
        <v>11.241680145263672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29">
      <c r="A28" s="117" t="s">
        <v>291</v>
      </c>
      <c r="E28" s="109">
        <v>10.746070861816406</v>
      </c>
      <c r="F28" s="108">
        <v>10.822755813598633</v>
      </c>
      <c r="G28" s="108">
        <v>10.731834411621094</v>
      </c>
      <c r="H28" s="108">
        <f t="shared" ref="H28:H59" si="5">AVERAGE(E28:G28)</f>
        <v>10.766887029012045</v>
      </c>
    </row>
    <row r="29" spans="1:29">
      <c r="A29" s="117" t="s">
        <v>292</v>
      </c>
      <c r="E29" s="109">
        <v>11.464282989501953</v>
      </c>
      <c r="F29" s="108">
        <v>11.464282989501953</v>
      </c>
      <c r="G29" s="108">
        <v>11.464282989501953</v>
      </c>
      <c r="H29" s="108">
        <f t="shared" si="5"/>
        <v>11.464282989501953</v>
      </c>
    </row>
    <row r="30" spans="1:29">
      <c r="A30" s="117" t="s">
        <v>293</v>
      </c>
      <c r="E30" s="109">
        <v>11.279656410217285</v>
      </c>
      <c r="F30" s="108">
        <v>11.587799072265625</v>
      </c>
      <c r="G30" s="108">
        <v>11.689614295959473</v>
      </c>
      <c r="H30" s="108">
        <f t="shared" si="5"/>
        <v>11.519023259480795</v>
      </c>
    </row>
    <row r="31" spans="1:29">
      <c r="A31" s="117" t="s">
        <v>294</v>
      </c>
      <c r="E31" s="109">
        <v>11.480988502502441</v>
      </c>
      <c r="F31" s="108">
        <v>11.470051765441895</v>
      </c>
      <c r="G31" s="108">
        <v>11.500860214233398</v>
      </c>
      <c r="H31" s="108">
        <f t="shared" si="5"/>
        <v>11.483966827392578</v>
      </c>
    </row>
    <row r="32" spans="1:29">
      <c r="A32" s="117" t="s">
        <v>295</v>
      </c>
      <c r="E32" s="109">
        <v>11.4913330078125</v>
      </c>
      <c r="F32" s="108">
        <v>11.453336715698242</v>
      </c>
      <c r="G32" s="108">
        <v>11.486644744873047</v>
      </c>
      <c r="H32" s="108">
        <f t="shared" si="5"/>
        <v>11.477104822794596</v>
      </c>
    </row>
    <row r="33" spans="1:8">
      <c r="A33" s="117" t="s">
        <v>296</v>
      </c>
      <c r="E33" s="109">
        <v>11.603283882141113</v>
      </c>
      <c r="F33" s="108">
        <v>11.571865081787109</v>
      </c>
      <c r="G33" s="108">
        <v>11.644859313964844</v>
      </c>
      <c r="H33" s="108">
        <f t="shared" si="5"/>
        <v>11.606669425964355</v>
      </c>
    </row>
    <row r="34" spans="1:8">
      <c r="A34" s="117" t="s">
        <v>297</v>
      </c>
      <c r="E34" s="109">
        <v>11.201085090637207</v>
      </c>
      <c r="F34" s="108">
        <v>11.201085090637207</v>
      </c>
      <c r="G34" s="108">
        <v>11.201085090637207</v>
      </c>
      <c r="H34" s="108">
        <f t="shared" si="5"/>
        <v>11.201085090637207</v>
      </c>
    </row>
    <row r="35" spans="1:8">
      <c r="A35" s="117" t="s">
        <v>298</v>
      </c>
      <c r="E35" s="109">
        <v>10.40058422088623</v>
      </c>
      <c r="F35" s="108">
        <v>11.156428337097168</v>
      </c>
      <c r="G35" s="108">
        <v>11.374870300292969</v>
      </c>
      <c r="H35" s="108">
        <f t="shared" si="5"/>
        <v>10.977294286092123</v>
      </c>
    </row>
    <row r="36" spans="1:8">
      <c r="A36" s="117" t="s">
        <v>298</v>
      </c>
      <c r="E36" s="109">
        <v>11.333348274230957</v>
      </c>
      <c r="F36" s="108">
        <v>11.546666145324707</v>
      </c>
      <c r="G36" s="108">
        <v>11.621123313903809</v>
      </c>
      <c r="H36" s="108">
        <f t="shared" si="5"/>
        <v>11.50037924448649</v>
      </c>
    </row>
    <row r="37" spans="1:8">
      <c r="A37" s="117" t="s">
        <v>302</v>
      </c>
      <c r="E37" s="109">
        <v>11.689837455749512</v>
      </c>
      <c r="F37" s="108">
        <v>11.664087295532227</v>
      </c>
      <c r="G37" s="108">
        <v>11.717653274536133</v>
      </c>
      <c r="H37" s="108">
        <f t="shared" si="5"/>
        <v>11.690526008605957</v>
      </c>
    </row>
    <row r="38" spans="1:8">
      <c r="A38" s="117" t="s">
        <v>302</v>
      </c>
      <c r="E38" s="109">
        <v>11.29168701171875</v>
      </c>
      <c r="F38" s="108">
        <v>11.470722198486328</v>
      </c>
      <c r="G38" s="108">
        <v>10.995722770690918</v>
      </c>
      <c r="H38" s="108">
        <f t="shared" si="5"/>
        <v>11.252710660298666</v>
      </c>
    </row>
    <row r="39" spans="1:8">
      <c r="A39" s="117" t="s">
        <v>303</v>
      </c>
      <c r="E39" s="109">
        <v>11.183300018310547</v>
      </c>
      <c r="F39" s="108">
        <v>11.342129707336426</v>
      </c>
      <c r="G39" s="108">
        <v>11.389498710632324</v>
      </c>
      <c r="H39" s="108">
        <f t="shared" si="5"/>
        <v>11.304976145426432</v>
      </c>
    </row>
    <row r="40" spans="1:8">
      <c r="A40" s="117" t="s">
        <v>322</v>
      </c>
      <c r="E40" s="109">
        <v>11.500882148742676</v>
      </c>
      <c r="F40" s="108">
        <v>11.500882148742676</v>
      </c>
      <c r="G40" s="108">
        <v>11.500882148742676</v>
      </c>
      <c r="H40" s="108">
        <f t="shared" si="5"/>
        <v>11.500882148742676</v>
      </c>
    </row>
    <row r="41" spans="1:8">
      <c r="A41" s="117" t="s">
        <v>323</v>
      </c>
      <c r="E41" s="109">
        <v>11.322457313537598</v>
      </c>
      <c r="F41" s="108">
        <v>11.33414363861084</v>
      </c>
      <c r="G41" s="108">
        <v>11.329196929931641</v>
      </c>
      <c r="H41" s="108">
        <f t="shared" si="5"/>
        <v>11.328599294026693</v>
      </c>
    </row>
    <row r="42" spans="1:8">
      <c r="A42" s="117" t="s">
        <v>324</v>
      </c>
      <c r="E42" s="109">
        <v>11.317984580993652</v>
      </c>
      <c r="F42" s="108">
        <v>11.273995399475098</v>
      </c>
      <c r="G42" s="108">
        <v>11.386194229125977</v>
      </c>
      <c r="H42" s="108">
        <f t="shared" si="5"/>
        <v>11.326058069864908</v>
      </c>
    </row>
    <row r="43" spans="1:8">
      <c r="A43" s="117" t="s">
        <v>325</v>
      </c>
      <c r="E43" s="109">
        <v>11.148730278015137</v>
      </c>
      <c r="F43" s="108">
        <v>11.235733032226562</v>
      </c>
      <c r="G43" s="108">
        <v>11.234542846679688</v>
      </c>
      <c r="H43" s="108">
        <f t="shared" si="5"/>
        <v>11.206335385640463</v>
      </c>
    </row>
    <row r="44" spans="1:8">
      <c r="A44" s="117" t="s">
        <v>325</v>
      </c>
      <c r="E44" s="109">
        <v>11.324759483337402</v>
      </c>
      <c r="F44" s="108">
        <v>11.279741287231445</v>
      </c>
      <c r="G44" s="108">
        <v>11.352234840393066</v>
      </c>
      <c r="H44" s="108">
        <f t="shared" si="5"/>
        <v>11.318911870320639</v>
      </c>
    </row>
    <row r="45" spans="1:8">
      <c r="A45" s="117" t="s">
        <v>326</v>
      </c>
      <c r="E45" s="109">
        <v>11.3</v>
      </c>
      <c r="F45" s="108">
        <v>11.4</v>
      </c>
      <c r="G45" s="108">
        <v>11.3</v>
      </c>
      <c r="H45" s="108">
        <f t="shared" si="5"/>
        <v>11.333333333333334</v>
      </c>
    </row>
    <row r="46" spans="1:8">
      <c r="A46" s="117" t="s">
        <v>332</v>
      </c>
      <c r="E46" s="109">
        <v>11.137722969055176</v>
      </c>
      <c r="F46" s="108">
        <v>11.360322952270508</v>
      </c>
      <c r="G46" s="108">
        <v>11.248004913330078</v>
      </c>
      <c r="H46" s="108">
        <f t="shared" si="5"/>
        <v>11.24868361155192</v>
      </c>
    </row>
    <row r="47" spans="1:8">
      <c r="A47" s="117" t="s">
        <v>332</v>
      </c>
      <c r="E47" s="109">
        <v>11.365866661071777</v>
      </c>
      <c r="F47" s="108">
        <v>11.445242881774902</v>
      </c>
      <c r="G47" s="108">
        <v>11.431737899780273</v>
      </c>
      <c r="H47" s="108">
        <f t="shared" si="5"/>
        <v>11.41428248087565</v>
      </c>
    </row>
    <row r="48" spans="1:8">
      <c r="A48" s="59" t="s">
        <v>333</v>
      </c>
      <c r="E48" s="109">
        <v>11.350344657897949</v>
      </c>
      <c r="F48" s="108">
        <v>11.447367668151855</v>
      </c>
      <c r="G48" s="108">
        <v>11.305245399475098</v>
      </c>
      <c r="H48" s="108">
        <f t="shared" si="5"/>
        <v>11.367652575174967</v>
      </c>
    </row>
    <row r="49" spans="1:8">
      <c r="A49" s="59" t="s">
        <v>334</v>
      </c>
      <c r="E49" s="109">
        <v>11.382972717285156</v>
      </c>
      <c r="F49" s="108">
        <v>11.286684036254883</v>
      </c>
      <c r="G49" s="108">
        <v>11.278195381164551</v>
      </c>
      <c r="H49" s="108">
        <f t="shared" si="5"/>
        <v>11.315950711568197</v>
      </c>
    </row>
    <row r="50" spans="1:8">
      <c r="A50" s="59" t="s">
        <v>335</v>
      </c>
      <c r="E50" s="109">
        <v>11.351459503173828</v>
      </c>
      <c r="F50" s="108">
        <v>11.372493743896484</v>
      </c>
      <c r="G50" s="108">
        <v>11.26507568359375</v>
      </c>
      <c r="H50" s="108">
        <f t="shared" si="5"/>
        <v>11.329676310221354</v>
      </c>
    </row>
    <row r="51" spans="1:8">
      <c r="A51" s="59" t="s">
        <v>342</v>
      </c>
      <c r="E51" s="109">
        <v>10.961522102355957</v>
      </c>
      <c r="F51" s="108">
        <v>10.991280555725098</v>
      </c>
      <c r="G51" s="108">
        <v>10.988773345947266</v>
      </c>
      <c r="H51" s="108">
        <f t="shared" si="5"/>
        <v>10.980525334676107</v>
      </c>
    </row>
    <row r="52" spans="1:8">
      <c r="A52" s="59" t="s">
        <v>349</v>
      </c>
      <c r="E52" s="109">
        <v>11.455920219421387</v>
      </c>
      <c r="F52" s="108">
        <v>11.47702693939209</v>
      </c>
      <c r="G52" s="108">
        <v>11.41429615020752</v>
      </c>
      <c r="H52" s="108">
        <f t="shared" si="5"/>
        <v>11.449081103006998</v>
      </c>
    </row>
    <row r="53" spans="1:8">
      <c r="A53" s="59" t="s">
        <v>350</v>
      </c>
      <c r="E53" s="109">
        <v>11.481462478637695</v>
      </c>
      <c r="F53" s="108">
        <v>11.294193267822266</v>
      </c>
      <c r="G53" s="108">
        <v>11.30172061920166</v>
      </c>
      <c r="H53" s="108">
        <f t="shared" si="5"/>
        <v>11.359125455220541</v>
      </c>
    </row>
    <row r="54" spans="1:8">
      <c r="A54" s="59" t="s">
        <v>350</v>
      </c>
      <c r="E54" s="109">
        <v>11.333268165588301</v>
      </c>
      <c r="F54" s="108">
        <v>11.3499765396118</v>
      </c>
      <c r="G54" s="108">
        <v>11.688117980956999</v>
      </c>
      <c r="H54" s="108">
        <f t="shared" si="5"/>
        <v>11.4571208953857</v>
      </c>
    </row>
    <row r="55" spans="1:8">
      <c r="A55" s="59" t="s">
        <v>360</v>
      </c>
      <c r="E55" s="109">
        <v>11.225685119628906</v>
      </c>
      <c r="F55" s="108">
        <v>11.295048713684082</v>
      </c>
      <c r="G55" s="108">
        <v>11.326059341430664</v>
      </c>
      <c r="H55" s="108">
        <f t="shared" si="5"/>
        <v>11.282264391581217</v>
      </c>
    </row>
    <row r="56" spans="1:8">
      <c r="A56" s="59" t="s">
        <v>361</v>
      </c>
      <c r="E56" s="109">
        <v>11.361672401428223</v>
      </c>
      <c r="F56" s="108">
        <v>11.304685592651367</v>
      </c>
      <c r="G56" s="108">
        <v>11.405701637268066</v>
      </c>
      <c r="H56" s="108">
        <f t="shared" si="5"/>
        <v>11.357353210449219</v>
      </c>
    </row>
    <row r="57" spans="1:8">
      <c r="A57" s="59" t="s">
        <v>362</v>
      </c>
      <c r="E57" s="109">
        <v>10.911848068237305</v>
      </c>
      <c r="F57" s="108">
        <v>10.950149536132812</v>
      </c>
      <c r="G57" s="108">
        <v>10.982019424438477</v>
      </c>
      <c r="H57" s="108">
        <f t="shared" si="5"/>
        <v>10.948005676269531</v>
      </c>
    </row>
    <row r="58" spans="1:8">
      <c r="A58" s="59" t="s">
        <v>363</v>
      </c>
      <c r="B58" s="59"/>
      <c r="C58" s="59"/>
      <c r="D58" s="83"/>
      <c r="E58" s="109">
        <v>11.097690582275391</v>
      </c>
      <c r="F58" s="108">
        <v>11.199633598327637</v>
      </c>
      <c r="G58" s="108">
        <v>11.211821556091309</v>
      </c>
      <c r="H58" s="108">
        <f t="shared" si="5"/>
        <v>11.169715245564779</v>
      </c>
    </row>
    <row r="59" spans="1:8">
      <c r="A59" s="59" t="s">
        <v>364</v>
      </c>
      <c r="B59" s="59"/>
      <c r="C59" s="59"/>
      <c r="D59" s="83"/>
      <c r="E59" s="109">
        <v>11.383224487304688</v>
      </c>
      <c r="F59" s="108">
        <v>11.329494476318359</v>
      </c>
      <c r="G59" s="108">
        <v>11.243021011352539</v>
      </c>
      <c r="H59" s="108">
        <f t="shared" si="5"/>
        <v>11.318579991658529</v>
      </c>
    </row>
    <row r="60" spans="1:8">
      <c r="A60" s="59" t="s">
        <v>364</v>
      </c>
      <c r="B60" s="59"/>
      <c r="C60" s="59"/>
      <c r="D60" s="83"/>
      <c r="E60" s="109">
        <v>11.171065330505371</v>
      </c>
      <c r="F60" s="108">
        <v>11.234642028808594</v>
      </c>
      <c r="G60" s="108">
        <v>11.325413703918457</v>
      </c>
      <c r="H60" s="108">
        <f>AVERAGE(E60:G60)</f>
        <v>11.243707021077475</v>
      </c>
    </row>
    <row r="61" spans="1:8">
      <c r="A61" s="59" t="s">
        <v>365</v>
      </c>
      <c r="B61" s="165"/>
      <c r="C61" s="83"/>
      <c r="D61" s="83"/>
      <c r="E61" s="109">
        <v>11.431556701660156</v>
      </c>
      <c r="F61" s="108">
        <v>11.393752098083496</v>
      </c>
      <c r="G61" s="108">
        <v>11.470895767211914</v>
      </c>
      <c r="H61" s="108">
        <f t="shared" ref="H61:H63" si="6">AVERAGE(E61:G61)</f>
        <v>11.432068188985189</v>
      </c>
    </row>
    <row r="62" spans="1:8">
      <c r="A62" s="59" t="s">
        <v>365</v>
      </c>
      <c r="B62" s="165"/>
      <c r="C62" s="83"/>
      <c r="D62" s="83"/>
      <c r="E62" s="109">
        <v>11.38902759552002</v>
      </c>
      <c r="F62" s="108">
        <v>11.318164825439453</v>
      </c>
      <c r="G62" s="108">
        <v>11.357851982116699</v>
      </c>
      <c r="H62" s="108">
        <f t="shared" si="6"/>
        <v>11.355014801025391</v>
      </c>
    </row>
    <row r="63" spans="1:8">
      <c r="A63" s="59" t="s">
        <v>366</v>
      </c>
      <c r="B63" s="165"/>
      <c r="C63" s="83"/>
      <c r="D63" s="83"/>
      <c r="E63" s="109">
        <v>10.827228546142578</v>
      </c>
      <c r="F63" s="108">
        <v>10.980537414550781</v>
      </c>
      <c r="G63" s="108">
        <v>10.733705520629883</v>
      </c>
      <c r="H63" s="108">
        <f t="shared" si="6"/>
        <v>10.84715716044108</v>
      </c>
    </row>
    <row r="64" spans="1:8">
      <c r="A64" s="59" t="s">
        <v>367</v>
      </c>
      <c r="B64" s="165"/>
      <c r="C64" s="83"/>
      <c r="D64" s="83"/>
      <c r="E64" s="109">
        <v>11.185029029846191</v>
      </c>
      <c r="F64" s="108">
        <v>11.096076965332031</v>
      </c>
      <c r="G64" s="108">
        <v>11.32984447479248</v>
      </c>
      <c r="H64" s="108">
        <f>AVERAGE(E64:G64)</f>
        <v>11.2036501566569</v>
      </c>
    </row>
    <row r="65" spans="1:8">
      <c r="A65" s="59" t="s">
        <v>367</v>
      </c>
      <c r="B65" s="165"/>
      <c r="C65" s="83"/>
      <c r="D65" s="83"/>
      <c r="E65" s="109">
        <v>11.051477432250977</v>
      </c>
      <c r="F65" s="108">
        <v>10.973122596740723</v>
      </c>
      <c r="G65" s="108">
        <v>10.89690113067627</v>
      </c>
      <c r="H65" s="108">
        <f>AVERAGE(E65:G65)</f>
        <v>10.973833719889322</v>
      </c>
    </row>
    <row r="66" spans="1:8">
      <c r="A66" s="59"/>
      <c r="E66" s="110"/>
      <c r="F66" s="110"/>
      <c r="G66" s="110"/>
      <c r="H66" s="110"/>
    </row>
    <row r="67" spans="1:8">
      <c r="A67" s="59"/>
    </row>
    <row r="68" spans="1:8">
      <c r="G68" t="s">
        <v>336</v>
      </c>
      <c r="H68" s="78">
        <f>AVERAGE(H27:H65)</f>
        <v>11.296260360978607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D1" workbookViewId="0">
      <selection activeCell="L11" sqref="L1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1" t="s">
        <v>220</v>
      </c>
      <c r="B2" s="83"/>
      <c r="C2" s="83"/>
      <c r="D2" s="83"/>
      <c r="H2" s="101" t="s">
        <v>288</v>
      </c>
      <c r="I2" s="83"/>
      <c r="J2" s="83"/>
      <c r="K2" s="83"/>
      <c r="O2" s="101" t="s">
        <v>299</v>
      </c>
    </row>
    <row r="3" spans="1:17">
      <c r="A3" s="129" t="s">
        <v>4</v>
      </c>
      <c r="B3" s="129" t="s">
        <v>117</v>
      </c>
      <c r="C3" s="129" t="s">
        <v>117</v>
      </c>
      <c r="D3" s="129" t="s">
        <v>5</v>
      </c>
      <c r="E3" s="146" t="s">
        <v>234</v>
      </c>
      <c r="F3" s="143" t="s">
        <v>235</v>
      </c>
      <c r="H3" s="129" t="s">
        <v>4</v>
      </c>
      <c r="I3" s="129" t="s">
        <v>117</v>
      </c>
      <c r="J3" s="129" t="s">
        <v>117</v>
      </c>
      <c r="K3" s="129" t="s">
        <v>5</v>
      </c>
      <c r="L3" s="146" t="s">
        <v>234</v>
      </c>
      <c r="M3" s="143" t="s">
        <v>235</v>
      </c>
      <c r="O3" s="146" t="s">
        <v>234</v>
      </c>
      <c r="P3" s="146" t="s">
        <v>234</v>
      </c>
      <c r="Q3" s="143" t="s">
        <v>235</v>
      </c>
    </row>
    <row r="4" spans="1:17">
      <c r="A4" s="130"/>
      <c r="B4" s="130"/>
      <c r="C4" s="130"/>
      <c r="D4" s="130"/>
      <c r="E4" s="150"/>
      <c r="F4" s="151"/>
      <c r="H4" s="130"/>
      <c r="I4" s="130"/>
      <c r="J4" s="130"/>
      <c r="K4" s="130"/>
      <c r="L4" s="150"/>
      <c r="M4" s="151"/>
      <c r="O4" s="150"/>
      <c r="P4" s="150"/>
      <c r="Q4" s="151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3">
        <f>'Determination cell counts RI'!R4</f>
        <v>5.8559150192867024</v>
      </c>
      <c r="F5" s="103">
        <f>'Determination cell counts RI'!S4</f>
        <v>0.23321871094458474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3">
        <f>'Determination cell counts BH'!R4</f>
        <v>6.4927177932583611</v>
      </c>
      <c r="M5" s="103">
        <f>'Determination cell counts BH'!S4</f>
        <v>0.20992723194620369</v>
      </c>
      <c r="O5" s="31">
        <f>POWER(10,E5)+POWER(10,L5)+POWER(10,E26)</f>
        <v>3981435.6246081716</v>
      </c>
      <c r="P5" s="122">
        <f>LOG(O5)</f>
        <v>6.6000396980596454</v>
      </c>
      <c r="Q5" s="122">
        <f>F5+M5+F26</f>
        <v>0.76530167815827721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3">
        <f>'Determination cell counts RI'!R5</f>
        <v>6.2357488750378138</v>
      </c>
      <c r="F6" s="103">
        <f>'Determination cell counts RI'!S5</f>
        <v>0.11136263811240468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3">
        <f>'Determination cell counts BH'!R5</f>
        <v>6.7822900073435122</v>
      </c>
      <c r="M6" s="103">
        <f>'Determination cell counts BH'!S5</f>
        <v>0.12037279251201437</v>
      </c>
      <c r="O6" s="31">
        <f t="shared" ref="O6:O20" si="2">POWER(10,E6)+POWER(10,L6)+POWER(10,E27)</f>
        <v>8029370.8270306857</v>
      </c>
      <c r="P6" s="122">
        <f t="shared" ref="P6:P21" si="3">LOG(O6)</f>
        <v>6.9046815157576225</v>
      </c>
      <c r="Q6" s="122">
        <f t="shared" ref="Q6:Q21" si="4">F6+M6+F27</f>
        <v>0.33390676201363612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3">
        <f>'Determination cell counts RI'!R6</f>
        <v>5.7496541268911443</v>
      </c>
      <c r="F7" s="103">
        <f>'Determination cell counts RI'!S6</f>
        <v>6.6897218570393768E-2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3">
        <f>'Determination cell counts BH'!R6</f>
        <v>6.7156918311635492</v>
      </c>
      <c r="M7" s="103">
        <f>'Determination cell counts BH'!S6</f>
        <v>8.6307841124476301E-2</v>
      </c>
      <c r="O7" s="31">
        <f t="shared" si="2"/>
        <v>6048127.0808818461</v>
      </c>
      <c r="P7" s="122">
        <f t="shared" si="3"/>
        <v>6.7816209078148955</v>
      </c>
      <c r="Q7" s="122">
        <f t="shared" si="4"/>
        <v>0.24446897052210298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3">
        <f>'Determination cell counts RI'!R7</f>
        <v>5.3382247792083497</v>
      </c>
      <c r="F8" s="103">
        <f>'Determination cell counts RI'!S7</f>
        <v>0.20440036892906066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3">
        <f>'Determination cell counts BH'!R7</f>
        <v>6.7997146972930658</v>
      </c>
      <c r="M8" s="103">
        <f>'Determination cell counts BH'!S7</f>
        <v>6.4198069882606373E-2</v>
      </c>
      <c r="O8" s="31">
        <f t="shared" si="2"/>
        <v>6936434.0386871286</v>
      </c>
      <c r="P8" s="122">
        <f t="shared" si="3"/>
        <v>6.8411362607526165</v>
      </c>
      <c r="Q8" s="122">
        <f t="shared" si="4"/>
        <v>0.39254018073363889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3">
        <f>'Determination cell counts RI'!R8</f>
        <v>5.2964883078140543</v>
      </c>
      <c r="F9" s="103">
        <f>'Determination cell counts RI'!S8</f>
        <v>0.27499128996841732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3">
        <f>'Determination cell counts BH'!R8</f>
        <v>7.3491592717666387</v>
      </c>
      <c r="M9" s="103">
        <f>'Determination cell counts BH'!S8</f>
        <v>0.10024959567623562</v>
      </c>
      <c r="O9" s="31">
        <f t="shared" si="2"/>
        <v>25794552.521343254</v>
      </c>
      <c r="P9" s="122">
        <f t="shared" si="3"/>
        <v>7.4115279982222351</v>
      </c>
      <c r="Q9" s="122">
        <f t="shared" si="4"/>
        <v>0.72671916293996719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3">
        <f>'Determination cell counts RI'!R9</f>
        <v>5.6238562027089927</v>
      </c>
      <c r="F10" s="103">
        <f>'Determination cell counts RI'!S9</f>
        <v>0.1508284417560109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3">
        <f>'Determination cell counts BH'!R9</f>
        <v>7.5524265962027979</v>
      </c>
      <c r="M10" s="103">
        <f>'Determination cell counts BH'!S9</f>
        <v>0.16715304513182141</v>
      </c>
      <c r="O10" s="31">
        <f t="shared" si="2"/>
        <v>49605385.313442595</v>
      </c>
      <c r="P10" s="122">
        <f t="shared" si="3"/>
        <v>7.6955288273964984</v>
      </c>
      <c r="Q10" s="122">
        <f t="shared" si="4"/>
        <v>0.53395330134879904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3">
        <f>'Determination cell counts RI'!R10</f>
        <v>5.1746506159562662</v>
      </c>
      <c r="F11" s="103">
        <f>'Determination cell counts RI'!S10</f>
        <v>0.31847068762996139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3">
        <f>'Determination cell counts BH'!R10</f>
        <v>8.0604921303836523</v>
      </c>
      <c r="M11" s="103">
        <f>'Determination cell counts BH'!S10</f>
        <v>8.3142273571045228E-2</v>
      </c>
      <c r="O11" s="31">
        <f t="shared" si="2"/>
        <v>268055964.56655633</v>
      </c>
      <c r="P11" s="122">
        <f t="shared" si="3"/>
        <v>8.4282254752416943</v>
      </c>
      <c r="Q11" s="122">
        <f t="shared" si="4"/>
        <v>0.43898480362055714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3">
        <f>'Determination cell counts RI'!R11</f>
        <v>5.3418288863037935</v>
      </c>
      <c r="F12" s="103">
        <f>'Determination cell counts RI'!S11</f>
        <v>4.7015904789611186E-2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3">
        <f>'Determination cell counts BH'!R11</f>
        <v>8.4202077843201071</v>
      </c>
      <c r="M12" s="103">
        <f>'Determination cell counts BH'!S11</f>
        <v>4.2773718892308646E-2</v>
      </c>
      <c r="O12" s="31">
        <f t="shared" si="2"/>
        <v>611541068.34042132</v>
      </c>
      <c r="P12" s="122">
        <f t="shared" si="3"/>
        <v>8.7864256276106172</v>
      </c>
      <c r="Q12" s="122">
        <f t="shared" si="4"/>
        <v>0.15510567969077471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3">
        <f>'Determination cell counts RI'!R12</f>
        <v>5.4475549883297383</v>
      </c>
      <c r="F13" s="103">
        <f>'Determination cell counts RI'!S12</f>
        <v>0.1785550328965039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3">
        <f>'Determination cell counts BH'!R12</f>
        <v>8.5154825916516454</v>
      </c>
      <c r="M13" s="103">
        <f>'Determination cell counts BH'!S12</f>
        <v>8.3087671341496777E-2</v>
      </c>
      <c r="O13" s="31">
        <f t="shared" si="2"/>
        <v>984075295.29320502</v>
      </c>
      <c r="P13" s="122">
        <f t="shared" si="3"/>
        <v>8.9930283292029962</v>
      </c>
      <c r="Q13" s="122">
        <f t="shared" si="4"/>
        <v>0.2991213524652428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3">
        <f>'Determination cell counts RI'!R13</f>
        <v>5.5289548101163586</v>
      </c>
      <c r="F14" s="103">
        <f>'Determination cell counts RI'!S13</f>
        <v>6.5576808078031582E-2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3">
        <f>'Determination cell counts BH'!R13</f>
        <v>8.9821601246825882</v>
      </c>
      <c r="M14" s="103">
        <f>'Determination cell counts BH'!S13</f>
        <v>3.1542720196042234E-2</v>
      </c>
      <c r="O14" s="31">
        <f t="shared" si="2"/>
        <v>2153789065.9053216</v>
      </c>
      <c r="P14" s="122">
        <f t="shared" si="3"/>
        <v>9.3332031678574747</v>
      </c>
      <c r="Q14" s="122">
        <f t="shared" si="4"/>
        <v>0.14042336764030075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3">
        <f>'Determination cell counts RI'!R14</f>
        <v>5.674122337854433</v>
      </c>
      <c r="F15" s="103">
        <f>'Determination cell counts RI'!S14</f>
        <v>4.3824897532781446E-2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3">
        <f>'Determination cell counts BH'!R14</f>
        <v>9.277148616033017</v>
      </c>
      <c r="M15" s="103">
        <f>'Determination cell counts BH'!S14</f>
        <v>1.5622258899176754E-2</v>
      </c>
      <c r="O15" s="31">
        <f t="shared" si="2"/>
        <v>3579901487.5438724</v>
      </c>
      <c r="P15" s="122">
        <f t="shared" si="3"/>
        <v>9.5538710758045582</v>
      </c>
      <c r="Q15" s="122">
        <f t="shared" si="4"/>
        <v>9.5056362541089442E-2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3">
        <f>'Determination cell counts RI'!R15</f>
        <v>5.8864232809857624</v>
      </c>
      <c r="F16" s="103">
        <f>'Determination cell counts RI'!S15</f>
        <v>2.3669669842323427E-2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3">
        <f>'Determination cell counts BH'!R15</f>
        <v>9.2935136101159994</v>
      </c>
      <c r="M16" s="103">
        <f>'Determination cell counts BH'!S15</f>
        <v>6.9271759449194878E-2</v>
      </c>
      <c r="O16" s="31">
        <f t="shared" si="2"/>
        <v>4055073430.8550062</v>
      </c>
      <c r="P16" s="122">
        <f t="shared" si="3"/>
        <v>9.6079987229926456</v>
      </c>
      <c r="Q16" s="122">
        <f t="shared" si="4"/>
        <v>0.10101012880130156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3">
        <f>'Determination cell counts RI'!R16</f>
        <v>6.2246720190711233</v>
      </c>
      <c r="F17" s="103">
        <f>'Determination cell counts RI'!S16</f>
        <v>6.0519639777892903E-2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3">
        <f>'Determination cell counts BH'!R16</f>
        <v>9.3882663190805271</v>
      </c>
      <c r="M17" s="103">
        <f>'Determination cell counts BH'!S16</f>
        <v>5.2704142561738707E-2</v>
      </c>
      <c r="O17" s="31">
        <f t="shared" si="2"/>
        <v>5365183761.1495838</v>
      </c>
      <c r="P17" s="122">
        <f t="shared" si="3"/>
        <v>9.7295846014345937</v>
      </c>
      <c r="Q17" s="122">
        <f t="shared" si="4"/>
        <v>0.15625332342306897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3">
        <f>'Determination cell counts RI'!R17</f>
        <v>6.544565115053226</v>
      </c>
      <c r="F18" s="103">
        <f>'Determination cell counts RI'!S17</f>
        <v>4.6861060902627073E-2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3">
        <f>'Determination cell counts BH'!R17</f>
        <v>9.5142005699401313</v>
      </c>
      <c r="M18" s="103">
        <f>'Determination cell counts BH'!S17</f>
        <v>3.5671815200963887E-2</v>
      </c>
      <c r="O18" s="31">
        <f t="shared" si="2"/>
        <v>6244233205.6520367</v>
      </c>
      <c r="P18" s="122">
        <f t="shared" si="3"/>
        <v>9.7954791144474811</v>
      </c>
      <c r="Q18" s="122">
        <f t="shared" si="4"/>
        <v>8.7091002865730682E-2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3">
        <f>'Determination cell counts RI'!R18</f>
        <v>7.6186224160815845</v>
      </c>
      <c r="F19" s="103">
        <f>'Determination cell counts RI'!S18</f>
        <v>1.1989437818198639E-2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3">
        <f>'Determination cell counts BH'!R18</f>
        <v>9.89843174855684</v>
      </c>
      <c r="M19" s="103">
        <f>'Determination cell counts BH'!S18</f>
        <v>1.1106166771322111E-2</v>
      </c>
      <c r="O19" s="31">
        <f t="shared" si="2"/>
        <v>9958761084.3514957</v>
      </c>
      <c r="P19" s="122">
        <f t="shared" si="3"/>
        <v>9.9982053135545712</v>
      </c>
      <c r="Q19" s="122">
        <f t="shared" si="4"/>
        <v>5.8996296587167069E-2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3">
        <f>'Determination cell counts RI'!R19</f>
        <v>8.1879611070818985</v>
      </c>
      <c r="F20" s="103">
        <f>'Determination cell counts RI'!S19</f>
        <v>5.1438395323316871E-2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3">
        <f>'Determination cell counts BH'!R19</f>
        <v>10.159760851704794</v>
      </c>
      <c r="M20" s="103">
        <f>'Determination cell counts BH'!S19</f>
        <v>2.0443229324165649E-2</v>
      </c>
      <c r="O20" s="31">
        <f t="shared" si="2"/>
        <v>16645764630.980238</v>
      </c>
      <c r="P20" s="122">
        <f t="shared" si="3"/>
        <v>10.221303749470955</v>
      </c>
      <c r="Q20" s="122">
        <f t="shared" si="4"/>
        <v>7.8788828849387982E-2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3">
        <f>'Determination cell counts RI'!R20</f>
        <v>7.6808568226019016</v>
      </c>
      <c r="F21" s="103">
        <f>'Determination cell counts RI'!S20</f>
        <v>2.9990928249587628E-2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3">
        <f>'Determination cell counts BH'!R20</f>
        <v>9.7665374124104396</v>
      </c>
      <c r="M21" s="103">
        <f>'Determination cell counts BH'!S20</f>
        <v>1.9984491577091926E-2</v>
      </c>
      <c r="O21" s="31">
        <f>POWER(10,E21)+POWER(10,L21)+POWER(10,E42)</f>
        <v>7180837186.6816006</v>
      </c>
      <c r="P21" s="122">
        <f t="shared" si="3"/>
        <v>9.8561750799471444</v>
      </c>
      <c r="Q21" s="122">
        <f t="shared" si="4"/>
        <v>7.2223606665687667E-2</v>
      </c>
    </row>
    <row r="23" spans="1:17">
      <c r="A23" s="101" t="s">
        <v>266</v>
      </c>
      <c r="B23" s="83"/>
      <c r="C23" s="83"/>
      <c r="D23" s="83"/>
    </row>
    <row r="24" spans="1:17">
      <c r="A24" s="129" t="s">
        <v>4</v>
      </c>
      <c r="B24" s="129" t="s">
        <v>117</v>
      </c>
      <c r="C24" s="129" t="s">
        <v>117</v>
      </c>
      <c r="D24" s="129" t="s">
        <v>5</v>
      </c>
      <c r="E24" s="146" t="s">
        <v>234</v>
      </c>
      <c r="F24" s="143" t="s">
        <v>235</v>
      </c>
    </row>
    <row r="25" spans="1:17">
      <c r="A25" s="130"/>
      <c r="B25" s="130"/>
      <c r="C25" s="130"/>
      <c r="D25" s="130"/>
      <c r="E25" s="150"/>
      <c r="F25" s="151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3">
        <f>'Determination cell counts FP'!R4</f>
        <v>5.1877654057539484</v>
      </c>
      <c r="F26" s="103">
        <f>'Determination cell counts FP'!S4</f>
        <v>0.32215573526748875</v>
      </c>
    </row>
    <row r="27" spans="1:17">
      <c r="A27" s="40">
        <v>1</v>
      </c>
      <c r="B27" s="32">
        <v>110</v>
      </c>
      <c r="C27" s="32">
        <f>C26+B27</f>
        <v>120</v>
      </c>
      <c r="D27" s="13">
        <f t="shared" si="7"/>
        <v>2</v>
      </c>
      <c r="E27" s="103">
        <f>'Determination cell counts FP'!R5</f>
        <v>5.3997520086942643</v>
      </c>
      <c r="F27" s="103">
        <f>'Determination cell counts FP'!S5</f>
        <v>0.10217133138921708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3">
        <f>'Determination cell counts FP'!R6</f>
        <v>5.4623410365862997</v>
      </c>
      <c r="F28" s="103">
        <f>'Determination cell counts FP'!S6</f>
        <v>9.1263910827232897E-2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3">
        <f>'Determination cell counts FP'!R7</f>
        <v>5.6160767311407067</v>
      </c>
      <c r="F29" s="103">
        <f>'Determination cell counts FP'!S7</f>
        <v>0.12394174192197187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3">
        <f>'Determination cell counts FP'!R8</f>
        <v>6.5122464244880751</v>
      </c>
      <c r="F30" s="103">
        <f>'Determination cell counts FP'!S8</f>
        <v>0.35147827729531417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3">
        <f>'Determination cell counts FP'!R9</f>
        <v>7.130483466590527</v>
      </c>
      <c r="F31" s="103">
        <f>'Determination cell counts FP'!S9</f>
        <v>0.21597181446096672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3">
        <f>'Determination cell counts FP'!R10</f>
        <v>8.1845804866699972</v>
      </c>
      <c r="F32" s="103">
        <f>'Determination cell counts FP'!S10</f>
        <v>3.7371842419550487E-2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3">
        <f>'Determination cell counts FP'!R11</f>
        <v>8.5417897219382315</v>
      </c>
      <c r="F33" s="103">
        <f>'Determination cell counts FP'!S11</f>
        <v>6.5316056008854873E-2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3">
        <f>'Determination cell counts FP'!R12</f>
        <v>8.8169636821484119</v>
      </c>
      <c r="F34" s="103">
        <f>'Determination cell counts FP'!S12</f>
        <v>3.7478648227242138E-2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3">
        <f>'Determination cell counts FP'!R13</f>
        <v>9.0768939597135248</v>
      </c>
      <c r="F35" s="103">
        <f>'Determination cell counts FP'!S13</f>
        <v>4.3303839366226927E-2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3">
        <f>'Determination cell counts FP'!R14</f>
        <v>9.226970379483669</v>
      </c>
      <c r="F36" s="103">
        <f>'Determination cell counts FP'!S14</f>
        <v>3.5609206109131243E-2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3">
        <f>'Determination cell counts FP'!R15</f>
        <v>9.3198594259847916</v>
      </c>
      <c r="F37" s="103">
        <f>'Determination cell counts FP'!S15</f>
        <v>8.0686995097832542E-3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3">
        <f>'Determination cell counts FP'!R16</f>
        <v>9.4651711327626007</v>
      </c>
      <c r="F38" s="103">
        <f>'Determination cell counts FP'!S16</f>
        <v>4.3029541083437359E-2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3">
        <f>'Determination cell counts FP'!R17</f>
        <v>9.4732449018911531</v>
      </c>
      <c r="F39" s="103">
        <f>'Determination cell counts FP'!S17</f>
        <v>4.5581267621397246E-3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3">
        <f>'Determination cell counts FP'!R18</f>
        <v>9.3015845707868756</v>
      </c>
      <c r="F40" s="103">
        <f>'Determination cell counts FP'!S18</f>
        <v>3.5900691997646318E-2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3">
        <f>'Determination cell counts FP'!R19</f>
        <v>9.3107289764666099</v>
      </c>
      <c r="F41" s="103">
        <f>'Determination cell counts FP'!S19</f>
        <v>6.907204201905463E-3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3">
        <f>'Determination cell counts FP'!R20</f>
        <v>9.1109949882632932</v>
      </c>
      <c r="F42" s="103">
        <f>'Determination cell counts FP'!S20</f>
        <v>2.2248186839008116E-2</v>
      </c>
    </row>
  </sheetData>
  <mergeCells count="21">
    <mergeCell ref="B3:B4"/>
    <mergeCell ref="C3:C4"/>
    <mergeCell ref="D3:D4"/>
    <mergeCell ref="E3:E4"/>
    <mergeCell ref="F3:F4"/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1" sqref="H21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9" t="s">
        <v>4</v>
      </c>
      <c r="B1" s="129" t="s">
        <v>117</v>
      </c>
      <c r="C1" s="129" t="s">
        <v>117</v>
      </c>
      <c r="D1" s="129" t="s">
        <v>5</v>
      </c>
      <c r="E1" s="129" t="s">
        <v>19</v>
      </c>
      <c r="F1" s="129" t="s">
        <v>24</v>
      </c>
      <c r="G1" s="128" t="s">
        <v>25</v>
      </c>
      <c r="H1" s="125" t="s">
        <v>26</v>
      </c>
      <c r="I1" s="4" t="s">
        <v>27</v>
      </c>
      <c r="J1" s="53" t="s">
        <v>27</v>
      </c>
    </row>
    <row r="2" spans="1:10">
      <c r="A2" s="130"/>
      <c r="B2" s="130"/>
      <c r="C2" s="130"/>
      <c r="D2" s="130"/>
      <c r="E2" s="130"/>
      <c r="F2" s="130"/>
      <c r="G2" s="128"/>
      <c r="H2" s="125"/>
      <c r="I2" s="5" t="s">
        <v>28</v>
      </c>
      <c r="J2" s="54" t="s">
        <v>23</v>
      </c>
    </row>
    <row r="3" spans="1:10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0.113</v>
      </c>
      <c r="G3" s="50">
        <v>0.113</v>
      </c>
      <c r="H3" s="50">
        <v>0.113</v>
      </c>
      <c r="I3" s="51">
        <f>E3*(AVERAGE(F3:H3)*1.6007-0.0118)</f>
        <v>0.16907910000000001</v>
      </c>
      <c r="J3" s="51">
        <f>E3*(STDEV(F3:H3)*1.6007)</f>
        <v>0</v>
      </c>
    </row>
    <row r="4" spans="1:10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0.115</v>
      </c>
      <c r="G4" s="50">
        <v>0.115</v>
      </c>
      <c r="H4" s="50">
        <v>0.115</v>
      </c>
      <c r="I4" s="51">
        <f>E4*(AVERAGE(F4:H4)*1.6007-0.0118)</f>
        <v>0.1722805</v>
      </c>
      <c r="J4" s="51">
        <f t="shared" ref="J4:J9" si="1">E4*(STDEV(F4:H4)*1.6007)</f>
        <v>0</v>
      </c>
    </row>
    <row r="5" spans="1:10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0.115</v>
      </c>
      <c r="G5" s="50">
        <v>0.115</v>
      </c>
      <c r="H5" s="50">
        <v>0.115</v>
      </c>
      <c r="I5" s="51">
        <f t="shared" ref="I5:I9" si="2">E5*(AVERAGE(F5:H5)*1.6007-0.0118)</f>
        <v>0.1722805</v>
      </c>
      <c r="J5" s="51">
        <f t="shared" si="1"/>
        <v>0</v>
      </c>
    </row>
    <row r="6" spans="1:10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</v>
      </c>
      <c r="F6" s="50">
        <v>0.122</v>
      </c>
      <c r="G6" s="50">
        <v>0.122</v>
      </c>
      <c r="H6" s="50">
        <v>0.122</v>
      </c>
      <c r="I6" s="51">
        <f t="shared" si="2"/>
        <v>0.18348539999999999</v>
      </c>
      <c r="J6" s="51">
        <f t="shared" si="1"/>
        <v>0</v>
      </c>
    </row>
    <row r="7" spans="1:10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</v>
      </c>
      <c r="F7" s="50">
        <v>0.13400000000000001</v>
      </c>
      <c r="G7" s="50">
        <v>0.13400000000000001</v>
      </c>
      <c r="H7" s="50">
        <v>0.13400000000000001</v>
      </c>
      <c r="I7" s="51">
        <f t="shared" si="2"/>
        <v>0.20269380000000001</v>
      </c>
      <c r="J7" s="51">
        <f t="shared" si="1"/>
        <v>0</v>
      </c>
    </row>
    <row r="8" spans="1:10">
      <c r="A8" s="63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</v>
      </c>
      <c r="F8" s="50">
        <v>0.17100000000000001</v>
      </c>
      <c r="G8" s="50">
        <v>0.17100000000000001</v>
      </c>
      <c r="H8" s="50">
        <v>0.17100000000000001</v>
      </c>
      <c r="I8" s="51">
        <f t="shared" si="2"/>
        <v>0.26191970000000003</v>
      </c>
      <c r="J8" s="51">
        <f t="shared" si="1"/>
        <v>0</v>
      </c>
    </row>
    <row r="9" spans="1:10">
      <c r="A9" s="63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</v>
      </c>
      <c r="F9" s="50">
        <v>0.252</v>
      </c>
      <c r="G9" s="50">
        <v>0.252</v>
      </c>
      <c r="H9" s="50">
        <v>0.252</v>
      </c>
      <c r="I9" s="51">
        <f t="shared" si="2"/>
        <v>0.39157640000000005</v>
      </c>
      <c r="J9" s="51">
        <f t="shared" si="1"/>
        <v>0</v>
      </c>
    </row>
    <row r="10" spans="1:10">
      <c r="A10" s="63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5</v>
      </c>
      <c r="F10" s="50">
        <v>0.114</v>
      </c>
      <c r="G10" s="50">
        <v>0.108</v>
      </c>
      <c r="H10" s="50">
        <v>0.106</v>
      </c>
      <c r="I10" s="51">
        <f t="shared" ref="I10:I20" si="4">E10*(AVERAGE(F10:H10)*1.6007-0.0118)</f>
        <v>0.8160493333333334</v>
      </c>
      <c r="J10" s="51">
        <f t="shared" ref="J10:J20" si="5">E10*(STDEV(F10:H10)*1.6007)</f>
        <v>3.3321227653454417E-2</v>
      </c>
    </row>
    <row r="11" spans="1:10">
      <c r="A11" s="63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10</v>
      </c>
      <c r="F11" s="50">
        <v>0.115</v>
      </c>
      <c r="G11" s="50">
        <v>0.112</v>
      </c>
      <c r="H11" s="50">
        <v>0.11700000000000001</v>
      </c>
      <c r="I11" s="51">
        <f t="shared" si="4"/>
        <v>1.7174693333333335</v>
      </c>
      <c r="J11" s="51">
        <f t="shared" si="5"/>
        <v>4.0283399935126328E-2</v>
      </c>
    </row>
    <row r="12" spans="1:10">
      <c r="A12" s="63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10</v>
      </c>
      <c r="F12" s="50">
        <v>0.17899999999999999</v>
      </c>
      <c r="G12" s="50">
        <v>0.189</v>
      </c>
      <c r="H12" s="50">
        <v>0.189</v>
      </c>
      <c r="I12" s="51">
        <f t="shared" si="4"/>
        <v>2.8539663333333332</v>
      </c>
      <c r="J12" s="51">
        <f t="shared" si="5"/>
        <v>9.2416457589183459E-2</v>
      </c>
    </row>
    <row r="13" spans="1:10">
      <c r="A13" s="63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0.14799999999999999</v>
      </c>
      <c r="G13" s="50">
        <v>0.14799999999999999</v>
      </c>
      <c r="H13" s="50">
        <v>0.14599999999999999</v>
      </c>
      <c r="I13" s="51">
        <f t="shared" si="4"/>
        <v>4.4807293333333327</v>
      </c>
      <c r="J13" s="51">
        <f t="shared" si="5"/>
        <v>3.6966583035673392E-2</v>
      </c>
    </row>
    <row r="14" spans="1:10">
      <c r="A14" s="63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0.23300000000000001</v>
      </c>
      <c r="G14" s="50">
        <v>0.223</v>
      </c>
      <c r="H14" s="50">
        <v>0.22700000000000001</v>
      </c>
      <c r="I14" s="51">
        <f t="shared" si="4"/>
        <v>7.0525206666666671</v>
      </c>
      <c r="J14" s="51">
        <f t="shared" si="5"/>
        <v>0.16113359974050531</v>
      </c>
    </row>
    <row r="15" spans="1:10">
      <c r="A15" s="63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0.24299999999999999</v>
      </c>
      <c r="G15" s="50">
        <v>0.249</v>
      </c>
      <c r="H15" s="50">
        <v>0.25700000000000001</v>
      </c>
      <c r="I15" s="51">
        <f t="shared" si="4"/>
        <v>7.7568286666666673</v>
      </c>
      <c r="J15" s="51">
        <f t="shared" si="5"/>
        <v>0.22485894616255195</v>
      </c>
    </row>
    <row r="16" spans="1:10">
      <c r="A16" s="63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0.28000000000000003</v>
      </c>
      <c r="G16" s="50">
        <v>0.30499999999999999</v>
      </c>
      <c r="H16" s="50">
        <v>0.30599999999999999</v>
      </c>
      <c r="I16" s="51">
        <f t="shared" si="4"/>
        <v>9.272158000000001</v>
      </c>
      <c r="J16" s="51">
        <f t="shared" si="5"/>
        <v>0.4715956684830761</v>
      </c>
    </row>
    <row r="17" spans="1:10">
      <c r="A17" s="63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0.32200000000000001</v>
      </c>
      <c r="G17" s="50">
        <v>0.32800000000000001</v>
      </c>
      <c r="H17" s="50">
        <v>0.34699999999999998</v>
      </c>
      <c r="I17" s="51">
        <f t="shared" si="4"/>
        <v>10.403319333333332</v>
      </c>
      <c r="J17" s="51">
        <f t="shared" si="5"/>
        <v>0.41782051814784399</v>
      </c>
    </row>
    <row r="18" spans="1:10">
      <c r="A18" s="63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0.28100000000000003</v>
      </c>
      <c r="G18" s="50">
        <v>0.27300000000000002</v>
      </c>
      <c r="H18" s="50">
        <v>0.28599999999999998</v>
      </c>
      <c r="I18" s="51">
        <f>E18*(AVERAGE(F18:H18)*1.6007-0.0118)</f>
        <v>8.727920000000001</v>
      </c>
      <c r="J18" s="51">
        <f t="shared" si="5"/>
        <v>0.20992983691700359</v>
      </c>
    </row>
    <row r="19" spans="1:10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0.188</v>
      </c>
      <c r="G19" s="50">
        <v>0.20599999999999999</v>
      </c>
      <c r="H19" s="50">
        <v>0.19500000000000001</v>
      </c>
      <c r="I19" s="51">
        <f>E19*(AVERAGE(F19:H19)*1.6007-0.0118)</f>
        <v>6.0494153333333331</v>
      </c>
      <c r="J19" s="51">
        <f t="shared" si="5"/>
        <v>0.29048772803224104</v>
      </c>
    </row>
    <row r="20" spans="1:10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0.26200000000000001</v>
      </c>
      <c r="G20" s="50">
        <v>0.248</v>
      </c>
      <c r="H20" s="50">
        <v>0.24</v>
      </c>
      <c r="I20" s="51">
        <f t="shared" si="4"/>
        <v>3.88375</v>
      </c>
      <c r="J20" s="51">
        <f t="shared" si="5"/>
        <v>0.17824640831164046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9" t="s">
        <v>4</v>
      </c>
      <c r="B1" s="129" t="s">
        <v>117</v>
      </c>
      <c r="C1" s="129" t="s">
        <v>117</v>
      </c>
      <c r="D1" s="129" t="s">
        <v>5</v>
      </c>
      <c r="E1" s="4" t="s">
        <v>29</v>
      </c>
      <c r="F1" s="4" t="s">
        <v>2</v>
      </c>
      <c r="G1" s="4" t="s">
        <v>32</v>
      </c>
    </row>
    <row r="2" spans="1:7">
      <c r="A2" s="130"/>
      <c r="B2" s="130"/>
      <c r="C2" s="130"/>
      <c r="D2" s="130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3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3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3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3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3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2" t="s">
        <v>3</v>
      </c>
      <c r="B22" s="153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70.5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8" t="s">
        <v>5</v>
      </c>
      <c r="B3" s="128" t="s">
        <v>36</v>
      </c>
      <c r="C3" s="128"/>
      <c r="D3" s="128" t="s">
        <v>52</v>
      </c>
      <c r="E3" s="128"/>
      <c r="F3" s="128"/>
      <c r="G3" s="23" t="s">
        <v>53</v>
      </c>
    </row>
    <row r="4" spans="1:10">
      <c r="A4" s="128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5">
        <v>21.86</v>
      </c>
      <c r="C5" s="12">
        <f>B5/1000</f>
        <v>2.1860000000000001E-2</v>
      </c>
      <c r="D5" s="12">
        <f>C5/1000*$B$1</f>
        <v>1.5411300000000001E-3</v>
      </c>
      <c r="E5" s="12">
        <f>D5/22.4</f>
        <v>6.8800446428571443E-5</v>
      </c>
      <c r="F5" s="12">
        <f>E5/Calculation!K$4*1000</f>
        <v>4.6715823400172368E-5</v>
      </c>
      <c r="G5" s="12">
        <f>(0+F5)/2*30</f>
        <v>7.007373510025855E-4</v>
      </c>
      <c r="I5" s="78">
        <v>-0.16666666666666666</v>
      </c>
      <c r="J5" t="s">
        <v>162</v>
      </c>
    </row>
    <row r="6" spans="1:10">
      <c r="A6" s="12">
        <v>0.5</v>
      </c>
      <c r="B6" s="75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1.401474702005171E-3</v>
      </c>
      <c r="I6" s="78">
        <v>0.16666666666666666</v>
      </c>
      <c r="J6" t="s">
        <v>163</v>
      </c>
    </row>
    <row r="7" spans="1:10">
      <c r="A7" s="12">
        <v>1</v>
      </c>
      <c r="B7" s="75">
        <v>350.78</v>
      </c>
      <c r="C7" s="12">
        <f t="shared" si="0"/>
        <v>0.35077999999999998</v>
      </c>
      <c r="D7" s="12">
        <f t="shared" ref="D7:D69" si="1">C7/1000*$B$1</f>
        <v>2.4729989999999997E-2</v>
      </c>
      <c r="E7" s="12">
        <f t="shared" ref="E7:E69" si="2">D7/22.4</f>
        <v>1.1040174107142856E-3</v>
      </c>
      <c r="F7" s="12">
        <f>E7/Calculation!K$4*1000</f>
        <v>7.4963296122197882E-4</v>
      </c>
      <c r="G7" s="12">
        <f t="shared" ref="G7:G70" si="3">G6+(F7+F6)/2*30</f>
        <v>1.2645969120334853E-2</v>
      </c>
      <c r="I7" s="78">
        <v>2</v>
      </c>
      <c r="J7" t="s">
        <v>164</v>
      </c>
    </row>
    <row r="8" spans="1:10">
      <c r="A8" s="12">
        <v>1.5</v>
      </c>
      <c r="B8" s="75">
        <v>390.53</v>
      </c>
      <c r="C8" s="12">
        <f t="shared" si="0"/>
        <v>0.39052999999999999</v>
      </c>
      <c r="D8" s="12">
        <f t="shared" si="1"/>
        <v>2.7532365E-2</v>
      </c>
      <c r="E8" s="12">
        <f t="shared" si="2"/>
        <v>1.2291234375000001E-3</v>
      </c>
      <c r="F8" s="12">
        <f>E8/Calculation!K$4*1000</f>
        <v>8.3458053579457063E-4</v>
      </c>
      <c r="G8" s="12">
        <f t="shared" si="3"/>
        <v>3.6409171575583099E-2</v>
      </c>
      <c r="I8" s="78">
        <v>3.3333333333333335</v>
      </c>
      <c r="J8" t="s">
        <v>165</v>
      </c>
    </row>
    <row r="9" spans="1:10">
      <c r="A9" s="12">
        <v>2</v>
      </c>
      <c r="B9" s="75">
        <v>361.71</v>
      </c>
      <c r="C9" s="12">
        <f t="shared" si="0"/>
        <v>0.36170999999999998</v>
      </c>
      <c r="D9" s="12">
        <f t="shared" si="1"/>
        <v>2.5500554999999998E-2</v>
      </c>
      <c r="E9" s="12">
        <f t="shared" si="2"/>
        <v>1.1384176339285714E-3</v>
      </c>
      <c r="F9" s="12">
        <f>E9/Calculation!K$5*1000</f>
        <v>8.0348511318724836E-4</v>
      </c>
      <c r="G9" s="12">
        <f t="shared" si="3"/>
        <v>6.0980156310310382E-2</v>
      </c>
      <c r="I9" s="78">
        <v>4.666666666666667</v>
      </c>
      <c r="J9" t="s">
        <v>166</v>
      </c>
    </row>
    <row r="10" spans="1:10">
      <c r="A10" s="12">
        <v>2.5</v>
      </c>
      <c r="B10" s="75">
        <v>437.23</v>
      </c>
      <c r="C10" s="12">
        <f t="shared" si="0"/>
        <v>0.43723000000000001</v>
      </c>
      <c r="D10" s="12">
        <f t="shared" si="1"/>
        <v>3.0824714999999999E-2</v>
      </c>
      <c r="E10" s="12">
        <f t="shared" si="2"/>
        <v>1.3761033482142858E-3</v>
      </c>
      <c r="F10" s="12">
        <f>E10/Calculation!K$5*1000</f>
        <v>9.7124159143750701E-4</v>
      </c>
      <c r="G10" s="12">
        <f t="shared" si="3"/>
        <v>8.7601056879681713E-2</v>
      </c>
      <c r="I10" s="78">
        <v>6</v>
      </c>
      <c r="J10" t="s">
        <v>167</v>
      </c>
    </row>
    <row r="11" spans="1:10">
      <c r="A11" s="12">
        <v>3</v>
      </c>
      <c r="B11" s="75">
        <v>512.75</v>
      </c>
      <c r="C11" s="12">
        <f t="shared" si="0"/>
        <v>0.51275000000000004</v>
      </c>
      <c r="D11" s="12">
        <f t="shared" si="1"/>
        <v>3.6148875000000004E-2</v>
      </c>
      <c r="E11" s="12">
        <f t="shared" si="2"/>
        <v>1.6137890625000002E-3</v>
      </c>
      <c r="F11" s="12">
        <f>E11/Calculation!K$5*1000</f>
        <v>1.1389980696877658E-3</v>
      </c>
      <c r="G11" s="12">
        <f t="shared" si="3"/>
        <v>0.11925465179656081</v>
      </c>
      <c r="I11" s="78">
        <v>7.333333333333333</v>
      </c>
      <c r="J11" t="s">
        <v>168</v>
      </c>
    </row>
    <row r="12" spans="1:10">
      <c r="A12" s="12">
        <v>3.5</v>
      </c>
      <c r="B12" s="75">
        <v>687.65</v>
      </c>
      <c r="C12" s="12">
        <f t="shared" si="0"/>
        <v>0.68764999999999998</v>
      </c>
      <c r="D12" s="12">
        <f t="shared" si="1"/>
        <v>4.8479324999999997E-2</v>
      </c>
      <c r="E12" s="12">
        <f t="shared" si="2"/>
        <v>2.1642555803571429E-3</v>
      </c>
      <c r="F12" s="12">
        <f>E12/Calculation!K$6*1000</f>
        <v>1.5972757777610043E-3</v>
      </c>
      <c r="G12" s="12">
        <f t="shared" si="3"/>
        <v>0.16029875950829237</v>
      </c>
      <c r="I12" s="78">
        <v>8.6666666666666661</v>
      </c>
      <c r="J12" t="s">
        <v>169</v>
      </c>
    </row>
    <row r="13" spans="1:10">
      <c r="A13" s="12">
        <v>4</v>
      </c>
      <c r="B13" s="75">
        <v>1051.3399999999999</v>
      </c>
      <c r="C13" s="12">
        <f t="shared" si="0"/>
        <v>1.0513399999999999</v>
      </c>
      <c r="D13" s="12">
        <f t="shared" si="1"/>
        <v>7.4119470000000007E-2</v>
      </c>
      <c r="E13" s="12">
        <f t="shared" si="2"/>
        <v>3.3089049107142862E-3</v>
      </c>
      <c r="F13" s="12">
        <f>E13/Calculation!K$6*1000</f>
        <v>2.4420561567530786E-3</v>
      </c>
      <c r="G13" s="12">
        <f t="shared" si="3"/>
        <v>0.2208887385260036</v>
      </c>
      <c r="I13" s="78">
        <v>10</v>
      </c>
      <c r="J13" t="s">
        <v>170</v>
      </c>
    </row>
    <row r="14" spans="1:10">
      <c r="A14" s="12">
        <v>4.5</v>
      </c>
      <c r="B14" s="75">
        <v>1561.12</v>
      </c>
      <c r="C14" s="12">
        <f t="shared" si="0"/>
        <v>1.5611199999999998</v>
      </c>
      <c r="D14" s="12">
        <f t="shared" si="1"/>
        <v>0.11005895999999998</v>
      </c>
      <c r="E14" s="12">
        <f t="shared" si="2"/>
        <v>4.9133464285714282E-3</v>
      </c>
      <c r="F14" s="12">
        <f>E14/Calculation!K$6*1000</f>
        <v>3.6261748886472172E-3</v>
      </c>
      <c r="G14" s="12">
        <f t="shared" si="3"/>
        <v>0.31191220420700805</v>
      </c>
      <c r="I14" s="78">
        <v>11.333333333333334</v>
      </c>
      <c r="J14" t="s">
        <v>171</v>
      </c>
    </row>
    <row r="15" spans="1:10">
      <c r="A15" s="12">
        <v>5</v>
      </c>
      <c r="B15" s="75">
        <v>2389.87</v>
      </c>
      <c r="C15" s="12">
        <f t="shared" si="0"/>
        <v>2.3898699999999997</v>
      </c>
      <c r="D15" s="12">
        <f t="shared" si="1"/>
        <v>0.16848583499999997</v>
      </c>
      <c r="E15" s="12">
        <f t="shared" si="2"/>
        <v>7.5216890624999989E-3</v>
      </c>
      <c r="F15" s="12">
        <f>E15/Calculation!K$7*1000</f>
        <v>5.7811620242301373E-3</v>
      </c>
      <c r="G15" s="12">
        <f t="shared" si="3"/>
        <v>0.45302225790016837</v>
      </c>
      <c r="I15" s="78">
        <v>12.666666666666666</v>
      </c>
      <c r="J15" t="s">
        <v>172</v>
      </c>
    </row>
    <row r="16" spans="1:10">
      <c r="A16" s="12">
        <v>5.5</v>
      </c>
      <c r="B16" s="75">
        <v>3079.51</v>
      </c>
      <c r="C16" s="12">
        <f t="shared" si="0"/>
        <v>3.0795100000000004</v>
      </c>
      <c r="D16" s="12">
        <f t="shared" si="1"/>
        <v>0.21710545500000003</v>
      </c>
      <c r="E16" s="12">
        <f t="shared" si="2"/>
        <v>9.6922078125000026E-3</v>
      </c>
      <c r="F16" s="12">
        <f>E16/Calculation!K$7*1000</f>
        <v>7.449420372336972E-3</v>
      </c>
      <c r="G16" s="12">
        <f t="shared" si="3"/>
        <v>0.65148099384867497</v>
      </c>
      <c r="I16" s="78">
        <v>14</v>
      </c>
      <c r="J16" t="s">
        <v>173</v>
      </c>
    </row>
    <row r="17" spans="1:10">
      <c r="A17" s="12">
        <v>6</v>
      </c>
      <c r="B17" s="75">
        <v>3878.45</v>
      </c>
      <c r="C17" s="12">
        <f t="shared" si="0"/>
        <v>3.87845</v>
      </c>
      <c r="D17" s="12">
        <f t="shared" si="1"/>
        <v>0.27343072499999999</v>
      </c>
      <c r="E17" s="12">
        <f t="shared" si="2"/>
        <v>1.2206728794642857E-2</v>
      </c>
      <c r="F17" s="12">
        <f>E17/Calculation!K$8*1000</f>
        <v>9.7252715537350116E-3</v>
      </c>
      <c r="G17" s="12">
        <f t="shared" si="3"/>
        <v>0.90910137273975478</v>
      </c>
      <c r="I17" s="78">
        <v>15.333333333333334</v>
      </c>
      <c r="J17" t="s">
        <v>174</v>
      </c>
    </row>
    <row r="18" spans="1:10">
      <c r="A18" s="12">
        <v>6.5</v>
      </c>
      <c r="B18" s="75">
        <v>4616.78</v>
      </c>
      <c r="C18" s="12">
        <f t="shared" si="0"/>
        <v>4.6167799999999994</v>
      </c>
      <c r="D18" s="12">
        <f t="shared" si="1"/>
        <v>0.32548298999999992</v>
      </c>
      <c r="E18" s="12">
        <f t="shared" si="2"/>
        <v>1.4530490624999998E-2</v>
      </c>
      <c r="F18" s="12">
        <f>E18/Calculation!K$8*1000</f>
        <v>1.157664510406289E-2</v>
      </c>
      <c r="G18" s="12">
        <f t="shared" si="3"/>
        <v>1.2286301226067233</v>
      </c>
      <c r="I18" s="78">
        <v>16.666666666666668</v>
      </c>
      <c r="J18" t="s">
        <v>175</v>
      </c>
    </row>
    <row r="19" spans="1:10">
      <c r="A19" s="12">
        <v>7</v>
      </c>
      <c r="B19" s="75">
        <v>5980.15</v>
      </c>
      <c r="C19" s="12">
        <f t="shared" si="0"/>
        <v>5.9801500000000001</v>
      </c>
      <c r="D19" s="12">
        <f t="shared" si="1"/>
        <v>0.42160057499999998</v>
      </c>
      <c r="E19" s="12">
        <f t="shared" si="2"/>
        <v>1.8821454241071428E-2</v>
      </c>
      <c r="F19" s="12">
        <f>E19/Calculation!K$8*1000</f>
        <v>1.4995315830310671E-2</v>
      </c>
      <c r="G19" s="12">
        <f t="shared" si="3"/>
        <v>1.6272095366223267</v>
      </c>
      <c r="I19" s="78">
        <v>18</v>
      </c>
      <c r="J19" t="s">
        <v>176</v>
      </c>
    </row>
    <row r="20" spans="1:10">
      <c r="A20" s="12">
        <v>7.5</v>
      </c>
      <c r="B20" s="75">
        <v>7903.97</v>
      </c>
      <c r="C20" s="12">
        <f t="shared" si="0"/>
        <v>7.9039700000000002</v>
      </c>
      <c r="D20" s="12">
        <f t="shared" si="1"/>
        <v>0.55722988500000004</v>
      </c>
      <c r="E20" s="12">
        <f t="shared" si="2"/>
        <v>2.4876334151785716E-2</v>
      </c>
      <c r="F20" s="12">
        <f>E20/Calculation!K$9*1000</f>
        <v>2.0759542417852519E-2</v>
      </c>
      <c r="G20" s="12">
        <f t="shared" si="3"/>
        <v>2.1635324103447746</v>
      </c>
      <c r="I20" s="78">
        <v>24</v>
      </c>
      <c r="J20" t="s">
        <v>177</v>
      </c>
    </row>
    <row r="21" spans="1:10">
      <c r="A21" s="12">
        <v>8</v>
      </c>
      <c r="B21" s="75">
        <v>11326.3</v>
      </c>
      <c r="C21" s="12">
        <f t="shared" si="0"/>
        <v>11.3263</v>
      </c>
      <c r="D21" s="12">
        <f t="shared" si="1"/>
        <v>0.79850414999999997</v>
      </c>
      <c r="E21" s="12">
        <f t="shared" si="2"/>
        <v>3.564750669642857E-2</v>
      </c>
      <c r="F21" s="12">
        <f>E21/Calculation!K$9*1000</f>
        <v>2.9748190502661691E-2</v>
      </c>
      <c r="G21" s="12">
        <f t="shared" si="3"/>
        <v>2.9211484041524876</v>
      </c>
      <c r="I21" s="78">
        <v>30</v>
      </c>
      <c r="J21" t="s">
        <v>178</v>
      </c>
    </row>
    <row r="22" spans="1:10">
      <c r="A22" s="12">
        <v>8.5</v>
      </c>
      <c r="B22" s="75">
        <v>14395.87</v>
      </c>
      <c r="C22" s="12">
        <f t="shared" si="0"/>
        <v>14.39587</v>
      </c>
      <c r="D22" s="12">
        <f t="shared" si="1"/>
        <v>1.014908835</v>
      </c>
      <c r="E22" s="12">
        <f t="shared" si="2"/>
        <v>4.5308430133928573E-2</v>
      </c>
      <c r="F22" s="12">
        <f>E22/Calculation!K$9*1000</f>
        <v>3.7810324926194121E-2</v>
      </c>
      <c r="G22" s="12">
        <f t="shared" si="3"/>
        <v>3.9345261355853247</v>
      </c>
      <c r="I22" s="78">
        <v>48</v>
      </c>
      <c r="J22" t="s">
        <v>179</v>
      </c>
    </row>
    <row r="23" spans="1:10">
      <c r="A23" s="12">
        <v>9</v>
      </c>
      <c r="B23" s="75">
        <v>17064.98</v>
      </c>
      <c r="C23" s="12">
        <f t="shared" si="0"/>
        <v>17.064979999999998</v>
      </c>
      <c r="D23" s="12">
        <f t="shared" si="1"/>
        <v>1.2030810899999997</v>
      </c>
      <c r="E23" s="12">
        <f t="shared" si="2"/>
        <v>5.3708977232142852E-2</v>
      </c>
      <c r="F23" s="12">
        <f>E23/Calculation!K$10*1000</f>
        <v>4.7007932347770752E-2</v>
      </c>
      <c r="G23" s="12">
        <f t="shared" si="3"/>
        <v>5.2067999946947978</v>
      </c>
    </row>
    <row r="24" spans="1:10">
      <c r="A24" s="12">
        <v>9.5</v>
      </c>
      <c r="B24" s="75">
        <v>20612.52</v>
      </c>
      <c r="C24" s="12">
        <f t="shared" si="0"/>
        <v>20.61252</v>
      </c>
      <c r="D24" s="12">
        <f t="shared" si="1"/>
        <v>1.45318266</v>
      </c>
      <c r="E24" s="12">
        <f t="shared" si="2"/>
        <v>6.4874225892857143E-2</v>
      </c>
      <c r="F24" s="12">
        <f>E24/Calculation!K$10*1000</f>
        <v>5.6780139541744067E-2</v>
      </c>
      <c r="G24" s="12">
        <f t="shared" si="3"/>
        <v>6.7636210730375197</v>
      </c>
    </row>
    <row r="25" spans="1:10">
      <c r="A25" s="12">
        <v>10</v>
      </c>
      <c r="B25" s="75">
        <v>24898.39</v>
      </c>
      <c r="C25" s="12">
        <f t="shared" si="0"/>
        <v>24.898389999999999</v>
      </c>
      <c r="D25" s="12">
        <f t="shared" si="1"/>
        <v>1.7553364949999999</v>
      </c>
      <c r="E25" s="12">
        <f t="shared" si="2"/>
        <v>7.8363236383928572E-2</v>
      </c>
      <c r="F25" s="12">
        <f>E25/Calculation!K$11*1000</f>
        <v>7.1829824322728247E-2</v>
      </c>
      <c r="G25" s="12">
        <f t="shared" si="3"/>
        <v>8.6927705310046051</v>
      </c>
    </row>
    <row r="26" spans="1:10">
      <c r="A26" s="12">
        <v>10.5</v>
      </c>
      <c r="B26" s="75">
        <v>29133.58</v>
      </c>
      <c r="C26" s="12">
        <f t="shared" si="0"/>
        <v>29.133580000000002</v>
      </c>
      <c r="D26" s="12">
        <f t="shared" si="1"/>
        <v>2.0539173900000001</v>
      </c>
      <c r="E26" s="12">
        <f t="shared" si="2"/>
        <v>9.1692740625000005E-2</v>
      </c>
      <c r="F26" s="12">
        <f>E26/Calculation!K$11*1000</f>
        <v>8.4048002031141336E-2</v>
      </c>
      <c r="G26" s="12">
        <f t="shared" si="3"/>
        <v>11.030937926312649</v>
      </c>
    </row>
    <row r="27" spans="1:10">
      <c r="A27" s="12">
        <v>11</v>
      </c>
      <c r="B27" s="75">
        <v>36025.949999999997</v>
      </c>
      <c r="C27" s="12">
        <f t="shared" si="0"/>
        <v>36.025949999999995</v>
      </c>
      <c r="D27" s="12">
        <f t="shared" si="1"/>
        <v>2.5398294749999994</v>
      </c>
      <c r="E27" s="12">
        <f t="shared" si="2"/>
        <v>0.11338524441964284</v>
      </c>
      <c r="F27" s="12">
        <f>E27/Calculation!K$11*1000</f>
        <v>0.10393192730772517</v>
      </c>
      <c r="G27" s="12">
        <f t="shared" si="3"/>
        <v>13.850636866395647</v>
      </c>
    </row>
    <row r="28" spans="1:10">
      <c r="A28" s="12">
        <v>11.5</v>
      </c>
      <c r="B28" s="75">
        <v>28693.37</v>
      </c>
      <c r="C28" s="12">
        <f t="shared" si="0"/>
        <v>28.693369999999998</v>
      </c>
      <c r="D28" s="12">
        <f t="shared" si="1"/>
        <v>2.0228825850000001</v>
      </c>
      <c r="E28" s="12">
        <f t="shared" si="2"/>
        <v>9.0307258258928574E-2</v>
      </c>
      <c r="F28" s="12">
        <f>E28/Calculation!K$12*1000</f>
        <v>8.6293752683470046E-2</v>
      </c>
      <c r="G28" s="12">
        <f t="shared" si="3"/>
        <v>16.704022066263576</v>
      </c>
    </row>
    <row r="29" spans="1:10">
      <c r="A29" s="12">
        <v>12</v>
      </c>
      <c r="B29" s="75">
        <v>28720.2</v>
      </c>
      <c r="C29" s="12">
        <f t="shared" si="0"/>
        <v>28.720200000000002</v>
      </c>
      <c r="D29" s="12">
        <f t="shared" si="1"/>
        <v>2.0247741000000001</v>
      </c>
      <c r="E29" s="12">
        <f t="shared" si="2"/>
        <v>9.0391700892857155E-2</v>
      </c>
      <c r="F29" s="12">
        <f>E29/Calculation!K$12*1000</f>
        <v>8.6374442452029743E-2</v>
      </c>
      <c r="G29" s="12">
        <f t="shared" si="3"/>
        <v>19.294044993296072</v>
      </c>
    </row>
    <row r="30" spans="1:10">
      <c r="A30" s="12">
        <v>12.5</v>
      </c>
      <c r="B30" s="75">
        <v>26113.7</v>
      </c>
      <c r="C30" s="12">
        <f t="shared" si="0"/>
        <v>26.113700000000001</v>
      </c>
      <c r="D30" s="12">
        <f t="shared" si="1"/>
        <v>1.84101585</v>
      </c>
      <c r="E30" s="12">
        <f t="shared" si="2"/>
        <v>8.2188207589285717E-2</v>
      </c>
      <c r="F30" s="12">
        <f>E30/Calculation!K$12*1000</f>
        <v>7.8535535193333214E-2</v>
      </c>
      <c r="G30" s="12">
        <f t="shared" si="3"/>
        <v>21.767694657976516</v>
      </c>
    </row>
    <row r="31" spans="1:10">
      <c r="A31" s="12">
        <v>13</v>
      </c>
      <c r="B31" s="75">
        <v>26231.95</v>
      </c>
      <c r="C31" s="12">
        <f t="shared" si="0"/>
        <v>26.231950000000001</v>
      </c>
      <c r="D31" s="12">
        <f t="shared" si="1"/>
        <v>1.8493524750000001</v>
      </c>
      <c r="E31" s="12">
        <f t="shared" si="2"/>
        <v>8.2560378348214294E-2</v>
      </c>
      <c r="F31" s="12">
        <f>E31/Calculation!K$13*1000</f>
        <v>8.32673657387525E-2</v>
      </c>
      <c r="G31" s="12">
        <f t="shared" si="3"/>
        <v>24.194738171957802</v>
      </c>
    </row>
    <row r="32" spans="1:10">
      <c r="A32" s="12">
        <v>13.5</v>
      </c>
      <c r="B32" s="75">
        <v>28206.45</v>
      </c>
      <c r="C32" s="12">
        <f t="shared" si="0"/>
        <v>28.20645</v>
      </c>
      <c r="D32" s="12">
        <f t="shared" si="1"/>
        <v>1.988554725</v>
      </c>
      <c r="E32" s="12">
        <f t="shared" si="2"/>
        <v>8.8774764508928572E-2</v>
      </c>
      <c r="F32" s="12">
        <f>E32/Calculation!K$13*1000</f>
        <v>8.9534967409660174E-2</v>
      </c>
      <c r="G32" s="12">
        <f t="shared" si="3"/>
        <v>26.786773169183991</v>
      </c>
    </row>
    <row r="33" spans="1:7">
      <c r="A33" s="12">
        <v>14</v>
      </c>
      <c r="B33" s="75">
        <v>31405.200000000001</v>
      </c>
      <c r="C33" s="12">
        <f t="shared" si="0"/>
        <v>31.405200000000001</v>
      </c>
      <c r="D33" s="12">
        <f t="shared" si="1"/>
        <v>2.2140666000000002</v>
      </c>
      <c r="E33" s="12">
        <f t="shared" si="2"/>
        <v>9.8842258928571444E-2</v>
      </c>
      <c r="F33" s="12">
        <f>E33/Calculation!K$14*1000</f>
        <v>0.10537317900764952</v>
      </c>
      <c r="G33" s="12">
        <f t="shared" si="3"/>
        <v>29.710395365443638</v>
      </c>
    </row>
    <row r="34" spans="1:7">
      <c r="A34" s="12">
        <v>14.5</v>
      </c>
      <c r="B34" s="75">
        <v>34499.620000000003</v>
      </c>
      <c r="C34" s="12">
        <f t="shared" si="0"/>
        <v>34.49962</v>
      </c>
      <c r="D34" s="12">
        <f t="shared" si="1"/>
        <v>2.4322232100000001</v>
      </c>
      <c r="E34" s="12">
        <f t="shared" si="2"/>
        <v>0.10858139330357144</v>
      </c>
      <c r="F34" s="12">
        <f>E34/Calculation!K$14*1000</f>
        <v>0.1157558185891472</v>
      </c>
      <c r="G34" s="12">
        <f t="shared" si="3"/>
        <v>33.027330329395589</v>
      </c>
    </row>
    <row r="35" spans="1:7">
      <c r="A35" s="12">
        <v>15</v>
      </c>
      <c r="B35" s="75">
        <v>33916.31</v>
      </c>
      <c r="C35" s="12">
        <f t="shared" si="0"/>
        <v>33.916309999999996</v>
      </c>
      <c r="D35" s="12">
        <f t="shared" si="1"/>
        <v>2.3910998549999998</v>
      </c>
      <c r="E35" s="12">
        <f t="shared" si="2"/>
        <v>0.10674552924107142</v>
      </c>
      <c r="F35" s="12">
        <f>E35/Calculation!K$14*1000</f>
        <v>0.11379865133509523</v>
      </c>
      <c r="G35" s="12">
        <f t="shared" si="3"/>
        <v>36.470647378259223</v>
      </c>
    </row>
    <row r="36" spans="1:7">
      <c r="A36" s="12">
        <v>15.5</v>
      </c>
      <c r="B36" s="75">
        <v>35703</v>
      </c>
      <c r="C36" s="12">
        <f t="shared" si="0"/>
        <v>35.703000000000003</v>
      </c>
      <c r="D36" s="12">
        <f t="shared" si="1"/>
        <v>2.5170615000000005</v>
      </c>
      <c r="E36" s="12">
        <f t="shared" si="2"/>
        <v>0.11236881696428574</v>
      </c>
      <c r="F36" s="12">
        <f>E36/Calculation!K$15*1000</f>
        <v>0.12656789052036316</v>
      </c>
      <c r="G36" s="12">
        <f t="shared" si="3"/>
        <v>40.076145506091095</v>
      </c>
    </row>
    <row r="37" spans="1:7">
      <c r="A37" s="12">
        <v>16</v>
      </c>
      <c r="B37" s="75">
        <v>37919.97</v>
      </c>
      <c r="C37" s="12">
        <f t="shared" si="0"/>
        <v>37.919969999999999</v>
      </c>
      <c r="D37" s="12">
        <f t="shared" si="1"/>
        <v>2.6733578849999997</v>
      </c>
      <c r="E37" s="12">
        <f t="shared" si="2"/>
        <v>0.11934633415178571</v>
      </c>
      <c r="F37" s="12">
        <f>E37/Calculation!K$15*1000</f>
        <v>0.13442709608423534</v>
      </c>
      <c r="G37" s="12">
        <f t="shared" si="3"/>
        <v>43.991070305160072</v>
      </c>
    </row>
    <row r="38" spans="1:7">
      <c r="A38" s="12">
        <v>16.5</v>
      </c>
      <c r="B38" s="75">
        <v>40771.910000000003</v>
      </c>
      <c r="C38" s="12">
        <f t="shared" si="0"/>
        <v>40.771910000000005</v>
      </c>
      <c r="D38" s="12">
        <f t="shared" si="1"/>
        <v>2.8744196550000005</v>
      </c>
      <c r="E38" s="12">
        <f t="shared" si="2"/>
        <v>0.12832230602678574</v>
      </c>
      <c r="F38" s="12">
        <f>E38/Calculation!K$15*1000</f>
        <v>0.14453728373487101</v>
      </c>
      <c r="G38" s="12">
        <f t="shared" si="3"/>
        <v>48.17553600244667</v>
      </c>
    </row>
    <row r="39" spans="1:7">
      <c r="A39" s="12">
        <v>17</v>
      </c>
      <c r="B39" s="75">
        <v>40855.379999999997</v>
      </c>
      <c r="C39" s="12">
        <f t="shared" si="0"/>
        <v>40.855379999999997</v>
      </c>
      <c r="D39" s="12">
        <f t="shared" si="1"/>
        <v>2.8803042899999998</v>
      </c>
      <c r="E39" s="12">
        <f t="shared" si="2"/>
        <v>0.12858501294642857</v>
      </c>
      <c r="F39" s="12">
        <f>E39/Calculation!K$16*1000</f>
        <v>0.15431648032185974</v>
      </c>
      <c r="G39" s="12">
        <f t="shared" si="3"/>
        <v>52.658342463297629</v>
      </c>
    </row>
    <row r="40" spans="1:7">
      <c r="A40" s="12">
        <v>17.5</v>
      </c>
      <c r="B40" s="75">
        <v>39621.199999999997</v>
      </c>
      <c r="C40" s="12">
        <f t="shared" si="0"/>
        <v>39.621199999999995</v>
      </c>
      <c r="D40" s="12">
        <f t="shared" si="1"/>
        <v>2.7932945999999998</v>
      </c>
      <c r="E40" s="12">
        <f t="shared" si="2"/>
        <v>0.12470065178571428</v>
      </c>
      <c r="F40" s="12">
        <f>E40/Calculation!K$16*1000</f>
        <v>0.14965480996942065</v>
      </c>
      <c r="G40" s="12">
        <f t="shared" si="3"/>
        <v>57.217911817666831</v>
      </c>
    </row>
    <row r="41" spans="1:7">
      <c r="A41" s="12">
        <v>18</v>
      </c>
      <c r="B41" s="75">
        <v>33621.18</v>
      </c>
      <c r="C41" s="12">
        <f t="shared" si="0"/>
        <v>33.621180000000003</v>
      </c>
      <c r="D41" s="12">
        <f t="shared" si="1"/>
        <v>2.3702931899999999</v>
      </c>
      <c r="E41" s="12">
        <f t="shared" si="2"/>
        <v>0.10581666026785715</v>
      </c>
      <c r="F41" s="12">
        <f>E41/Calculation!K$17*1000</f>
        <v>0.13533920194448743</v>
      </c>
      <c r="G41" s="12">
        <f t="shared" si="3"/>
        <v>61.492821996375454</v>
      </c>
    </row>
    <row r="42" spans="1:7">
      <c r="A42" s="12">
        <v>18.5</v>
      </c>
      <c r="B42" s="75">
        <v>30635.08</v>
      </c>
      <c r="C42" s="12">
        <f t="shared" si="0"/>
        <v>30.635080000000002</v>
      </c>
      <c r="D42" s="12">
        <f t="shared" si="1"/>
        <v>2.15977314</v>
      </c>
      <c r="E42" s="12">
        <f t="shared" si="2"/>
        <v>9.6418443749999999E-2</v>
      </c>
      <c r="F42" s="12">
        <f>E42/Calculation!K$17*1000</f>
        <v>0.12331891024364781</v>
      </c>
      <c r="G42" s="12">
        <f t="shared" si="3"/>
        <v>65.372693679197482</v>
      </c>
    </row>
    <row r="43" spans="1:7">
      <c r="A43" s="12">
        <v>19</v>
      </c>
      <c r="B43" s="75">
        <v>23109.71</v>
      </c>
      <c r="C43" s="12">
        <f t="shared" si="0"/>
        <v>23.10971</v>
      </c>
      <c r="D43" s="12">
        <f t="shared" si="1"/>
        <v>1.6292345549999998</v>
      </c>
      <c r="E43" s="12">
        <f t="shared" si="2"/>
        <v>7.2733685491071426E-2</v>
      </c>
      <c r="F43" s="12">
        <f>E43/Calculation!K$17*1000</f>
        <v>9.3026173042366156E-2</v>
      </c>
      <c r="G43" s="12">
        <f t="shared" si="3"/>
        <v>68.617869928487693</v>
      </c>
    </row>
    <row r="44" spans="1:7">
      <c r="A44" s="12">
        <v>19.5</v>
      </c>
      <c r="B44" s="75">
        <v>20442.599999999999</v>
      </c>
      <c r="C44" s="12">
        <f t="shared" si="0"/>
        <v>20.442599999999999</v>
      </c>
      <c r="D44" s="12">
        <f t="shared" si="1"/>
        <v>1.4412033</v>
      </c>
      <c r="E44" s="12">
        <f t="shared" si="2"/>
        <v>6.4339433035714294E-2</v>
      </c>
      <c r="F44" s="12">
        <f>E44/Calculation!K$17*1000</f>
        <v>8.2289948469101287E-2</v>
      </c>
      <c r="G44" s="12">
        <f t="shared" si="3"/>
        <v>71.24761175115971</v>
      </c>
    </row>
    <row r="45" spans="1:7">
      <c r="A45" s="12">
        <v>20</v>
      </c>
      <c r="B45" s="75">
        <v>14088.82</v>
      </c>
      <c r="C45" s="12">
        <f t="shared" si="0"/>
        <v>14.08882</v>
      </c>
      <c r="D45" s="12">
        <f t="shared" si="1"/>
        <v>0.99326181000000002</v>
      </c>
      <c r="E45" s="12">
        <f t="shared" si="2"/>
        <v>4.4342045089285721E-2</v>
      </c>
      <c r="F45" s="12">
        <f>E45/Calculation!K$17*1000</f>
        <v>5.6713347215640066E-2</v>
      </c>
      <c r="G45" s="12">
        <f t="shared" si="3"/>
        <v>73.332661186430826</v>
      </c>
    </row>
    <row r="46" spans="1:7">
      <c r="A46" s="12">
        <v>20.5</v>
      </c>
      <c r="B46" s="75">
        <v>7599.89</v>
      </c>
      <c r="C46" s="12">
        <f t="shared" si="0"/>
        <v>7.5998900000000003</v>
      </c>
      <c r="D46" s="12">
        <f t="shared" si="1"/>
        <v>0.535792245</v>
      </c>
      <c r="E46" s="12">
        <f t="shared" si="2"/>
        <v>2.3919296651785715E-2</v>
      </c>
      <c r="F46" s="12">
        <f>E46/Calculation!K$17*1000</f>
        <v>3.0592711126316525E-2</v>
      </c>
      <c r="G46" s="12">
        <f t="shared" si="3"/>
        <v>74.642252061560171</v>
      </c>
    </row>
    <row r="47" spans="1:7">
      <c r="A47" s="12">
        <v>21</v>
      </c>
      <c r="B47" s="75">
        <v>2503.15</v>
      </c>
      <c r="C47" s="12">
        <f t="shared" si="0"/>
        <v>2.5031500000000002</v>
      </c>
      <c r="D47" s="12">
        <f t="shared" si="1"/>
        <v>0.17647207500000001</v>
      </c>
      <c r="E47" s="12">
        <f t="shared" si="2"/>
        <v>7.8782176339285727E-3</v>
      </c>
      <c r="F47" s="12">
        <f>E47/Calculation!K$17*1000</f>
        <v>1.0076217531548378E-2</v>
      </c>
      <c r="G47" s="12">
        <f t="shared" si="3"/>
        <v>75.252285991428138</v>
      </c>
    </row>
    <row r="48" spans="1:7">
      <c r="A48" s="12">
        <v>21.5</v>
      </c>
      <c r="B48" s="75">
        <v>870.49</v>
      </c>
      <c r="C48" s="12">
        <f t="shared" si="0"/>
        <v>0.87048999999999999</v>
      </c>
      <c r="D48" s="12">
        <f t="shared" si="1"/>
        <v>6.1369545000000005E-2</v>
      </c>
      <c r="E48" s="12">
        <f t="shared" si="2"/>
        <v>2.7397118303571434E-3</v>
      </c>
      <c r="F48" s="12">
        <f>E48/Calculation!K$17*1000</f>
        <v>3.5040834944120606E-3</v>
      </c>
      <c r="G48" s="12">
        <f t="shared" si="3"/>
        <v>75.455990506817542</v>
      </c>
    </row>
    <row r="49" spans="1:7">
      <c r="A49" s="12">
        <v>22</v>
      </c>
      <c r="B49" s="75">
        <v>437.23</v>
      </c>
      <c r="C49" s="12">
        <f t="shared" si="0"/>
        <v>0.43723000000000001</v>
      </c>
      <c r="D49" s="12">
        <f t="shared" si="1"/>
        <v>3.0824714999999999E-2</v>
      </c>
      <c r="E49" s="12">
        <f t="shared" si="2"/>
        <v>1.3761033482142858E-3</v>
      </c>
      <c r="F49" s="12">
        <f>E49/Calculation!K$17*1000</f>
        <v>1.7600321959606484E-3</v>
      </c>
      <c r="G49" s="12">
        <f t="shared" si="3"/>
        <v>75.534952242173134</v>
      </c>
    </row>
    <row r="50" spans="1:7">
      <c r="A50" s="12">
        <v>22.5</v>
      </c>
      <c r="B50" s="75">
        <v>313.02</v>
      </c>
      <c r="C50" s="12">
        <f t="shared" si="0"/>
        <v>0.31301999999999996</v>
      </c>
      <c r="D50" s="12">
        <f t="shared" si="1"/>
        <v>2.2067909999999996E-2</v>
      </c>
      <c r="E50" s="12">
        <f t="shared" si="2"/>
        <v>9.851745535714284E-4</v>
      </c>
      <c r="F50" s="12">
        <f>E50/Calculation!K$17*1000</f>
        <v>1.2600354000860006E-3</v>
      </c>
      <c r="G50" s="12">
        <f t="shared" si="3"/>
        <v>75.580253256113835</v>
      </c>
    </row>
    <row r="51" spans="1:7">
      <c r="A51" s="12">
        <v>23</v>
      </c>
      <c r="B51" s="75">
        <v>349.79</v>
      </c>
      <c r="C51" s="12">
        <f t="shared" si="0"/>
        <v>0.34979000000000005</v>
      </c>
      <c r="D51" s="12">
        <f t="shared" si="1"/>
        <v>2.4660195000000003E-2</v>
      </c>
      <c r="E51" s="12">
        <f t="shared" si="2"/>
        <v>1.1009015625000002E-3</v>
      </c>
      <c r="F51" s="12">
        <f>E51/Calculation!K$17*1000</f>
        <v>1.4080499092584573E-3</v>
      </c>
      <c r="G51" s="12">
        <f t="shared" si="3"/>
        <v>75.620274535754007</v>
      </c>
    </row>
    <row r="52" spans="1:7">
      <c r="A52" s="12">
        <v>23.5</v>
      </c>
      <c r="B52" s="75">
        <v>454.13</v>
      </c>
      <c r="C52" s="12">
        <f t="shared" si="0"/>
        <v>0.45412999999999998</v>
      </c>
      <c r="D52" s="12">
        <f t="shared" si="1"/>
        <v>3.2016164999999999E-2</v>
      </c>
      <c r="E52" s="12">
        <f t="shared" si="2"/>
        <v>1.4292930803571429E-3</v>
      </c>
      <c r="F52" s="12">
        <f>E52/Calculation!K$17*1000</f>
        <v>1.828061709287124E-3</v>
      </c>
      <c r="G52" s="12">
        <f t="shared" si="3"/>
        <v>75.66881621003219</v>
      </c>
    </row>
    <row r="53" spans="1:7">
      <c r="A53" s="12">
        <v>24</v>
      </c>
      <c r="B53" s="75">
        <v>585.29999999999995</v>
      </c>
      <c r="C53" s="12">
        <f t="shared" si="0"/>
        <v>0.58529999999999993</v>
      </c>
      <c r="D53" s="12">
        <f t="shared" si="1"/>
        <v>4.1263649999999999E-2</v>
      </c>
      <c r="E53" s="12">
        <f t="shared" si="2"/>
        <v>1.8421272321428573E-3</v>
      </c>
      <c r="F53" s="12">
        <f>E53/Calculation!K$18*1000</f>
        <v>2.5466441571347833E-3</v>
      </c>
      <c r="G53" s="12">
        <f t="shared" si="3"/>
        <v>75.734436798028526</v>
      </c>
    </row>
    <row r="54" spans="1:7">
      <c r="A54" s="12">
        <v>24.5</v>
      </c>
      <c r="B54" s="75">
        <v>674.73</v>
      </c>
      <c r="C54" s="12">
        <f t="shared" si="0"/>
        <v>0.67473000000000005</v>
      </c>
      <c r="D54" s="12">
        <f t="shared" si="1"/>
        <v>4.7568465000000004E-2</v>
      </c>
      <c r="E54" s="12">
        <f t="shared" si="2"/>
        <v>2.1235921875000004E-3</v>
      </c>
      <c r="F54" s="12">
        <f>E54/Calculation!K$18*1000</f>
        <v>2.9357546764796727E-3</v>
      </c>
      <c r="G54" s="12">
        <f t="shared" si="3"/>
        <v>75.816672780532741</v>
      </c>
    </row>
    <row r="55" spans="1:7">
      <c r="A55" s="12">
        <v>25</v>
      </c>
      <c r="B55" s="75">
        <v>813.85</v>
      </c>
      <c r="C55" s="12">
        <f t="shared" si="0"/>
        <v>0.81385000000000007</v>
      </c>
      <c r="D55" s="12">
        <f t="shared" si="1"/>
        <v>5.7376425000000009E-2</v>
      </c>
      <c r="E55" s="12">
        <f t="shared" si="2"/>
        <v>2.5614475446428578E-3</v>
      </c>
      <c r="F55" s="12">
        <f>E55/Calculation!K$18*1000</f>
        <v>3.5410667132823232E-3</v>
      </c>
      <c r="G55" s="12">
        <f t="shared" si="3"/>
        <v>75.913825101379174</v>
      </c>
    </row>
    <row r="56" spans="1:7">
      <c r="A56" s="12">
        <v>25.5</v>
      </c>
      <c r="B56" s="75">
        <v>1021.53</v>
      </c>
      <c r="C56" s="12">
        <f t="shared" si="0"/>
        <v>1.02153</v>
      </c>
      <c r="D56" s="12">
        <f t="shared" si="1"/>
        <v>7.2017865E-2</v>
      </c>
      <c r="E56" s="12">
        <f t="shared" si="2"/>
        <v>3.2150832589285718E-3</v>
      </c>
      <c r="F56" s="12">
        <f>E56/Calculation!K$18*1000</f>
        <v>4.4446837618962844E-3</v>
      </c>
      <c r="G56" s="12">
        <f t="shared" si="3"/>
        <v>76.03361135850686</v>
      </c>
    </row>
    <row r="57" spans="1:7">
      <c r="A57" s="12">
        <v>26</v>
      </c>
      <c r="B57" s="75">
        <v>1138.79</v>
      </c>
      <c r="C57" s="12">
        <f t="shared" si="0"/>
        <v>1.13879</v>
      </c>
      <c r="D57" s="12">
        <f t="shared" si="1"/>
        <v>8.0284695000000003E-2</v>
      </c>
      <c r="E57" s="12">
        <f t="shared" si="2"/>
        <v>3.5841381696428577E-3</v>
      </c>
      <c r="F57" s="12">
        <f>E57/Calculation!K$18*1000</f>
        <v>4.9548827946412433E-3</v>
      </c>
      <c r="G57" s="12">
        <f t="shared" si="3"/>
        <v>76.174604856854927</v>
      </c>
    </row>
    <row r="58" spans="1:7">
      <c r="A58" s="12">
        <v>26.5</v>
      </c>
      <c r="B58" s="75">
        <v>801.92</v>
      </c>
      <c r="C58" s="12">
        <f t="shared" si="0"/>
        <v>0.80191999999999997</v>
      </c>
      <c r="D58" s="12">
        <f t="shared" si="1"/>
        <v>5.653536E-2</v>
      </c>
      <c r="E58" s="12">
        <f t="shared" si="2"/>
        <v>2.5239000000000004E-3</v>
      </c>
      <c r="F58" s="12">
        <f>E58/Calculation!K$18*1000</f>
        <v>3.4891592046634641E-3</v>
      </c>
      <c r="G58" s="12">
        <f t="shared" si="3"/>
        <v>76.3012654868445</v>
      </c>
    </row>
    <row r="59" spans="1:7">
      <c r="A59" s="12">
        <v>27</v>
      </c>
      <c r="B59" s="75">
        <v>630.01</v>
      </c>
      <c r="C59" s="12">
        <f t="shared" si="0"/>
        <v>0.63000999999999996</v>
      </c>
      <c r="D59" s="12">
        <f t="shared" si="1"/>
        <v>4.4415705E-2</v>
      </c>
      <c r="E59" s="12">
        <f t="shared" si="2"/>
        <v>1.9828439732142858E-3</v>
      </c>
      <c r="F59" s="12">
        <f>E59/Calculation!K$18*1000</f>
        <v>2.7411776617742778E-3</v>
      </c>
      <c r="G59" s="12">
        <f t="shared" si="3"/>
        <v>76.39472053984106</v>
      </c>
    </row>
    <row r="60" spans="1:7">
      <c r="A60" s="12">
        <v>27.5</v>
      </c>
      <c r="B60" s="75">
        <v>530.64</v>
      </c>
      <c r="C60" s="12">
        <f t="shared" si="0"/>
        <v>0.53064</v>
      </c>
      <c r="D60" s="12">
        <f t="shared" si="1"/>
        <v>3.7410119999999998E-2</v>
      </c>
      <c r="E60" s="12">
        <f t="shared" si="2"/>
        <v>1.670094642857143E-3</v>
      </c>
      <c r="F60" s="12">
        <f>E60/Calculation!K$18*1000</f>
        <v>2.3088181369246563E-3</v>
      </c>
      <c r="G60" s="12">
        <f t="shared" si="3"/>
        <v>76.470470476821546</v>
      </c>
    </row>
    <row r="61" spans="1:7">
      <c r="A61" s="12">
        <v>28</v>
      </c>
      <c r="B61" s="75">
        <v>498.84</v>
      </c>
      <c r="C61" s="12">
        <f t="shared" si="0"/>
        <v>0.49883999999999995</v>
      </c>
      <c r="D61" s="12">
        <f t="shared" si="1"/>
        <v>3.516822E-2</v>
      </c>
      <c r="E61" s="12">
        <f t="shared" si="2"/>
        <v>1.5700098214285715E-3</v>
      </c>
      <c r="F61" s="12">
        <f>E61/Calculation!K$18*1000</f>
        <v>2.170456127362233E-3</v>
      </c>
      <c r="G61" s="12">
        <f t="shared" si="3"/>
        <v>76.53765959078585</v>
      </c>
    </row>
    <row r="62" spans="1:7">
      <c r="A62" s="12">
        <v>28.5</v>
      </c>
      <c r="B62" s="75">
        <v>447.17</v>
      </c>
      <c r="C62" s="12">
        <f t="shared" si="0"/>
        <v>0.44717000000000001</v>
      </c>
      <c r="D62" s="12">
        <f t="shared" si="1"/>
        <v>3.1525484999999999E-2</v>
      </c>
      <c r="E62" s="12">
        <f t="shared" si="2"/>
        <v>1.4073877232142857E-3</v>
      </c>
      <c r="F62" s="12">
        <f>E62/Calculation!K$18*1000</f>
        <v>1.9456396168562463E-3</v>
      </c>
      <c r="G62" s="12">
        <f t="shared" si="3"/>
        <v>76.599401026949124</v>
      </c>
    </row>
    <row r="63" spans="1:7">
      <c r="A63" s="12">
        <v>29</v>
      </c>
      <c r="B63" s="75">
        <v>459.09</v>
      </c>
      <c r="C63" s="12">
        <f t="shared" si="0"/>
        <v>0.45909</v>
      </c>
      <c r="D63" s="12">
        <f t="shared" si="1"/>
        <v>3.2365844999999997E-2</v>
      </c>
      <c r="E63" s="12">
        <f t="shared" si="2"/>
        <v>1.4449037946428571E-3</v>
      </c>
      <c r="F63" s="12">
        <f>E63/Calculation!K$18*1000</f>
        <v>1.9975036154092048E-3</v>
      </c>
      <c r="G63" s="12">
        <f t="shared" si="3"/>
        <v>76.658548175433111</v>
      </c>
    </row>
    <row r="64" spans="1:7">
      <c r="A64" s="12">
        <v>29.5</v>
      </c>
      <c r="B64" s="75">
        <v>433.26</v>
      </c>
      <c r="C64" s="12">
        <f t="shared" si="0"/>
        <v>0.43325999999999998</v>
      </c>
      <c r="D64" s="12">
        <f t="shared" si="1"/>
        <v>3.0544829999999999E-2</v>
      </c>
      <c r="E64" s="12">
        <f t="shared" si="2"/>
        <v>1.3636084821428572E-3</v>
      </c>
      <c r="F64" s="12">
        <f>E64/Calculation!K$18*1000</f>
        <v>1.8851171151891613E-3</v>
      </c>
      <c r="G64" s="12">
        <f t="shared" si="3"/>
        <v>76.716787486392093</v>
      </c>
    </row>
    <row r="65" spans="1:7">
      <c r="A65" s="12">
        <v>30</v>
      </c>
      <c r="B65" s="75">
        <v>607.16</v>
      </c>
      <c r="C65" s="12">
        <f t="shared" si="0"/>
        <v>0.60715999999999992</v>
      </c>
      <c r="D65" s="12">
        <f t="shared" si="1"/>
        <v>4.2804779999999994E-2</v>
      </c>
      <c r="E65" s="12">
        <f t="shared" si="2"/>
        <v>1.9109276785714284E-3</v>
      </c>
      <c r="F65" s="12">
        <f>E65/Calculation!K$19*1000</f>
        <v>2.8371615818632077E-3</v>
      </c>
      <c r="G65" s="12">
        <f t="shared" si="3"/>
        <v>76.787621666847883</v>
      </c>
    </row>
    <row r="66" spans="1:7">
      <c r="A66" s="12">
        <v>30.5</v>
      </c>
      <c r="B66" s="75">
        <v>469.03</v>
      </c>
      <c r="C66" s="12">
        <f t="shared" si="0"/>
        <v>0.46902999999999995</v>
      </c>
      <c r="D66" s="12">
        <f t="shared" si="1"/>
        <v>3.3066614999999994E-2</v>
      </c>
      <c r="E66" s="12">
        <f t="shared" si="2"/>
        <v>1.4761881696428569E-3</v>
      </c>
      <c r="F66" s="12">
        <f>E66/Calculation!K$19*1000</f>
        <v>2.1917021818652414E-3</v>
      </c>
      <c r="G66" s="12">
        <f t="shared" si="3"/>
        <v>76.86305462330381</v>
      </c>
    </row>
    <row r="67" spans="1:7">
      <c r="A67" s="12">
        <v>31</v>
      </c>
      <c r="B67" s="75">
        <v>457.11</v>
      </c>
      <c r="C67" s="12">
        <f t="shared" si="0"/>
        <v>0.45711000000000002</v>
      </c>
      <c r="D67" s="12">
        <f t="shared" si="1"/>
        <v>3.2226255000000002E-2</v>
      </c>
      <c r="E67" s="12">
        <f t="shared" si="2"/>
        <v>1.4386720982142859E-3</v>
      </c>
      <c r="F67" s="12">
        <f>E67/Calculation!K$19*1000</f>
        <v>2.1360019281334267E-3</v>
      </c>
      <c r="G67" s="12">
        <f t="shared" si="3"/>
        <v>76.927970184953793</v>
      </c>
    </row>
    <row r="68" spans="1:7">
      <c r="A68" s="12">
        <v>31.5</v>
      </c>
      <c r="B68" s="75">
        <v>408.41</v>
      </c>
      <c r="C68" s="12">
        <f t="shared" si="0"/>
        <v>0.40841000000000005</v>
      </c>
      <c r="D68" s="12">
        <f t="shared" si="1"/>
        <v>2.8792905000000004E-2</v>
      </c>
      <c r="E68" s="12">
        <f t="shared" si="2"/>
        <v>1.2853975446428575E-3</v>
      </c>
      <c r="F68" s="12">
        <f>E68/Calculation!K$19*1000</f>
        <v>1.9084346163264262E-3</v>
      </c>
      <c r="G68" s="12">
        <f t="shared" si="3"/>
        <v>76.988636733120686</v>
      </c>
    </row>
    <row r="69" spans="1:7">
      <c r="A69" s="12">
        <v>32</v>
      </c>
      <c r="B69" s="75">
        <v>447.17</v>
      </c>
      <c r="C69" s="12">
        <f t="shared" si="0"/>
        <v>0.44717000000000001</v>
      </c>
      <c r="D69" s="12">
        <f t="shared" si="1"/>
        <v>3.1525484999999999E-2</v>
      </c>
      <c r="E69" s="12">
        <f t="shared" si="2"/>
        <v>1.4073877232142857E-3</v>
      </c>
      <c r="F69" s="12">
        <f>E69/Calculation!K$19*1000</f>
        <v>2.0895538977563914E-3</v>
      </c>
      <c r="G69" s="12">
        <f t="shared" si="3"/>
        <v>77.048606560831928</v>
      </c>
    </row>
    <row r="70" spans="1:7">
      <c r="A70" s="12">
        <v>32.5</v>
      </c>
      <c r="B70" s="75">
        <v>461.08</v>
      </c>
      <c r="C70" s="12">
        <f t="shared" ref="C70:C101" si="4">B70/1000</f>
        <v>0.46107999999999999</v>
      </c>
      <c r="D70" s="12">
        <f t="shared" ref="D70:D101" si="5">C70/1000*$B$1</f>
        <v>3.2506140000000003E-2</v>
      </c>
      <c r="E70" s="12">
        <f t="shared" ref="E70:E101" si="6">D70/22.4</f>
        <v>1.4511669642857145E-3</v>
      </c>
      <c r="F70" s="12">
        <f>E70/Calculation!K$19*1000</f>
        <v>2.1545531032437708E-3</v>
      </c>
      <c r="G70" s="12">
        <f t="shared" si="3"/>
        <v>77.112268165846928</v>
      </c>
    </row>
    <row r="71" spans="1:7">
      <c r="A71" s="12">
        <v>33</v>
      </c>
      <c r="B71" s="75">
        <v>482.94</v>
      </c>
      <c r="C71" s="12">
        <f t="shared" si="4"/>
        <v>0.48293999999999998</v>
      </c>
      <c r="D71" s="12">
        <f t="shared" si="5"/>
        <v>3.4047269999999998E-2</v>
      </c>
      <c r="E71" s="12">
        <f t="shared" si="6"/>
        <v>1.5199674107142856E-3</v>
      </c>
      <c r="F71" s="12">
        <f>E71/Calculation!K$19*1000</f>
        <v>2.2567013873526212E-3</v>
      </c>
      <c r="G71" s="12">
        <f t="shared" ref="G71:G101" si="7">G70+(F71+F70)/2*30</f>
        <v>77.17843698320587</v>
      </c>
    </row>
    <row r="72" spans="1:7">
      <c r="A72" s="12">
        <v>33.5</v>
      </c>
      <c r="B72" s="75">
        <v>492.88</v>
      </c>
      <c r="C72" s="12">
        <f t="shared" si="4"/>
        <v>0.49287999999999998</v>
      </c>
      <c r="D72" s="12">
        <f t="shared" si="5"/>
        <v>3.4748040000000001E-2</v>
      </c>
      <c r="E72" s="12">
        <f t="shared" si="6"/>
        <v>1.5512517857142858E-3</v>
      </c>
      <c r="F72" s="12">
        <f>E72/Calculation!K$19*1000</f>
        <v>2.303149417729656E-3</v>
      </c>
      <c r="G72" s="12">
        <f t="shared" si="7"/>
        <v>77.246834745282101</v>
      </c>
    </row>
    <row r="73" spans="1:7">
      <c r="A73" s="12">
        <v>34</v>
      </c>
      <c r="B73" s="75">
        <v>491.89</v>
      </c>
      <c r="C73" s="12">
        <f t="shared" si="4"/>
        <v>0.49188999999999999</v>
      </c>
      <c r="D73" s="12">
        <f t="shared" si="5"/>
        <v>3.4678245000000003E-2</v>
      </c>
      <c r="E73" s="12">
        <f t="shared" si="6"/>
        <v>1.5481359375000003E-3</v>
      </c>
      <c r="F73" s="12">
        <f>E73/Calculation!K$19*1000</f>
        <v>2.2985233060522658E-3</v>
      </c>
      <c r="G73" s="12">
        <f t="shared" si="7"/>
        <v>77.315859836138827</v>
      </c>
    </row>
    <row r="74" spans="1:7">
      <c r="A74" s="12">
        <v>34.5</v>
      </c>
      <c r="B74" s="75">
        <v>563.42999999999995</v>
      </c>
      <c r="C74" s="12">
        <f t="shared" si="4"/>
        <v>0.56342999999999999</v>
      </c>
      <c r="D74" s="12">
        <f t="shared" si="5"/>
        <v>3.9721815000000001E-2</v>
      </c>
      <c r="E74" s="12">
        <f t="shared" si="6"/>
        <v>1.7732953125000001E-3</v>
      </c>
      <c r="F74" s="12">
        <f>E74/Calculation!K$19*1000</f>
        <v>2.6328182852447249E-3</v>
      </c>
      <c r="G74" s="12">
        <f t="shared" si="7"/>
        <v>77.389829960008285</v>
      </c>
    </row>
    <row r="75" spans="1:7">
      <c r="A75" s="12">
        <v>35</v>
      </c>
      <c r="B75" s="75">
        <v>492.88</v>
      </c>
      <c r="C75" s="12">
        <f t="shared" si="4"/>
        <v>0.49287999999999998</v>
      </c>
      <c r="D75" s="12">
        <f t="shared" si="5"/>
        <v>3.4748040000000001E-2</v>
      </c>
      <c r="E75" s="12">
        <f t="shared" si="6"/>
        <v>1.5512517857142858E-3</v>
      </c>
      <c r="F75" s="12">
        <f>E75/Calculation!K$19*1000</f>
        <v>2.303149417729656E-3</v>
      </c>
      <c r="G75" s="12">
        <f t="shared" si="7"/>
        <v>77.463869475552897</v>
      </c>
    </row>
    <row r="76" spans="1:7">
      <c r="A76" s="12">
        <v>35.5</v>
      </c>
      <c r="B76" s="75">
        <v>533.62</v>
      </c>
      <c r="C76" s="12">
        <f t="shared" si="4"/>
        <v>0.53361999999999998</v>
      </c>
      <c r="D76" s="12">
        <f t="shared" si="5"/>
        <v>3.7620209999999994E-2</v>
      </c>
      <c r="E76" s="12">
        <f t="shared" si="6"/>
        <v>1.6794736607142855E-3</v>
      </c>
      <c r="F76" s="12">
        <f>E76/Calculation!K$19*1000</f>
        <v>2.4935209225144029E-3</v>
      </c>
      <c r="G76" s="12">
        <f t="shared" si="7"/>
        <v>77.535819530656553</v>
      </c>
    </row>
    <row r="77" spans="1:7">
      <c r="A77" s="12">
        <v>36</v>
      </c>
      <c r="B77" s="75">
        <v>464.06</v>
      </c>
      <c r="C77" s="12">
        <f t="shared" si="4"/>
        <v>0.46406000000000003</v>
      </c>
      <c r="D77" s="12">
        <f t="shared" si="5"/>
        <v>3.2716229999999999E-2</v>
      </c>
      <c r="E77" s="12">
        <f t="shared" si="6"/>
        <v>1.4605459821428572E-3</v>
      </c>
      <c r="F77" s="12">
        <f>E77/Calculation!K$19*1000</f>
        <v>2.1684781666767251E-3</v>
      </c>
      <c r="G77" s="12">
        <f t="shared" si="7"/>
        <v>77.605749516994422</v>
      </c>
    </row>
    <row r="78" spans="1:7">
      <c r="A78" s="12">
        <v>36.5</v>
      </c>
      <c r="B78" s="75">
        <v>477.97</v>
      </c>
      <c r="C78" s="12">
        <f t="shared" si="4"/>
        <v>0.47797000000000001</v>
      </c>
      <c r="D78" s="12">
        <f t="shared" si="5"/>
        <v>3.3696884999999996E-2</v>
      </c>
      <c r="E78" s="12">
        <f t="shared" si="6"/>
        <v>1.5043252232142855E-3</v>
      </c>
      <c r="F78" s="12">
        <f>E78/Calculation!K$19*1000</f>
        <v>2.2334773721641036E-3</v>
      </c>
      <c r="G78" s="12">
        <f t="shared" si="7"/>
        <v>77.671778850077033</v>
      </c>
    </row>
    <row r="79" spans="1:7">
      <c r="A79" s="12">
        <v>37</v>
      </c>
      <c r="B79" s="75">
        <v>432.26</v>
      </c>
      <c r="C79" s="12">
        <f t="shared" si="4"/>
        <v>0.43225999999999998</v>
      </c>
      <c r="D79" s="12">
        <f t="shared" si="5"/>
        <v>3.0474329999999997E-2</v>
      </c>
      <c r="E79" s="12">
        <f t="shared" si="6"/>
        <v>1.3604611607142857E-3</v>
      </c>
      <c r="F79" s="12">
        <f>E79/Calculation!K$19*1000</f>
        <v>2.0198818521908394E-3</v>
      </c>
      <c r="G79" s="12">
        <f t="shared" si="7"/>
        <v>77.735579238442355</v>
      </c>
    </row>
    <row r="80" spans="1:7">
      <c r="A80" s="12">
        <v>37.5</v>
      </c>
      <c r="B80" s="75">
        <v>458.1</v>
      </c>
      <c r="C80" s="12">
        <f t="shared" si="4"/>
        <v>0.45810000000000001</v>
      </c>
      <c r="D80" s="12">
        <f t="shared" si="5"/>
        <v>3.229605E-2</v>
      </c>
      <c r="E80" s="12">
        <f t="shared" si="6"/>
        <v>1.4417879464285715E-3</v>
      </c>
      <c r="F80" s="12">
        <f>E80/Calculation!K$19*1000</f>
        <v>2.1406280398108169E-3</v>
      </c>
      <c r="G80" s="12">
        <f t="shared" si="7"/>
        <v>77.797986886822386</v>
      </c>
    </row>
    <row r="81" spans="1:7">
      <c r="A81" s="12">
        <v>38</v>
      </c>
      <c r="B81" s="75">
        <v>457.11</v>
      </c>
      <c r="C81" s="12">
        <f t="shared" si="4"/>
        <v>0.45711000000000002</v>
      </c>
      <c r="D81" s="12">
        <f t="shared" si="5"/>
        <v>3.2226255000000002E-2</v>
      </c>
      <c r="E81" s="12">
        <f t="shared" si="6"/>
        <v>1.4386720982142859E-3</v>
      </c>
      <c r="F81" s="12">
        <f>E81/Calculation!K$19*1000</f>
        <v>2.1360019281334267E-3</v>
      </c>
      <c r="G81" s="12">
        <f t="shared" si="7"/>
        <v>77.86213633634155</v>
      </c>
    </row>
    <row r="82" spans="1:7">
      <c r="A82" s="12">
        <v>38.5</v>
      </c>
      <c r="B82" s="75">
        <v>431.27</v>
      </c>
      <c r="C82" s="12">
        <f t="shared" si="4"/>
        <v>0.43126999999999999</v>
      </c>
      <c r="D82" s="12">
        <f t="shared" si="5"/>
        <v>3.0404535E-2</v>
      </c>
      <c r="E82" s="12">
        <f t="shared" si="6"/>
        <v>1.3573453125000001E-3</v>
      </c>
      <c r="F82" s="12">
        <f>E82/Calculation!K$19*1000</f>
        <v>2.0152557405134488E-3</v>
      </c>
      <c r="G82" s="12">
        <f t="shared" si="7"/>
        <v>77.924405201371258</v>
      </c>
    </row>
    <row r="83" spans="1:7">
      <c r="A83" s="12">
        <v>39</v>
      </c>
      <c r="B83" s="75">
        <v>445.18</v>
      </c>
      <c r="C83" s="12">
        <f t="shared" si="4"/>
        <v>0.44518000000000002</v>
      </c>
      <c r="D83" s="12">
        <f t="shared" si="5"/>
        <v>3.138519E-2</v>
      </c>
      <c r="E83" s="12">
        <f t="shared" si="6"/>
        <v>1.4011245535714286E-3</v>
      </c>
      <c r="F83" s="12">
        <f>E83/Calculation!K$19*1000</f>
        <v>2.0802549460008286E-3</v>
      </c>
      <c r="G83" s="12">
        <f t="shared" si="7"/>
        <v>77.985837861668969</v>
      </c>
    </row>
    <row r="84" spans="1:7">
      <c r="A84" s="12">
        <v>39.5</v>
      </c>
      <c r="B84" s="75">
        <v>433.26</v>
      </c>
      <c r="C84" s="12">
        <f t="shared" si="4"/>
        <v>0.43325999999999998</v>
      </c>
      <c r="D84" s="12">
        <f t="shared" si="5"/>
        <v>3.0544829999999999E-2</v>
      </c>
      <c r="E84" s="12">
        <f t="shared" si="6"/>
        <v>1.3636084821428572E-3</v>
      </c>
      <c r="F84" s="12">
        <f>E84/Calculation!K$19*1000</f>
        <v>2.0245546922690121E-3</v>
      </c>
      <c r="G84" s="12">
        <f t="shared" si="7"/>
        <v>78.047410006243013</v>
      </c>
    </row>
    <row r="85" spans="1:7">
      <c r="A85" s="12">
        <v>40</v>
      </c>
      <c r="B85" s="75">
        <v>411.4</v>
      </c>
      <c r="C85" s="12">
        <f t="shared" si="4"/>
        <v>0.41139999999999999</v>
      </c>
      <c r="D85" s="12">
        <f t="shared" si="5"/>
        <v>2.9003699999999997E-2</v>
      </c>
      <c r="E85" s="12">
        <f t="shared" si="6"/>
        <v>1.2948080357142856E-3</v>
      </c>
      <c r="F85" s="12">
        <f>E85/Calculation!K$19*1000</f>
        <v>1.9224064081601617E-3</v>
      </c>
      <c r="G85" s="12">
        <f t="shared" si="7"/>
        <v>78.106614422749445</v>
      </c>
    </row>
    <row r="86" spans="1:7">
      <c r="A86" s="12">
        <v>40.5</v>
      </c>
      <c r="B86" s="75">
        <v>400.47</v>
      </c>
      <c r="C86" s="12">
        <f t="shared" si="4"/>
        <v>0.40047000000000005</v>
      </c>
      <c r="D86" s="12">
        <f t="shared" si="5"/>
        <v>2.8233135000000003E-2</v>
      </c>
      <c r="E86" s="12">
        <f t="shared" si="6"/>
        <v>1.2604078125000003E-3</v>
      </c>
      <c r="F86" s="12">
        <f>E86/Calculation!K$19*1000</f>
        <v>1.8713322661057367E-3</v>
      </c>
      <c r="G86" s="12">
        <f t="shared" si="7"/>
        <v>78.163520502863435</v>
      </c>
    </row>
    <row r="87" spans="1:7">
      <c r="A87" s="12">
        <v>41</v>
      </c>
      <c r="B87" s="75">
        <v>432.26</v>
      </c>
      <c r="C87" s="12">
        <f t="shared" si="4"/>
        <v>0.43225999999999998</v>
      </c>
      <c r="D87" s="12">
        <f t="shared" si="5"/>
        <v>3.0474329999999997E-2</v>
      </c>
      <c r="E87" s="12">
        <f t="shared" si="6"/>
        <v>1.3604611607142857E-3</v>
      </c>
      <c r="F87" s="12">
        <f>E87/Calculation!K$19*1000</f>
        <v>2.0198818521908394E-3</v>
      </c>
      <c r="G87" s="12">
        <f t="shared" si="7"/>
        <v>78.221888714637885</v>
      </c>
    </row>
    <row r="88" spans="1:7">
      <c r="A88" s="12">
        <v>41.5</v>
      </c>
      <c r="B88" s="75">
        <v>656.84</v>
      </c>
      <c r="C88" s="12">
        <f t="shared" si="4"/>
        <v>0.65683999999999998</v>
      </c>
      <c r="D88" s="12">
        <f t="shared" si="5"/>
        <v>4.6307220000000003E-2</v>
      </c>
      <c r="E88" s="12">
        <f t="shared" si="6"/>
        <v>2.0672866071428575E-3</v>
      </c>
      <c r="F88" s="12">
        <f>E88/Calculation!K$19*1000</f>
        <v>3.0693082769468177E-3</v>
      </c>
      <c r="G88" s="12">
        <f t="shared" si="7"/>
        <v>78.298226566574954</v>
      </c>
    </row>
    <row r="89" spans="1:7">
      <c r="A89" s="12">
        <v>42</v>
      </c>
      <c r="B89" s="75">
        <v>725.41</v>
      </c>
      <c r="C89" s="12">
        <f t="shared" si="4"/>
        <v>0.72541</v>
      </c>
      <c r="D89" s="12">
        <f t="shared" si="5"/>
        <v>5.1141405000000001E-2</v>
      </c>
      <c r="E89" s="12">
        <f t="shared" si="6"/>
        <v>2.2830984375000001E-3</v>
      </c>
      <c r="F89" s="12">
        <f>E89/Calculation!K$19*1000</f>
        <v>3.3897249211071049E-3</v>
      </c>
      <c r="G89" s="12">
        <f t="shared" si="7"/>
        <v>78.395112064545756</v>
      </c>
    </row>
    <row r="90" spans="1:7">
      <c r="A90" s="12">
        <v>42.5</v>
      </c>
      <c r="B90" s="75">
        <v>551.51</v>
      </c>
      <c r="C90" s="12">
        <f t="shared" si="4"/>
        <v>0.55150999999999994</v>
      </c>
      <c r="D90" s="12">
        <f t="shared" si="5"/>
        <v>3.8881454999999995E-2</v>
      </c>
      <c r="E90" s="12">
        <f t="shared" si="6"/>
        <v>1.7357792410714285E-3</v>
      </c>
      <c r="F90" s="12">
        <f>E90/Calculation!K$19*1000</f>
        <v>2.5771180315129088E-3</v>
      </c>
      <c r="G90" s="12">
        <f t="shared" si="7"/>
        <v>78.484614708835053</v>
      </c>
    </row>
    <row r="91" spans="1:7">
      <c r="A91" s="12">
        <v>43</v>
      </c>
      <c r="B91" s="75">
        <v>453.13</v>
      </c>
      <c r="C91" s="12">
        <f t="shared" si="4"/>
        <v>0.45312999999999998</v>
      </c>
      <c r="D91" s="12">
        <f t="shared" si="5"/>
        <v>3.1945664999999998E-2</v>
      </c>
      <c r="E91" s="12">
        <f t="shared" si="6"/>
        <v>1.4261457589285714E-3</v>
      </c>
      <c r="F91" s="12">
        <f>E91/Calculation!K$19*1000</f>
        <v>2.1174040246222997E-3</v>
      </c>
      <c r="G91" s="12">
        <f t="shared" si="7"/>
        <v>78.555032539677086</v>
      </c>
    </row>
    <row r="92" spans="1:7">
      <c r="A92" s="12">
        <v>43.5</v>
      </c>
      <c r="B92" s="75">
        <v>425.31</v>
      </c>
      <c r="C92" s="12">
        <f t="shared" si="4"/>
        <v>0.42531000000000002</v>
      </c>
      <c r="D92" s="12">
        <f t="shared" si="5"/>
        <v>2.9984355000000001E-2</v>
      </c>
      <c r="E92" s="12">
        <f t="shared" si="6"/>
        <v>1.3385872767857144E-3</v>
      </c>
      <c r="F92" s="12">
        <f>E92/Calculation!K$19*1000</f>
        <v>1.987405613647541E-3</v>
      </c>
      <c r="G92" s="12">
        <f t="shared" si="7"/>
        <v>78.616604684251129</v>
      </c>
    </row>
    <row r="93" spans="1:7">
      <c r="A93" s="12">
        <v>44</v>
      </c>
      <c r="B93" s="75">
        <v>422.33</v>
      </c>
      <c r="C93" s="12">
        <f t="shared" si="4"/>
        <v>0.42232999999999998</v>
      </c>
      <c r="D93" s="12">
        <f t="shared" si="5"/>
        <v>2.9774265000000001E-2</v>
      </c>
      <c r="E93" s="12">
        <f t="shared" si="6"/>
        <v>1.3292082589285716E-3</v>
      </c>
      <c r="F93" s="12">
        <f>E93/Calculation!K$19*1000</f>
        <v>1.9734805502145871E-3</v>
      </c>
      <c r="G93" s="12">
        <f t="shared" si="7"/>
        <v>78.676017976709062</v>
      </c>
    </row>
    <row r="94" spans="1:7">
      <c r="A94" s="12">
        <v>44.5</v>
      </c>
      <c r="B94" s="75">
        <v>411.4</v>
      </c>
      <c r="C94" s="12">
        <f t="shared" si="4"/>
        <v>0.41139999999999999</v>
      </c>
      <c r="D94" s="12">
        <f t="shared" si="5"/>
        <v>2.9003699999999997E-2</v>
      </c>
      <c r="E94" s="12">
        <f t="shared" si="6"/>
        <v>1.2948080357142856E-3</v>
      </c>
      <c r="F94" s="12">
        <f>E94/Calculation!K$19*1000</f>
        <v>1.9224064081601617E-3</v>
      </c>
      <c r="G94" s="12">
        <f t="shared" si="7"/>
        <v>78.73445628108469</v>
      </c>
    </row>
    <row r="95" spans="1:7">
      <c r="A95" s="12">
        <v>45</v>
      </c>
      <c r="B95" s="75">
        <v>395.5</v>
      </c>
      <c r="C95" s="12">
        <f t="shared" si="4"/>
        <v>0.39550000000000002</v>
      </c>
      <c r="D95" s="12">
        <f t="shared" si="5"/>
        <v>2.7882750000000001E-2</v>
      </c>
      <c r="E95" s="12">
        <f t="shared" si="6"/>
        <v>1.2447656250000002E-3</v>
      </c>
      <c r="F95" s="12">
        <f>E95/Calculation!K$19*1000</f>
        <v>1.8481082509172193E-3</v>
      </c>
      <c r="G95" s="12">
        <f t="shared" si="7"/>
        <v>78.791014000970847</v>
      </c>
    </row>
    <row r="96" spans="1:7">
      <c r="A96" s="12">
        <v>45.5</v>
      </c>
      <c r="B96" s="75">
        <v>381.58</v>
      </c>
      <c r="C96" s="12">
        <f t="shared" si="4"/>
        <v>0.38157999999999997</v>
      </c>
      <c r="D96" s="12">
        <f t="shared" si="5"/>
        <v>2.6901389999999997E-2</v>
      </c>
      <c r="E96" s="12">
        <f t="shared" si="6"/>
        <v>1.2009549107142856E-3</v>
      </c>
      <c r="F96" s="12">
        <f>E96/Calculation!K$19*1000</f>
        <v>1.7830623170290577E-3</v>
      </c>
      <c r="G96" s="12">
        <f t="shared" si="7"/>
        <v>78.84548155949004</v>
      </c>
    </row>
    <row r="97" spans="1:7">
      <c r="A97" s="12">
        <v>46</v>
      </c>
      <c r="B97" s="75">
        <v>384.57</v>
      </c>
      <c r="C97" s="12">
        <f t="shared" si="4"/>
        <v>0.38456999999999997</v>
      </c>
      <c r="D97" s="12">
        <f t="shared" si="5"/>
        <v>2.7112185E-2</v>
      </c>
      <c r="E97" s="12">
        <f t="shared" si="6"/>
        <v>1.2103654017857144E-3</v>
      </c>
      <c r="F97" s="12">
        <f>E97/Calculation!K$19*1000</f>
        <v>1.7970341088627941E-3</v>
      </c>
      <c r="G97" s="12">
        <f t="shared" si="7"/>
        <v>78.899183005878413</v>
      </c>
    </row>
    <row r="98" spans="1:7">
      <c r="A98" s="12">
        <v>46.5</v>
      </c>
      <c r="B98" s="75">
        <v>369.66</v>
      </c>
      <c r="C98" s="12">
        <f t="shared" si="4"/>
        <v>0.36966000000000004</v>
      </c>
      <c r="D98" s="12">
        <f t="shared" si="5"/>
        <v>2.6061030000000006E-2</v>
      </c>
      <c r="E98" s="12">
        <f t="shared" si="6"/>
        <v>1.1634388392857146E-3</v>
      </c>
      <c r="F98" s="12">
        <f>E98/Calculation!K$19*1000</f>
        <v>1.7273620632972425E-3</v>
      </c>
      <c r="G98" s="12">
        <f t="shared" si="7"/>
        <v>78.952048948460813</v>
      </c>
    </row>
    <row r="99" spans="1:7">
      <c r="A99" s="12">
        <v>47</v>
      </c>
      <c r="B99" s="75">
        <v>360.72</v>
      </c>
      <c r="C99" s="12">
        <f t="shared" si="4"/>
        <v>0.36072000000000004</v>
      </c>
      <c r="D99" s="12">
        <f t="shared" si="5"/>
        <v>2.5430760000000004E-2</v>
      </c>
      <c r="E99" s="12">
        <f t="shared" si="6"/>
        <v>1.135301785714286E-3</v>
      </c>
      <c r="F99" s="12">
        <f>E99/Calculation!K$19*1000</f>
        <v>1.6855868729983804E-3</v>
      </c>
      <c r="G99" s="12">
        <f t="shared" si="7"/>
        <v>79.003243182505244</v>
      </c>
    </row>
    <row r="100" spans="1:7">
      <c r="A100" s="12">
        <v>47.5</v>
      </c>
      <c r="B100" s="75">
        <v>390.53</v>
      </c>
      <c r="C100" s="12">
        <f t="shared" si="4"/>
        <v>0.39052999999999999</v>
      </c>
      <c r="D100" s="12">
        <f t="shared" si="5"/>
        <v>2.7532365E-2</v>
      </c>
      <c r="E100" s="12">
        <f t="shared" si="6"/>
        <v>1.2291234375000001E-3</v>
      </c>
      <c r="F100" s="12">
        <f>E100/Calculation!K$19*1000</f>
        <v>1.8248842357287019E-3</v>
      </c>
      <c r="G100" s="12">
        <f t="shared" si="7"/>
        <v>79.055900249136144</v>
      </c>
    </row>
    <row r="101" spans="1:7">
      <c r="A101" s="12">
        <v>48</v>
      </c>
      <c r="B101" s="75">
        <v>365.69</v>
      </c>
      <c r="C101" s="12">
        <f t="shared" si="4"/>
        <v>0.36569000000000002</v>
      </c>
      <c r="D101" s="12">
        <f t="shared" si="5"/>
        <v>2.5781145000000002E-2</v>
      </c>
      <c r="E101" s="12">
        <f t="shared" si="6"/>
        <v>1.1509439732142858E-3</v>
      </c>
      <c r="F101" s="12">
        <f>E101/Calculation!K$20*1000</f>
        <v>1.9574029474406624E-3</v>
      </c>
      <c r="G101" s="12">
        <f t="shared" si="7"/>
        <v>79.112634556883691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95" zoomScale="98" zoomScaleNormal="98" zoomScalePageLayoutView="98" workbookViewId="0">
      <selection activeCell="B102" sqref="B102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70.5</v>
      </c>
      <c r="C1" s="9" t="s">
        <v>51</v>
      </c>
    </row>
    <row r="3" spans="1:12">
      <c r="A3" s="128" t="s">
        <v>5</v>
      </c>
      <c r="B3" s="128" t="s">
        <v>36</v>
      </c>
      <c r="C3" s="128"/>
      <c r="D3" s="128" t="s">
        <v>52</v>
      </c>
      <c r="E3" s="128"/>
      <c r="F3" s="128"/>
      <c r="G3" s="8" t="s">
        <v>53</v>
      </c>
    </row>
    <row r="4" spans="1:12">
      <c r="A4" s="128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5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75">
        <v>0</v>
      </c>
      <c r="C6" s="36">
        <f t="shared" ref="C6:C69" si="0">B6/1000</f>
        <v>0</v>
      </c>
      <c r="D6" s="12">
        <f>C6/1000*$B$1</f>
        <v>0</v>
      </c>
      <c r="E6" s="12">
        <f t="shared" ref="E6:E69" si="1">D6/22.4</f>
        <v>0</v>
      </c>
      <c r="F6" s="12">
        <f>E6/Calculation!K$4*1000</f>
        <v>0</v>
      </c>
      <c r="G6" s="12">
        <f>G5+(F6+F5)/2*30</f>
        <v>0</v>
      </c>
    </row>
    <row r="7" spans="1:12">
      <c r="A7" s="35">
        <v>1</v>
      </c>
      <c r="B7" s="75">
        <v>201.11</v>
      </c>
      <c r="C7" s="36">
        <f t="shared" si="0"/>
        <v>0.20111000000000001</v>
      </c>
      <c r="D7" s="12">
        <f t="shared" ref="D7:D69" si="2">C7/1000*$B$1</f>
        <v>1.4178255000000001E-2</v>
      </c>
      <c r="E7" s="12">
        <f t="shared" si="1"/>
        <v>6.3295781250000008E-4</v>
      </c>
      <c r="F7" s="12">
        <f>E7/Calculation!K$4*1000</f>
        <v>4.2978130118978336E-4</v>
      </c>
      <c r="G7" s="12">
        <f>G6+(F7+F6)/2*30</f>
        <v>6.4467195178467499E-3</v>
      </c>
    </row>
    <row r="8" spans="1:12">
      <c r="A8" s="35">
        <v>1.5</v>
      </c>
      <c r="B8" s="75">
        <v>191.3</v>
      </c>
      <c r="C8" s="36">
        <f t="shared" si="0"/>
        <v>0.1913</v>
      </c>
      <c r="D8" s="12">
        <f t="shared" si="2"/>
        <v>1.3486649999999999E-2</v>
      </c>
      <c r="E8" s="12">
        <f t="shared" si="1"/>
        <v>6.0208258928571429E-4</v>
      </c>
      <c r="F8" s="12">
        <f>E8/Calculation!K$4*1000</f>
        <v>4.0881688089903806E-4</v>
      </c>
      <c r="G8" s="12">
        <f t="shared" ref="G8:G70" si="3">G7+(F8+F7)/2*30</f>
        <v>1.902569224917907E-2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5">
        <v>195.78</v>
      </c>
      <c r="C9" s="36">
        <f t="shared" si="0"/>
        <v>0.19578000000000001</v>
      </c>
      <c r="D9" s="12">
        <f t="shared" si="2"/>
        <v>1.3802490000000001E-2</v>
      </c>
      <c r="E9" s="12">
        <f t="shared" si="1"/>
        <v>6.1618258928571436E-4</v>
      </c>
      <c r="F9" s="12">
        <f>E9/Calculation!K$5*1000</f>
        <v>4.3489623029443342E-4</v>
      </c>
      <c r="G9" s="12">
        <f t="shared" si="3"/>
        <v>3.1681388917081138E-2</v>
      </c>
    </row>
    <row r="10" spans="1:12">
      <c r="A10" s="35">
        <v>2.5</v>
      </c>
      <c r="B10" s="75">
        <v>196.98</v>
      </c>
      <c r="C10" s="36">
        <f t="shared" si="0"/>
        <v>0.19697999999999999</v>
      </c>
      <c r="D10" s="12">
        <f t="shared" si="2"/>
        <v>1.388709E-2</v>
      </c>
      <c r="E10" s="12">
        <f t="shared" si="1"/>
        <v>6.1995937500000002E-4</v>
      </c>
      <c r="F10" s="12">
        <f>E10/Calculation!K$5*1000</f>
        <v>4.375618523005286E-4</v>
      </c>
      <c r="G10" s="12">
        <f t="shared" si="3"/>
        <v>4.4768260156005567E-2</v>
      </c>
    </row>
    <row r="11" spans="1:12">
      <c r="A11" s="35">
        <v>3</v>
      </c>
      <c r="B11" s="75">
        <v>204.55</v>
      </c>
      <c r="C11" s="36">
        <f t="shared" si="0"/>
        <v>0.20455000000000001</v>
      </c>
      <c r="D11" s="12">
        <f t="shared" si="2"/>
        <v>1.4420775E-2</v>
      </c>
      <c r="E11" s="12">
        <f t="shared" si="1"/>
        <v>6.4378459821428573E-4</v>
      </c>
      <c r="F11" s="12">
        <f>E11/Calculation!K$5*1000</f>
        <v>4.5437748445564585E-4</v>
      </c>
      <c r="G11" s="12">
        <f t="shared" si="3"/>
        <v>5.8147350207348181E-2</v>
      </c>
    </row>
    <row r="12" spans="1:12">
      <c r="A12" s="35">
        <v>3.5</v>
      </c>
      <c r="B12" s="75">
        <v>200.25</v>
      </c>
      <c r="C12" s="36">
        <f t="shared" si="0"/>
        <v>0.20025000000000001</v>
      </c>
      <c r="D12" s="12">
        <f t="shared" si="2"/>
        <v>1.4117625000000002E-2</v>
      </c>
      <c r="E12" s="12">
        <f t="shared" si="1"/>
        <v>6.3025111607142869E-4</v>
      </c>
      <c r="F12" s="12">
        <f>E12/Calculation!K$6*1000</f>
        <v>4.6514138660167409E-4</v>
      </c>
      <c r="G12" s="12">
        <f t="shared" si="3"/>
        <v>7.1940133273207973E-2</v>
      </c>
    </row>
    <row r="13" spans="1:12">
      <c r="A13" s="35">
        <v>4</v>
      </c>
      <c r="B13" s="75">
        <v>215.22</v>
      </c>
      <c r="C13" s="36">
        <f t="shared" si="0"/>
        <v>0.21521999999999999</v>
      </c>
      <c r="D13" s="12">
        <f t="shared" si="2"/>
        <v>1.5173009999999999E-2</v>
      </c>
      <c r="E13" s="12">
        <f t="shared" si="1"/>
        <v>6.773665178571429E-4</v>
      </c>
      <c r="F13" s="12">
        <f>E13/Calculation!K$6*1000</f>
        <v>4.9991375392964934E-4</v>
      </c>
      <c r="G13" s="12">
        <f t="shared" si="3"/>
        <v>8.6415960381177825E-2</v>
      </c>
    </row>
    <row r="14" spans="1:12">
      <c r="A14" s="35">
        <v>4.5</v>
      </c>
      <c r="B14" s="75">
        <v>254.95</v>
      </c>
      <c r="C14" s="36">
        <f t="shared" si="0"/>
        <v>0.25495000000000001</v>
      </c>
      <c r="D14" s="12">
        <f t="shared" si="2"/>
        <v>1.7973975E-2</v>
      </c>
      <c r="E14" s="12">
        <f t="shared" si="1"/>
        <v>8.0240959821428575E-4</v>
      </c>
      <c r="F14" s="12">
        <f>E14/Calculation!K$6*1000</f>
        <v>5.9219873415279297E-4</v>
      </c>
      <c r="G14" s="12">
        <f t="shared" si="3"/>
        <v>0.10279764770241445</v>
      </c>
    </row>
    <row r="15" spans="1:12">
      <c r="A15" s="35">
        <v>5</v>
      </c>
      <c r="B15" s="75">
        <v>327.55</v>
      </c>
      <c r="C15" s="36">
        <f t="shared" si="0"/>
        <v>0.32755000000000001</v>
      </c>
      <c r="D15" s="12">
        <f t="shared" si="2"/>
        <v>2.3092275000000002E-2</v>
      </c>
      <c r="E15" s="12">
        <f t="shared" si="1"/>
        <v>1.0309051339285715E-3</v>
      </c>
      <c r="F15" s="12">
        <f>E15/Calculation!K$7*1000</f>
        <v>7.9235256354386724E-4</v>
      </c>
      <c r="G15" s="12">
        <f t="shared" si="3"/>
        <v>0.12356591716786436</v>
      </c>
    </row>
    <row r="16" spans="1:12">
      <c r="A16" s="35">
        <v>5.5</v>
      </c>
      <c r="B16" s="75">
        <v>418.56</v>
      </c>
      <c r="C16" s="36">
        <f t="shared" si="0"/>
        <v>0.41855999999999999</v>
      </c>
      <c r="D16" s="12">
        <f t="shared" si="2"/>
        <v>2.950848E-2</v>
      </c>
      <c r="E16" s="12">
        <f t="shared" si="1"/>
        <v>1.3173428571428573E-3</v>
      </c>
      <c r="F16" s="12">
        <f>E16/Calculation!K$7*1000</f>
        <v>1.0125082857484996E-3</v>
      </c>
      <c r="G16" s="12">
        <f t="shared" si="3"/>
        <v>0.15063882990724986</v>
      </c>
    </row>
    <row r="17" spans="1:7">
      <c r="A17" s="35">
        <v>6</v>
      </c>
      <c r="B17" s="75">
        <v>548.1</v>
      </c>
      <c r="C17" s="36">
        <f t="shared" si="0"/>
        <v>0.54810000000000003</v>
      </c>
      <c r="D17" s="12">
        <f t="shared" si="2"/>
        <v>3.8641050000000003E-2</v>
      </c>
      <c r="E17" s="12">
        <f t="shared" si="1"/>
        <v>1.7250468750000002E-3</v>
      </c>
      <c r="F17" s="12">
        <f>E17/Calculation!K$8*1000</f>
        <v>1.3743689717805206E-3</v>
      </c>
      <c r="G17" s="12">
        <f t="shared" si="3"/>
        <v>0.18644198877018517</v>
      </c>
    </row>
    <row r="18" spans="1:7">
      <c r="A18" s="35">
        <v>6.5</v>
      </c>
      <c r="B18" s="75">
        <v>733.04</v>
      </c>
      <c r="C18" s="36">
        <f t="shared" si="0"/>
        <v>0.73303999999999991</v>
      </c>
      <c r="D18" s="12">
        <f t="shared" si="2"/>
        <v>5.1679319999999994E-2</v>
      </c>
      <c r="E18" s="12">
        <f t="shared" si="1"/>
        <v>2.3071124999999998E-3</v>
      </c>
      <c r="F18" s="12">
        <f>E18/Calculation!K$8*1000</f>
        <v>1.8381087959751735E-3</v>
      </c>
      <c r="G18" s="12">
        <f t="shared" si="3"/>
        <v>0.23462915528652056</v>
      </c>
    </row>
    <row r="19" spans="1:7">
      <c r="A19" s="35">
        <v>7</v>
      </c>
      <c r="B19" s="75">
        <v>1002.44</v>
      </c>
      <c r="C19" s="36">
        <f t="shared" si="0"/>
        <v>1.00244</v>
      </c>
      <c r="D19" s="12">
        <f t="shared" si="2"/>
        <v>7.0672020000000002E-2</v>
      </c>
      <c r="E19" s="12">
        <f t="shared" si="1"/>
        <v>3.1550008928571431E-3</v>
      </c>
      <c r="F19" s="12">
        <f>E19/Calculation!K$8*1000</f>
        <v>2.5136333371130544E-3</v>
      </c>
      <c r="G19" s="12">
        <f t="shared" si="3"/>
        <v>0.29990528728284399</v>
      </c>
    </row>
    <row r="20" spans="1:7">
      <c r="A20" s="35">
        <v>7.5</v>
      </c>
      <c r="B20" s="75">
        <v>1437.69</v>
      </c>
      <c r="C20" s="36">
        <f t="shared" si="0"/>
        <v>1.4376900000000001</v>
      </c>
      <c r="D20" s="12">
        <f t="shared" si="2"/>
        <v>0.10135714500000001</v>
      </c>
      <c r="E20" s="12">
        <f t="shared" si="1"/>
        <v>4.5248725446428578E-3</v>
      </c>
      <c r="F20" s="12">
        <f>E20/Calculation!K$9*1000</f>
        <v>3.7760500784697294E-3</v>
      </c>
      <c r="G20" s="12">
        <f t="shared" si="3"/>
        <v>0.39425053851658576</v>
      </c>
    </row>
    <row r="21" spans="1:7">
      <c r="A21" s="35">
        <v>8</v>
      </c>
      <c r="B21" s="75">
        <v>1969.79</v>
      </c>
      <c r="C21" s="36">
        <f t="shared" si="0"/>
        <v>1.9697899999999999</v>
      </c>
      <c r="D21" s="12">
        <f t="shared" si="2"/>
        <v>0.138870195</v>
      </c>
      <c r="E21" s="12">
        <f t="shared" si="1"/>
        <v>6.1995622767857146E-3</v>
      </c>
      <c r="F21" s="12">
        <f>E21/Calculation!K$9*1000</f>
        <v>5.1735949224581707E-3</v>
      </c>
      <c r="G21" s="12">
        <f t="shared" si="3"/>
        <v>0.52849521353050422</v>
      </c>
    </row>
    <row r="22" spans="1:7">
      <c r="A22" s="35">
        <v>8.5</v>
      </c>
      <c r="B22" s="75">
        <v>2773.88</v>
      </c>
      <c r="C22" s="36">
        <f t="shared" si="0"/>
        <v>2.7738800000000001</v>
      </c>
      <c r="D22" s="12">
        <f t="shared" si="2"/>
        <v>0.19555854000000003</v>
      </c>
      <c r="E22" s="12">
        <f t="shared" si="1"/>
        <v>8.7302919642857166E-3</v>
      </c>
      <c r="F22" s="12">
        <f>E22/Calculation!K$9*1000</f>
        <v>7.2855134219933461E-3</v>
      </c>
      <c r="G22" s="12">
        <f t="shared" si="3"/>
        <v>0.71538183869727701</v>
      </c>
    </row>
    <row r="23" spans="1:7">
      <c r="A23" s="35">
        <v>9</v>
      </c>
      <c r="B23" s="75">
        <v>3865.61</v>
      </c>
      <c r="C23" s="36">
        <f t="shared" si="0"/>
        <v>3.8656100000000002</v>
      </c>
      <c r="D23" s="12">
        <f t="shared" si="2"/>
        <v>0.272525505</v>
      </c>
      <c r="E23" s="12">
        <f t="shared" si="1"/>
        <v>1.2166317187500001E-2</v>
      </c>
      <c r="F23" s="12">
        <f>E23/Calculation!K$10*1000</f>
        <v>1.0648376579572089E-2</v>
      </c>
      <c r="G23" s="12">
        <f t="shared" si="3"/>
        <v>0.98439018872075856</v>
      </c>
    </row>
    <row r="24" spans="1:7">
      <c r="A24" s="35">
        <v>9.5</v>
      </c>
      <c r="B24" s="75">
        <v>5006.2</v>
      </c>
      <c r="C24" s="36">
        <f t="shared" si="0"/>
        <v>5.0061999999999998</v>
      </c>
      <c r="D24" s="12">
        <f t="shared" si="2"/>
        <v>0.3529371</v>
      </c>
      <c r="E24" s="12">
        <f t="shared" si="1"/>
        <v>1.5756120535714287E-2</v>
      </c>
      <c r="F24" s="12">
        <f>E24/Calculation!K$10*1000</f>
        <v>1.3790295149446996E-2</v>
      </c>
      <c r="G24" s="12">
        <f t="shared" si="3"/>
        <v>1.3509702646560449</v>
      </c>
    </row>
    <row r="25" spans="1:7">
      <c r="A25" s="35">
        <v>10</v>
      </c>
      <c r="B25" s="75">
        <v>6610.94</v>
      </c>
      <c r="C25" s="36">
        <f t="shared" si="0"/>
        <v>6.6109399999999994</v>
      </c>
      <c r="D25" s="12">
        <f t="shared" si="2"/>
        <v>0.46607126999999993</v>
      </c>
      <c r="E25" s="12">
        <f t="shared" si="1"/>
        <v>2.0806753124999997E-2</v>
      </c>
      <c r="F25" s="12">
        <f>E25/Calculation!K$11*1000</f>
        <v>1.9072022681309794E-2</v>
      </c>
      <c r="G25" s="12">
        <f t="shared" si="3"/>
        <v>1.8439050321173966</v>
      </c>
    </row>
    <row r="26" spans="1:7">
      <c r="A26" s="35">
        <v>10.5</v>
      </c>
      <c r="B26" s="75">
        <v>8571.9599999999991</v>
      </c>
      <c r="C26" s="36">
        <f t="shared" si="0"/>
        <v>8.5719599999999989</v>
      </c>
      <c r="D26" s="12">
        <f t="shared" si="2"/>
        <v>0.60432317999999985</v>
      </c>
      <c r="E26" s="12">
        <f t="shared" si="1"/>
        <v>2.6978713392857137E-2</v>
      </c>
      <c r="F26" s="12">
        <f>E26/Calculation!K$11*1000</f>
        <v>2.4729405431493903E-2</v>
      </c>
      <c r="G26" s="12">
        <f t="shared" si="3"/>
        <v>2.500926453809452</v>
      </c>
    </row>
    <row r="27" spans="1:7">
      <c r="A27" s="35">
        <v>11</v>
      </c>
      <c r="B27" s="75">
        <v>10812.53</v>
      </c>
      <c r="C27" s="36">
        <f t="shared" si="0"/>
        <v>10.812530000000001</v>
      </c>
      <c r="D27" s="12">
        <f t="shared" si="2"/>
        <v>0.76228336500000005</v>
      </c>
      <c r="E27" s="12">
        <f t="shared" si="1"/>
        <v>3.4030507366071432E-2</v>
      </c>
      <c r="F27" s="12">
        <f>E27/Calculation!K$11*1000</f>
        <v>3.1193267130293523E-2</v>
      </c>
      <c r="G27" s="12">
        <f t="shared" si="3"/>
        <v>3.3397665422362635</v>
      </c>
    </row>
    <row r="28" spans="1:7">
      <c r="A28" s="35">
        <v>11.5</v>
      </c>
      <c r="B28" s="75">
        <v>11134.58</v>
      </c>
      <c r="C28" s="36">
        <f t="shared" si="0"/>
        <v>11.13458</v>
      </c>
      <c r="D28" s="12">
        <f t="shared" si="2"/>
        <v>0.78498789000000002</v>
      </c>
      <c r="E28" s="12">
        <f t="shared" si="1"/>
        <v>3.5044102232142861E-2</v>
      </c>
      <c r="F28" s="12">
        <f>E28/Calculation!K$12*1000</f>
        <v>3.3486644920213693E-2</v>
      </c>
      <c r="G28" s="12">
        <f t="shared" si="3"/>
        <v>4.3099652229938714</v>
      </c>
    </row>
    <row r="29" spans="1:7">
      <c r="A29" s="35">
        <v>12</v>
      </c>
      <c r="B29" s="75">
        <v>14340.1</v>
      </c>
      <c r="C29" s="36">
        <f t="shared" si="0"/>
        <v>14.3401</v>
      </c>
      <c r="D29" s="12">
        <f t="shared" si="2"/>
        <v>1.0109770499999999</v>
      </c>
      <c r="E29" s="12">
        <f t="shared" si="1"/>
        <v>4.5132904017857141E-2</v>
      </c>
      <c r="F29" s="12">
        <f>E29/Calculation!K$12*1000</f>
        <v>4.3127072311695304E-2</v>
      </c>
      <c r="G29" s="12">
        <f t="shared" si="3"/>
        <v>5.4591709814725062</v>
      </c>
    </row>
    <row r="30" spans="1:7">
      <c r="A30" s="35">
        <v>12.5</v>
      </c>
      <c r="B30" s="75">
        <v>15989.91</v>
      </c>
      <c r="C30" s="36">
        <f t="shared" si="0"/>
        <v>15.98991</v>
      </c>
      <c r="D30" s="12">
        <f t="shared" si="2"/>
        <v>1.1272886549999999</v>
      </c>
      <c r="E30" s="12">
        <f t="shared" si="1"/>
        <v>5.0325386383928569E-2</v>
      </c>
      <c r="F30" s="12">
        <f>E30/Calculation!K$12*1000</f>
        <v>4.8088786328372872E-2</v>
      </c>
      <c r="G30" s="12">
        <f t="shared" si="3"/>
        <v>6.8274088610735291</v>
      </c>
    </row>
    <row r="31" spans="1:7">
      <c r="A31" s="35">
        <v>13</v>
      </c>
      <c r="B31" s="75">
        <v>18030.07</v>
      </c>
      <c r="C31" s="36">
        <f t="shared" si="0"/>
        <v>18.030069999999998</v>
      </c>
      <c r="D31" s="12">
        <f t="shared" si="2"/>
        <v>1.271119935</v>
      </c>
      <c r="E31" s="12">
        <f t="shared" si="1"/>
        <v>5.6746425669642858E-2</v>
      </c>
      <c r="F31" s="12">
        <f>E31/Calculation!K$13*1000</f>
        <v>5.7232361032455048E-2</v>
      </c>
      <c r="G31" s="12">
        <f t="shared" si="3"/>
        <v>8.4072260714859475</v>
      </c>
    </row>
    <row r="32" spans="1:7">
      <c r="A32" s="35">
        <v>13.5</v>
      </c>
      <c r="B32" s="75">
        <v>19570.46</v>
      </c>
      <c r="C32" s="36">
        <f t="shared" si="0"/>
        <v>19.570460000000001</v>
      </c>
      <c r="D32" s="12">
        <f t="shared" si="2"/>
        <v>1.3797174300000001</v>
      </c>
      <c r="E32" s="12">
        <f t="shared" si="1"/>
        <v>6.1594528125000013E-2</v>
      </c>
      <c r="F32" s="12">
        <f>E32/Calculation!K$13*1000</f>
        <v>6.2121979132150923E-2</v>
      </c>
      <c r="G32" s="12">
        <f t="shared" si="3"/>
        <v>10.197541173955036</v>
      </c>
    </row>
    <row r="33" spans="1:7">
      <c r="A33" s="35">
        <v>14</v>
      </c>
      <c r="B33" s="75">
        <v>20991.64</v>
      </c>
      <c r="C33" s="36">
        <f t="shared" si="0"/>
        <v>20.99164</v>
      </c>
      <c r="D33" s="12">
        <f t="shared" si="2"/>
        <v>1.4799106199999998</v>
      </c>
      <c r="E33" s="12">
        <f t="shared" si="1"/>
        <v>6.6067438392857142E-2</v>
      </c>
      <c r="F33" s="12">
        <f>E33/Calculation!K$14*1000</f>
        <v>7.0432789454744293E-2</v>
      </c>
      <c r="G33" s="12">
        <f t="shared" si="3"/>
        <v>12.185862702758465</v>
      </c>
    </row>
    <row r="34" spans="1:7">
      <c r="A34" s="35">
        <v>14.5</v>
      </c>
      <c r="B34" s="75">
        <v>22303.57</v>
      </c>
      <c r="C34" s="36">
        <f t="shared" si="0"/>
        <v>22.303570000000001</v>
      </c>
      <c r="D34" s="12">
        <f t="shared" si="2"/>
        <v>1.5724016850000002</v>
      </c>
      <c r="E34" s="12">
        <f t="shared" si="1"/>
        <v>7.0196503794642873E-2</v>
      </c>
      <c r="F34" s="12">
        <f>E34/Calculation!K$14*1000</f>
        <v>7.4834679419957265E-2</v>
      </c>
      <c r="G34" s="12">
        <f t="shared" si="3"/>
        <v>14.364874735878988</v>
      </c>
    </row>
    <row r="35" spans="1:7">
      <c r="A35" s="35">
        <v>15</v>
      </c>
      <c r="B35" s="75">
        <v>22950.42</v>
      </c>
      <c r="C35" s="36">
        <f t="shared" si="0"/>
        <v>22.950419999999998</v>
      </c>
      <c r="D35" s="12">
        <f t="shared" si="2"/>
        <v>1.6180046099999998</v>
      </c>
      <c r="E35" s="12">
        <f t="shared" si="1"/>
        <v>7.2232348660714277E-2</v>
      </c>
      <c r="F35" s="12">
        <f>E35/Calculation!K$14*1000</f>
        <v>7.7005041042908146E-2</v>
      </c>
      <c r="G35" s="12">
        <f t="shared" si="3"/>
        <v>16.642470542821968</v>
      </c>
    </row>
    <row r="36" spans="1:7">
      <c r="A36" s="35">
        <v>15.5</v>
      </c>
      <c r="B36" s="75">
        <v>23213.119999999999</v>
      </c>
      <c r="C36" s="36">
        <f t="shared" si="0"/>
        <v>23.21312</v>
      </c>
      <c r="D36" s="12">
        <f t="shared" si="2"/>
        <v>1.63652496</v>
      </c>
      <c r="E36" s="12">
        <f t="shared" si="1"/>
        <v>7.3059150000000003E-2</v>
      </c>
      <c r="F36" s="12">
        <f>E36/Calculation!K$15*1000</f>
        <v>8.2291001618800999E-2</v>
      </c>
      <c r="G36" s="12">
        <f t="shared" si="3"/>
        <v>19.031911182747606</v>
      </c>
    </row>
    <row r="37" spans="1:7">
      <c r="A37" s="35">
        <v>16</v>
      </c>
      <c r="B37" s="75">
        <v>22661.06</v>
      </c>
      <c r="C37" s="36">
        <f t="shared" si="0"/>
        <v>22.661060000000003</v>
      </c>
      <c r="D37" s="12">
        <f t="shared" si="2"/>
        <v>1.5976047300000003</v>
      </c>
      <c r="E37" s="12">
        <f t="shared" si="1"/>
        <v>7.1321639732142866E-2</v>
      </c>
      <c r="F37" s="12">
        <f>E37/Calculation!K$15*1000</f>
        <v>8.0333937236517397E-2</v>
      </c>
      <c r="G37" s="12">
        <f t="shared" si="3"/>
        <v>21.471285265577382</v>
      </c>
    </row>
    <row r="38" spans="1:7">
      <c r="A38" s="35">
        <v>16.5</v>
      </c>
      <c r="B38" s="75">
        <v>22583.13</v>
      </c>
      <c r="C38" s="36">
        <f t="shared" si="0"/>
        <v>22.583130000000001</v>
      </c>
      <c r="D38" s="12">
        <f t="shared" si="2"/>
        <v>1.5921106650000001</v>
      </c>
      <c r="E38" s="12">
        <f t="shared" si="1"/>
        <v>7.1076368973214288E-2</v>
      </c>
      <c r="F38" s="12">
        <f>E38/Calculation!K$15*1000</f>
        <v>8.0057673737420607E-2</v>
      </c>
      <c r="G38" s="12">
        <f t="shared" si="3"/>
        <v>23.877159430186452</v>
      </c>
    </row>
    <row r="39" spans="1:7">
      <c r="A39" s="35">
        <v>17</v>
      </c>
      <c r="B39" s="75">
        <v>21842.69</v>
      </c>
      <c r="C39" s="36">
        <f t="shared" si="0"/>
        <v>21.842689999999997</v>
      </c>
      <c r="D39" s="12">
        <f t="shared" si="2"/>
        <v>1.5399096449999998</v>
      </c>
      <c r="E39" s="12">
        <f t="shared" si="1"/>
        <v>6.8745966294642857E-2</v>
      </c>
      <c r="F39" s="12">
        <f>E39/Calculation!K$16*1000</f>
        <v>8.2502892925276489E-2</v>
      </c>
      <c r="G39" s="12">
        <f>G38+(F39+F38)/2*30</f>
        <v>26.31556793012691</v>
      </c>
    </row>
    <row r="40" spans="1:7">
      <c r="A40" s="35">
        <v>17.5</v>
      </c>
      <c r="B40" s="75">
        <v>21803.3</v>
      </c>
      <c r="C40" s="36">
        <f t="shared" si="0"/>
        <v>21.8033</v>
      </c>
      <c r="D40" s="12">
        <f t="shared" si="2"/>
        <v>1.53713265</v>
      </c>
      <c r="E40" s="12">
        <f t="shared" si="1"/>
        <v>6.8621993303571438E-2</v>
      </c>
      <c r="F40" s="12">
        <f>E40/Calculation!K$16*1000</f>
        <v>8.2354111390020246E-2</v>
      </c>
      <c r="G40" s="12">
        <f t="shared" si="3"/>
        <v>28.788422994856361</v>
      </c>
    </row>
    <row r="41" spans="1:7">
      <c r="A41" s="35">
        <v>18</v>
      </c>
      <c r="B41" s="75">
        <v>21457.16</v>
      </c>
      <c r="C41" s="36">
        <f t="shared" si="0"/>
        <v>21.457159999999998</v>
      </c>
      <c r="D41" s="12">
        <f t="shared" si="2"/>
        <v>1.5127297799999999</v>
      </c>
      <c r="E41" s="12">
        <f t="shared" si="1"/>
        <v>6.7532579464285716E-2</v>
      </c>
      <c r="F41" s="12">
        <f>E41/Calculation!K$17*1000</f>
        <v>8.637397350108407E-2</v>
      </c>
      <c r="G41" s="12">
        <f t="shared" si="3"/>
        <v>31.319344268222927</v>
      </c>
    </row>
    <row r="42" spans="1:7">
      <c r="A42" s="35">
        <v>18.5</v>
      </c>
      <c r="B42" s="75">
        <v>20829.93</v>
      </c>
      <c r="C42" s="36">
        <f t="shared" si="0"/>
        <v>20.829930000000001</v>
      </c>
      <c r="D42" s="12">
        <f t="shared" si="2"/>
        <v>1.468510065</v>
      </c>
      <c r="E42" s="12">
        <f t="shared" si="1"/>
        <v>6.5558485044642859E-2</v>
      </c>
      <c r="F42" s="12">
        <f>E42/Calculation!K$17*1000</f>
        <v>8.3849112457074285E-2</v>
      </c>
      <c r="G42" s="12">
        <f t="shared" si="3"/>
        <v>33.872690557595305</v>
      </c>
    </row>
    <row r="43" spans="1:7">
      <c r="A43" s="35">
        <v>19</v>
      </c>
      <c r="B43" s="75">
        <v>19751.439999999999</v>
      </c>
      <c r="C43" s="36">
        <f t="shared" si="0"/>
        <v>19.751439999999999</v>
      </c>
      <c r="D43" s="12">
        <f t="shared" si="2"/>
        <v>1.39247652</v>
      </c>
      <c r="E43" s="12">
        <f t="shared" si="1"/>
        <v>6.2164130357142862E-2</v>
      </c>
      <c r="F43" s="12">
        <f>E43/Calculation!K$17*1000</f>
        <v>7.9507742644797916E-2</v>
      </c>
      <c r="G43" s="12">
        <f t="shared" si="3"/>
        <v>36.323043384123388</v>
      </c>
    </row>
    <row r="44" spans="1:7">
      <c r="A44" s="35">
        <v>19.5</v>
      </c>
      <c r="B44" s="75">
        <v>17948.87</v>
      </c>
      <c r="C44" s="36">
        <f t="shared" si="0"/>
        <v>17.948869999999999</v>
      </c>
      <c r="D44" s="12">
        <f t="shared" si="2"/>
        <v>1.265395335</v>
      </c>
      <c r="E44" s="12">
        <f t="shared" si="1"/>
        <v>5.6490863169642865E-2</v>
      </c>
      <c r="F44" s="12">
        <f>E44/Calculation!K$17*1000</f>
        <v>7.2251650346756194E-2</v>
      </c>
      <c r="G44" s="12">
        <f t="shared" si="3"/>
        <v>38.599434278996696</v>
      </c>
    </row>
    <row r="45" spans="1:7">
      <c r="A45" s="35">
        <v>20</v>
      </c>
      <c r="B45" s="75">
        <v>16153</v>
      </c>
      <c r="C45" s="36">
        <f t="shared" si="0"/>
        <v>16.152999999999999</v>
      </c>
      <c r="D45" s="12">
        <f t="shared" si="2"/>
        <v>1.1387864999999997</v>
      </c>
      <c r="E45" s="12">
        <f t="shared" si="1"/>
        <v>5.0838683035714274E-2</v>
      </c>
      <c r="F45" s="12">
        <f>E45/Calculation!K$17*1000</f>
        <v>6.5022528329145637E-2</v>
      </c>
      <c r="G45" s="12">
        <f t="shared" si="3"/>
        <v>40.658546959135222</v>
      </c>
    </row>
    <row r="46" spans="1:7">
      <c r="A46" s="35">
        <v>20.5</v>
      </c>
      <c r="B46" s="75">
        <v>14294.51</v>
      </c>
      <c r="C46" s="36">
        <f t="shared" si="0"/>
        <v>14.294510000000001</v>
      </c>
      <c r="D46" s="12">
        <f t="shared" si="2"/>
        <v>1.007762955</v>
      </c>
      <c r="E46" s="12">
        <f t="shared" si="1"/>
        <v>4.4989417633928573E-2</v>
      </c>
      <c r="F46" s="12">
        <f>E46/Calculation!K$17*1000</f>
        <v>5.7541334824878096E-2</v>
      </c>
      <c r="G46" s="12">
        <f t="shared" si="3"/>
        <v>42.497004906445575</v>
      </c>
    </row>
    <row r="47" spans="1:7">
      <c r="A47" s="35">
        <v>21</v>
      </c>
      <c r="B47" s="75">
        <v>11315.56</v>
      </c>
      <c r="C47" s="36">
        <f t="shared" si="0"/>
        <v>11.31556</v>
      </c>
      <c r="D47" s="12">
        <f t="shared" si="2"/>
        <v>0.79774697999999988</v>
      </c>
      <c r="E47" s="12">
        <f t="shared" si="1"/>
        <v>3.561370446428571E-2</v>
      </c>
      <c r="F47" s="12">
        <f>E47/Calculation!K$17*1000</f>
        <v>4.5549824841215086E-2</v>
      </c>
      <c r="G47" s="12">
        <f t="shared" si="3"/>
        <v>44.043372301436975</v>
      </c>
    </row>
    <row r="48" spans="1:7">
      <c r="A48" s="35">
        <v>21.5</v>
      </c>
      <c r="B48" s="75">
        <v>8628.56</v>
      </c>
      <c r="C48" s="36">
        <f t="shared" si="0"/>
        <v>8.6285600000000002</v>
      </c>
      <c r="D48" s="12">
        <f t="shared" si="2"/>
        <v>0.60831348000000007</v>
      </c>
      <c r="E48" s="12">
        <f t="shared" si="1"/>
        <v>2.7156851785714291E-2</v>
      </c>
      <c r="F48" s="12">
        <f>E48/Calculation!K$17*1000</f>
        <v>3.473353476380444E-2</v>
      </c>
      <c r="G48" s="12">
        <f t="shared" si="3"/>
        <v>45.24762269551227</v>
      </c>
    </row>
    <row r="49" spans="1:7">
      <c r="A49" s="35">
        <v>22</v>
      </c>
      <c r="B49" s="75">
        <v>6581.18</v>
      </c>
      <c r="C49" s="36">
        <f t="shared" si="0"/>
        <v>6.5811800000000007</v>
      </c>
      <c r="D49" s="12">
        <f t="shared" si="2"/>
        <v>0.46397319000000004</v>
      </c>
      <c r="E49" s="12">
        <f t="shared" si="1"/>
        <v>2.0713088839285718E-2</v>
      </c>
      <c r="F49" s="12">
        <f>E49/Calculation!K$17*1000</f>
        <v>2.6491980622126345E-2</v>
      </c>
      <c r="G49" s="12">
        <f t="shared" si="3"/>
        <v>46.166005426301233</v>
      </c>
    </row>
    <row r="50" spans="1:7">
      <c r="A50" s="35">
        <v>22.5</v>
      </c>
      <c r="B50" s="75">
        <v>5076.22</v>
      </c>
      <c r="C50" s="36">
        <f t="shared" si="0"/>
        <v>5.0762200000000002</v>
      </c>
      <c r="D50" s="12">
        <f t="shared" si="2"/>
        <v>0.35787351000000001</v>
      </c>
      <c r="E50" s="12">
        <f t="shared" si="1"/>
        <v>1.5976495982142857E-2</v>
      </c>
      <c r="F50" s="12">
        <f>E50/Calculation!K$17*1000</f>
        <v>2.0433892079178836E-2</v>
      </c>
      <c r="G50" s="12">
        <f t="shared" si="3"/>
        <v>46.86989351682081</v>
      </c>
    </row>
    <row r="51" spans="1:7">
      <c r="A51" s="35">
        <v>23</v>
      </c>
      <c r="B51" s="75">
        <v>4077.73</v>
      </c>
      <c r="C51" s="36">
        <f t="shared" si="0"/>
        <v>4.0777299999999999</v>
      </c>
      <c r="D51" s="12">
        <f t="shared" si="2"/>
        <v>0.287479965</v>
      </c>
      <c r="E51" s="12">
        <f t="shared" si="1"/>
        <v>1.2833927008928572E-2</v>
      </c>
      <c r="F51" s="12">
        <f>E51/Calculation!K$17*1000</f>
        <v>1.6414555466081046E-2</v>
      </c>
      <c r="G51" s="12">
        <f t="shared" si="3"/>
        <v>47.422620229999708</v>
      </c>
    </row>
    <row r="52" spans="1:7">
      <c r="A52" s="35">
        <v>23.5</v>
      </c>
      <c r="B52" s="75">
        <v>3283.1</v>
      </c>
      <c r="C52" s="36">
        <f t="shared" si="0"/>
        <v>3.2831000000000001</v>
      </c>
      <c r="D52" s="12">
        <f t="shared" si="2"/>
        <v>0.23145855000000001</v>
      </c>
      <c r="E52" s="12">
        <f t="shared" si="1"/>
        <v>1.0332970982142859E-2</v>
      </c>
      <c r="F52" s="12">
        <f>E52/Calculation!K$17*1000</f>
        <v>1.3215839952790078E-2</v>
      </c>
      <c r="G52" s="12">
        <f t="shared" si="3"/>
        <v>47.867076161282775</v>
      </c>
    </row>
    <row r="53" spans="1:7">
      <c r="A53" s="35">
        <v>24</v>
      </c>
      <c r="B53" s="75">
        <v>2710.4</v>
      </c>
      <c r="C53" s="36">
        <f t="shared" si="0"/>
        <v>2.7103999999999999</v>
      </c>
      <c r="D53" s="12">
        <f t="shared" si="2"/>
        <v>0.19108320000000001</v>
      </c>
      <c r="E53" s="12">
        <f t="shared" si="1"/>
        <v>8.5305000000000016E-3</v>
      </c>
      <c r="F53" s="12">
        <f>E53/Calculation!K$18*1000</f>
        <v>1.1792968261572044E-2</v>
      </c>
      <c r="G53" s="12">
        <f t="shared" si="3"/>
        <v>48.242208284498204</v>
      </c>
    </row>
    <row r="54" spans="1:7">
      <c r="A54" s="35">
        <v>24.5</v>
      </c>
      <c r="B54" s="75">
        <v>2873.83</v>
      </c>
      <c r="C54" s="36">
        <f t="shared" si="0"/>
        <v>2.8738299999999999</v>
      </c>
      <c r="D54" s="12">
        <f t="shared" si="2"/>
        <v>0.202605015</v>
      </c>
      <c r="E54" s="12">
        <f t="shared" si="1"/>
        <v>9.0448667410714285E-3</v>
      </c>
      <c r="F54" s="12">
        <f>E54/Calculation!K$18*1000</f>
        <v>1.2504053268577914E-2</v>
      </c>
      <c r="G54" s="12">
        <f t="shared" si="3"/>
        <v>48.606663607450457</v>
      </c>
    </row>
    <row r="55" spans="1:7">
      <c r="A55" s="35">
        <v>25</v>
      </c>
      <c r="B55" s="75">
        <v>2544.04</v>
      </c>
      <c r="C55" s="36">
        <f t="shared" si="0"/>
        <v>2.5440399999999999</v>
      </c>
      <c r="D55" s="12">
        <f t="shared" si="2"/>
        <v>0.17935482</v>
      </c>
      <c r="E55" s="12">
        <f t="shared" si="1"/>
        <v>8.0069116071428571E-3</v>
      </c>
      <c r="F55" s="12">
        <f>E55/Calculation!K$18*1000</f>
        <v>1.106913480525743E-2</v>
      </c>
      <c r="G55" s="12">
        <f t="shared" si="3"/>
        <v>48.960261428557985</v>
      </c>
    </row>
    <row r="56" spans="1:7">
      <c r="A56" s="35">
        <v>25.5</v>
      </c>
      <c r="B56" s="75">
        <v>2095.7199999999998</v>
      </c>
      <c r="C56" s="36">
        <f t="shared" si="0"/>
        <v>2.0957199999999996</v>
      </c>
      <c r="D56" s="12">
        <f t="shared" si="2"/>
        <v>0.14774825999999999</v>
      </c>
      <c r="E56" s="12">
        <f t="shared" si="1"/>
        <v>6.5959044642857146E-3</v>
      </c>
      <c r="F56" s="12">
        <f>E56/Calculation!K$18*1000</f>
        <v>9.1184915308226682E-3</v>
      </c>
      <c r="G56" s="12">
        <f t="shared" si="3"/>
        <v>49.263075823599188</v>
      </c>
    </row>
    <row r="57" spans="1:7">
      <c r="A57" s="35">
        <v>26</v>
      </c>
      <c r="B57" s="75">
        <v>1787.27</v>
      </c>
      <c r="C57" s="36">
        <f t="shared" si="0"/>
        <v>1.7872699999999999</v>
      </c>
      <c r="D57" s="12">
        <f t="shared" si="2"/>
        <v>0.126002535</v>
      </c>
      <c r="E57" s="12">
        <f t="shared" si="1"/>
        <v>5.6251131696428572E-3</v>
      </c>
      <c r="F57" s="12">
        <f>E57/Calculation!K$18*1000</f>
        <v>7.7764235481330669E-3</v>
      </c>
      <c r="G57" s="12">
        <f t="shared" si="3"/>
        <v>49.516499549783525</v>
      </c>
    </row>
    <row r="58" spans="1:7">
      <c r="A58" s="35">
        <v>26.5</v>
      </c>
      <c r="B58" s="75">
        <v>1545.56</v>
      </c>
      <c r="C58" s="36">
        <f t="shared" si="0"/>
        <v>1.54556</v>
      </c>
      <c r="D58" s="12">
        <f t="shared" si="2"/>
        <v>0.10896198</v>
      </c>
      <c r="E58" s="12">
        <f t="shared" si="1"/>
        <v>4.8643741071428574E-3</v>
      </c>
      <c r="F58" s="12">
        <f>E58/Calculation!K$18*1000</f>
        <v>6.7247417452609521E-3</v>
      </c>
      <c r="G58" s="12">
        <f t="shared" si="3"/>
        <v>49.734017029184436</v>
      </c>
    </row>
    <row r="59" spans="1:7">
      <c r="A59" s="35">
        <v>27</v>
      </c>
      <c r="B59" s="75">
        <v>1307.81</v>
      </c>
      <c r="C59" s="36">
        <f t="shared" si="0"/>
        <v>1.3078099999999999</v>
      </c>
      <c r="D59" s="12">
        <f t="shared" si="2"/>
        <v>9.2200604999999991E-2</v>
      </c>
      <c r="E59" s="12">
        <f t="shared" si="1"/>
        <v>4.1160984375000001E-3</v>
      </c>
      <c r="F59" s="12">
        <f>E59/Calculation!K$18*1000</f>
        <v>5.6902899284852907E-3</v>
      </c>
      <c r="G59" s="12">
        <f t="shared" si="3"/>
        <v>49.920242504290627</v>
      </c>
    </row>
    <row r="60" spans="1:7">
      <c r="A60" s="35">
        <v>27.5</v>
      </c>
      <c r="B60" s="75">
        <v>1110.83</v>
      </c>
      <c r="C60" s="36">
        <f t="shared" si="0"/>
        <v>1.11083</v>
      </c>
      <c r="D60" s="12">
        <f t="shared" si="2"/>
        <v>7.8313515E-2</v>
      </c>
      <c r="E60" s="12">
        <f t="shared" si="1"/>
        <v>3.4961390625000001E-3</v>
      </c>
      <c r="F60" s="12">
        <f>E60/Calculation!K$18*1000</f>
        <v>4.8332286503844721E-3</v>
      </c>
      <c r="G60" s="12">
        <f t="shared" si="3"/>
        <v>50.078095282973671</v>
      </c>
    </row>
    <row r="61" spans="1:7">
      <c r="A61" s="35">
        <v>28</v>
      </c>
      <c r="B61" s="75">
        <v>947.74</v>
      </c>
      <c r="C61" s="36">
        <f t="shared" si="0"/>
        <v>0.94774000000000003</v>
      </c>
      <c r="D61" s="12">
        <f t="shared" si="2"/>
        <v>6.6815669999999994E-2</v>
      </c>
      <c r="E61" s="12">
        <f t="shared" si="1"/>
        <v>2.9828424107142858E-3</v>
      </c>
      <c r="F61" s="12">
        <f>E61/Calculation!K$18*1000</f>
        <v>4.123622985619203E-3</v>
      </c>
      <c r="G61" s="12">
        <f t="shared" si="3"/>
        <v>50.212448057513726</v>
      </c>
    </row>
    <row r="62" spans="1:7">
      <c r="A62" s="35">
        <v>28.5</v>
      </c>
      <c r="B62" s="75">
        <v>785.68</v>
      </c>
      <c r="C62" s="36">
        <f t="shared" si="0"/>
        <v>0.78567999999999993</v>
      </c>
      <c r="D62" s="12">
        <f t="shared" si="2"/>
        <v>5.5390439999999999E-2</v>
      </c>
      <c r="E62" s="12">
        <f t="shared" si="1"/>
        <v>2.4727875000000003E-3</v>
      </c>
      <c r="F62" s="12">
        <f>E62/Calculation!K$18*1000</f>
        <v>3.4184988576416481E-3</v>
      </c>
      <c r="G62" s="12">
        <f t="shared" si="3"/>
        <v>50.325579885162639</v>
      </c>
    </row>
    <row r="63" spans="1:7">
      <c r="A63" s="35">
        <v>29</v>
      </c>
      <c r="B63" s="75">
        <v>666.29</v>
      </c>
      <c r="C63" s="36">
        <f t="shared" si="0"/>
        <v>0.66628999999999994</v>
      </c>
      <c r="D63" s="12">
        <f t="shared" si="2"/>
        <v>4.6973444999999996E-2</v>
      </c>
      <c r="E63" s="12">
        <f t="shared" si="1"/>
        <v>2.0970287946428571E-3</v>
      </c>
      <c r="F63" s="12">
        <f>E63/Calculation!K$18*1000</f>
        <v>2.89903218085996E-3</v>
      </c>
      <c r="G63" s="12">
        <f t="shared" si="3"/>
        <v>50.420342850740163</v>
      </c>
    </row>
    <row r="64" spans="1:7">
      <c r="A64" s="35">
        <v>29.5</v>
      </c>
      <c r="B64" s="75">
        <v>578.21</v>
      </c>
      <c r="C64" s="36">
        <f t="shared" si="0"/>
        <v>0.57821</v>
      </c>
      <c r="D64" s="12">
        <f t="shared" si="2"/>
        <v>4.0763805E-2</v>
      </c>
      <c r="E64" s="12">
        <f t="shared" si="1"/>
        <v>1.8198127232142858E-3</v>
      </c>
      <c r="F64" s="12">
        <f>E64/Calculation!K$18*1000</f>
        <v>2.5157955204115887E-3</v>
      </c>
      <c r="G64" s="12">
        <f t="shared" si="3"/>
        <v>50.501565266259234</v>
      </c>
    </row>
    <row r="65" spans="1:7">
      <c r="A65" s="35">
        <v>30</v>
      </c>
      <c r="B65" s="75">
        <v>499.59</v>
      </c>
      <c r="C65" s="36">
        <f t="shared" si="0"/>
        <v>0.49958999999999998</v>
      </c>
      <c r="D65" s="12">
        <f t="shared" si="2"/>
        <v>3.5221094999999994E-2</v>
      </c>
      <c r="E65" s="12">
        <f t="shared" si="1"/>
        <v>1.5723703124999999E-3</v>
      </c>
      <c r="F65" s="12">
        <f>E65/Calculation!K$19*1000</f>
        <v>2.3345041746541933E-3</v>
      </c>
      <c r="G65" s="12">
        <f t="shared" si="3"/>
        <v>50.574319761685224</v>
      </c>
    </row>
    <row r="66" spans="1:7">
      <c r="A66" s="35">
        <v>30.5</v>
      </c>
      <c r="B66" s="75">
        <v>583.54</v>
      </c>
      <c r="C66" s="36">
        <f t="shared" si="0"/>
        <v>0.58353999999999995</v>
      </c>
      <c r="D66" s="12">
        <f t="shared" si="2"/>
        <v>4.1139569999999993E-2</v>
      </c>
      <c r="E66" s="12">
        <f t="shared" si="1"/>
        <v>1.8365879464285713E-3</v>
      </c>
      <c r="F66" s="12">
        <f>E66/Calculation!K$19*1000</f>
        <v>2.726789099216774E-3</v>
      </c>
      <c r="G66" s="12">
        <f t="shared" si="3"/>
        <v>50.650239160793291</v>
      </c>
    </row>
    <row r="67" spans="1:7">
      <c r="A67" s="35">
        <v>31</v>
      </c>
      <c r="B67" s="75">
        <v>517.30999999999995</v>
      </c>
      <c r="C67" s="36">
        <f t="shared" si="0"/>
        <v>0.51730999999999994</v>
      </c>
      <c r="D67" s="12">
        <f t="shared" si="2"/>
        <v>3.6470354999999989E-2</v>
      </c>
      <c r="E67" s="12">
        <f t="shared" si="1"/>
        <v>1.6281408482142854E-3</v>
      </c>
      <c r="F67" s="12">
        <f>E67/Calculation!K$19*1000</f>
        <v>2.4173069008394093E-3</v>
      </c>
      <c r="G67" s="12">
        <f t="shared" si="3"/>
        <v>50.727400600794134</v>
      </c>
    </row>
    <row r="68" spans="1:7">
      <c r="A68" s="35">
        <v>31.5</v>
      </c>
      <c r="B68" s="75">
        <v>461.22</v>
      </c>
      <c r="C68" s="36">
        <f t="shared" si="0"/>
        <v>0.46122000000000002</v>
      </c>
      <c r="D68" s="12">
        <f t="shared" si="2"/>
        <v>3.2516010000000005E-2</v>
      </c>
      <c r="E68" s="12">
        <f t="shared" si="1"/>
        <v>1.4516075892857146E-3</v>
      </c>
      <c r="F68" s="12">
        <f>E68/Calculation!K$19*1000</f>
        <v>2.1552073008547154E-3</v>
      </c>
      <c r="G68" s="12">
        <f t="shared" si="3"/>
        <v>50.795988313819542</v>
      </c>
    </row>
    <row r="69" spans="1:7">
      <c r="A69" s="35">
        <v>32</v>
      </c>
      <c r="B69" s="75">
        <v>388.63</v>
      </c>
      <c r="C69" s="36">
        <f t="shared" si="0"/>
        <v>0.38862999999999998</v>
      </c>
      <c r="D69" s="12">
        <f t="shared" si="2"/>
        <v>2.7398414999999999E-2</v>
      </c>
      <c r="E69" s="12">
        <f t="shared" si="1"/>
        <v>1.2231435267857143E-3</v>
      </c>
      <c r="F69" s="12">
        <f>E69/Calculation!K$19*1000</f>
        <v>1.8160058395801741E-3</v>
      </c>
      <c r="G69" s="12">
        <f t="shared" si="3"/>
        <v>50.855556510926064</v>
      </c>
    </row>
    <row r="70" spans="1:7">
      <c r="A70" s="35">
        <v>32.5</v>
      </c>
      <c r="B70" s="75">
        <v>300.02999999999997</v>
      </c>
      <c r="C70" s="36">
        <f t="shared" ref="C70:C101" si="4">B70/1000</f>
        <v>0.30002999999999996</v>
      </c>
      <c r="D70" s="12">
        <f t="shared" ref="D70:D101" si="5">C70/1000*$B$1</f>
        <v>2.1152114999999996E-2</v>
      </c>
      <c r="E70" s="12">
        <f t="shared" ref="E70:E101" si="6">D70/22.4</f>
        <v>9.4429084821428557E-4</v>
      </c>
      <c r="F70" s="12">
        <f>E70/Calculation!K$19*1000</f>
        <v>1.4019922086540913E-3</v>
      </c>
      <c r="G70" s="12">
        <f t="shared" si="3"/>
        <v>50.903826481649581</v>
      </c>
    </row>
    <row r="71" spans="1:7">
      <c r="A71" s="35">
        <v>33</v>
      </c>
      <c r="B71" s="75">
        <v>255.47</v>
      </c>
      <c r="C71" s="36">
        <f t="shared" si="4"/>
        <v>0.25546999999999997</v>
      </c>
      <c r="D71" s="12">
        <f t="shared" si="5"/>
        <v>1.8010635000000001E-2</v>
      </c>
      <c r="E71" s="12">
        <f t="shared" si="6"/>
        <v>8.0404620535714296E-4</v>
      </c>
      <c r="F71" s="12">
        <f>E71/Calculation!K$19*1000</f>
        <v>1.1937704547707257E-3</v>
      </c>
      <c r="G71" s="12">
        <f t="shared" ref="G71:G101" si="7">G70+(F71+F70)/2*30</f>
        <v>50.942762921600952</v>
      </c>
    </row>
    <row r="72" spans="1:7">
      <c r="A72" s="35">
        <v>33.5</v>
      </c>
      <c r="B72" s="75">
        <v>228.98</v>
      </c>
      <c r="C72" s="36">
        <f t="shared" si="4"/>
        <v>0.22897999999999999</v>
      </c>
      <c r="D72" s="12">
        <f t="shared" si="5"/>
        <v>1.6143089999999999E-2</v>
      </c>
      <c r="E72" s="12">
        <f t="shared" si="6"/>
        <v>7.2067366071428571E-4</v>
      </c>
      <c r="F72" s="12">
        <f>E72/Calculation!K$19*1000</f>
        <v>1.0699869210999363E-3</v>
      </c>
      <c r="G72" s="12">
        <f t="shared" si="7"/>
        <v>50.97671928223901</v>
      </c>
    </row>
    <row r="73" spans="1:7">
      <c r="A73" s="35">
        <v>34</v>
      </c>
      <c r="B73" s="75">
        <v>186.14</v>
      </c>
      <c r="C73" s="36">
        <f t="shared" si="4"/>
        <v>0.18614</v>
      </c>
      <c r="D73" s="12">
        <f t="shared" si="5"/>
        <v>1.312287E-2</v>
      </c>
      <c r="E73" s="12">
        <f t="shared" si="6"/>
        <v>5.8584241071428576E-4</v>
      </c>
      <c r="F73" s="12">
        <f>E73/Calculation!K$19*1000</f>
        <v>8.6980245215102705E-4</v>
      </c>
      <c r="G73" s="12">
        <f t="shared" si="7"/>
        <v>51.005816122837771</v>
      </c>
    </row>
    <row r="74" spans="1:7">
      <c r="A74" s="35">
        <v>34.5</v>
      </c>
      <c r="B74" s="75">
        <v>172.03</v>
      </c>
      <c r="C74" s="36">
        <f t="shared" si="4"/>
        <v>0.17202999999999999</v>
      </c>
      <c r="D74" s="12">
        <f t="shared" si="5"/>
        <v>1.2128115E-2</v>
      </c>
      <c r="E74" s="12">
        <f t="shared" si="6"/>
        <v>5.4143370535714294E-4</v>
      </c>
      <c r="F74" s="12">
        <f>E74/Calculation!K$19*1000</f>
        <v>8.0386867864801323E-4</v>
      </c>
      <c r="G74" s="12">
        <f t="shared" si="7"/>
        <v>51.030921189799756</v>
      </c>
    </row>
    <row r="75" spans="1:7">
      <c r="A75" s="35">
        <v>35</v>
      </c>
      <c r="B75" s="75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51.042979219979479</v>
      </c>
    </row>
    <row r="76" spans="1:7">
      <c r="A76" s="35">
        <v>35.5</v>
      </c>
      <c r="B76" s="75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51.042979219979479</v>
      </c>
    </row>
    <row r="77" spans="1:7">
      <c r="A77" s="35">
        <v>36</v>
      </c>
      <c r="B77" s="75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51.042979219979479</v>
      </c>
    </row>
    <row r="78" spans="1:7">
      <c r="A78" s="35">
        <v>36.5</v>
      </c>
      <c r="B78" s="75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51.042979219979479</v>
      </c>
    </row>
    <row r="79" spans="1:7">
      <c r="A79" s="35">
        <v>37</v>
      </c>
      <c r="B79" s="75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51.042979219979479</v>
      </c>
    </row>
    <row r="80" spans="1:7">
      <c r="A80" s="35">
        <v>37.5</v>
      </c>
      <c r="B80" s="75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51.042979219979479</v>
      </c>
    </row>
    <row r="81" spans="1:7">
      <c r="A81" s="35">
        <v>38</v>
      </c>
      <c r="B81" s="75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51.042979219979479</v>
      </c>
    </row>
    <row r="82" spans="1:7">
      <c r="A82" s="35">
        <v>38.5</v>
      </c>
      <c r="B82" s="75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51.042979219979479</v>
      </c>
    </row>
    <row r="83" spans="1:7">
      <c r="A83" s="35">
        <v>39</v>
      </c>
      <c r="B83" s="75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51.042979219979479</v>
      </c>
    </row>
    <row r="84" spans="1:7">
      <c r="A84" s="35">
        <v>39.5</v>
      </c>
      <c r="B84" s="75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51.042979219979479</v>
      </c>
    </row>
    <row r="85" spans="1:7">
      <c r="A85" s="35">
        <v>40</v>
      </c>
      <c r="B85" s="75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51.042979219979479</v>
      </c>
    </row>
    <row r="86" spans="1:7">
      <c r="A86" s="35">
        <v>40.5</v>
      </c>
      <c r="B86" s="75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51.042979219979479</v>
      </c>
    </row>
    <row r="87" spans="1:7">
      <c r="A87" s="35">
        <v>41</v>
      </c>
      <c r="B87" s="75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51.042979219979479</v>
      </c>
    </row>
    <row r="88" spans="1:7">
      <c r="A88" s="35">
        <v>41.5</v>
      </c>
      <c r="B88" s="75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51.042979219979479</v>
      </c>
    </row>
    <row r="89" spans="1:7">
      <c r="A89" s="35">
        <v>42</v>
      </c>
      <c r="B89" s="75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51.042979219979479</v>
      </c>
    </row>
    <row r="90" spans="1:7">
      <c r="A90" s="35">
        <v>42.5</v>
      </c>
      <c r="B90" s="75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51.042979219979479</v>
      </c>
    </row>
    <row r="91" spans="1:7">
      <c r="A91" s="35">
        <v>43</v>
      </c>
      <c r="B91" s="75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51.042979219979479</v>
      </c>
    </row>
    <row r="92" spans="1:7">
      <c r="A92" s="35">
        <v>43.5</v>
      </c>
      <c r="B92" s="75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51.042979219979479</v>
      </c>
    </row>
    <row r="93" spans="1:7">
      <c r="A93" s="35">
        <v>44</v>
      </c>
      <c r="B93" s="75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51.042979219979479</v>
      </c>
    </row>
    <row r="94" spans="1:7">
      <c r="A94" s="35">
        <v>44.5</v>
      </c>
      <c r="B94" s="75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51.042979219979479</v>
      </c>
    </row>
    <row r="95" spans="1:7">
      <c r="A95" s="35">
        <v>45</v>
      </c>
      <c r="B95" s="75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51.042979219979479</v>
      </c>
    </row>
    <row r="96" spans="1:7">
      <c r="A96" s="35">
        <v>45.5</v>
      </c>
      <c r="B96" s="75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51.042979219979479</v>
      </c>
    </row>
    <row r="97" spans="1:7">
      <c r="A97" s="35">
        <v>46</v>
      </c>
      <c r="B97" s="75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51.042979219979479</v>
      </c>
    </row>
    <row r="98" spans="1:7">
      <c r="A98" s="35">
        <v>46.5</v>
      </c>
      <c r="B98" s="75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51.042979219979479</v>
      </c>
    </row>
    <row r="99" spans="1:7">
      <c r="A99" s="35">
        <v>47</v>
      </c>
      <c r="B99" s="75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51.042979219979479</v>
      </c>
    </row>
    <row r="100" spans="1:7">
      <c r="A100" s="35">
        <v>47.5</v>
      </c>
      <c r="B100" s="75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51.042979219979479</v>
      </c>
    </row>
    <row r="101" spans="1:7">
      <c r="A101" s="35">
        <v>48</v>
      </c>
      <c r="B101" s="75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51.042979219979479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8" t="s">
        <v>41</v>
      </c>
      <c r="B1" s="128"/>
      <c r="D1" s="154" t="s">
        <v>4</v>
      </c>
      <c r="E1" s="154" t="s">
        <v>5</v>
      </c>
      <c r="F1" s="128" t="s">
        <v>142</v>
      </c>
      <c r="G1" s="128"/>
      <c r="H1" s="128"/>
      <c r="I1" s="128"/>
      <c r="J1" s="128" t="s">
        <v>42</v>
      </c>
      <c r="K1" s="128"/>
      <c r="L1" s="128"/>
      <c r="M1" s="128"/>
      <c r="N1" s="155" t="s">
        <v>43</v>
      </c>
      <c r="O1" s="126"/>
      <c r="P1" s="126"/>
      <c r="Q1" s="156"/>
      <c r="R1" s="128" t="s">
        <v>65</v>
      </c>
      <c r="S1" s="128"/>
      <c r="T1" s="128"/>
      <c r="U1" s="128"/>
    </row>
    <row r="2" spans="1:21">
      <c r="A2" s="128" t="s">
        <v>34</v>
      </c>
      <c r="B2" s="128"/>
      <c r="D2" s="154"/>
      <c r="E2" s="15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8" t="s">
        <v>35</v>
      </c>
      <c r="B3" s="14" t="s">
        <v>38</v>
      </c>
      <c r="D3" s="16">
        <v>0</v>
      </c>
      <c r="E3" s="62">
        <v>-0.16666666666666666</v>
      </c>
      <c r="F3" s="52">
        <v>51.951968620485502</v>
      </c>
      <c r="G3" s="52">
        <v>0.14520296150261419</v>
      </c>
      <c r="H3" s="13">
        <f>F3*Calculation!I3/Calculation!F22</f>
        <v>52.055872557726474</v>
      </c>
      <c r="I3" s="13">
        <f>G3*Calculation!I3/Calculation!F22</f>
        <v>0.14549336742561941</v>
      </c>
      <c r="J3" s="13">
        <v>2.112936648904677</v>
      </c>
      <c r="K3" s="13">
        <v>6.4093058302578405E-3</v>
      </c>
      <c r="L3" s="13">
        <f>J3*Calculation!I3/Calculation!F22</f>
        <v>2.1171625222024866</v>
      </c>
      <c r="M3" s="13">
        <f>K3*Calculation!I3/Calculation!F22</f>
        <v>6.4221244419183565E-3</v>
      </c>
      <c r="N3" s="13">
        <v>0.95475992228698325</v>
      </c>
      <c r="O3" s="13">
        <v>0.16174079693958818</v>
      </c>
      <c r="P3" s="13">
        <f>N3*Calculation!I3/Calculation!F22</f>
        <v>0.95666944213155725</v>
      </c>
      <c r="Q3" s="13">
        <f>O3*Calculation!I3/Calculation!F22</f>
        <v>0.16206427853346736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8"/>
      <c r="B4" s="14" t="s">
        <v>39</v>
      </c>
      <c r="D4" s="16">
        <v>0</v>
      </c>
      <c r="E4" s="64">
        <v>0.16666666666666666</v>
      </c>
      <c r="F4" s="52">
        <v>51.160079928952044</v>
      </c>
      <c r="G4" s="52">
        <v>0.82799202245975401</v>
      </c>
      <c r="H4" s="13">
        <f>F4*Calculation!I4/Calculation!K3</f>
        <v>51.256861436509361</v>
      </c>
      <c r="I4" s="13">
        <f>G4*Calculation!I4/Calculation!K3</f>
        <v>0.82955836708412467</v>
      </c>
      <c r="J4" s="13">
        <v>2.1092362344582596</v>
      </c>
      <c r="K4" s="13">
        <v>1.1101243339254007E-2</v>
      </c>
      <c r="L4" s="13">
        <f>J4*Calculation!I4/Calculation!K3</f>
        <v>2.1132263584543303</v>
      </c>
      <c r="M4" s="13">
        <f>K4*Calculation!I4/Calculation!K3</f>
        <v>1.1122243991864905E-2</v>
      </c>
      <c r="N4" s="13">
        <v>1.3433250069386622</v>
      </c>
      <c r="O4" s="13">
        <v>0.3256177491215646</v>
      </c>
      <c r="P4" s="13">
        <f>N4*Calculation!I4/Calculation!K3</f>
        <v>1.3458662269580899</v>
      </c>
      <c r="Q4" s="13">
        <f>O4*Calculation!I4/Calculation!K3</f>
        <v>0.32623373284737528</v>
      </c>
      <c r="R4" s="13">
        <v>2.8676949815337824</v>
      </c>
      <c r="S4" s="13">
        <v>0.16967737727366197</v>
      </c>
      <c r="T4" s="13">
        <f>R4*Calculation!I4/Calculation!K3</f>
        <v>2.8731199113601789</v>
      </c>
      <c r="U4" s="13">
        <f>S4*Calculation!I4/Calculation!K3</f>
        <v>0.16999836254955913</v>
      </c>
    </row>
    <row r="5" spans="1:21">
      <c r="A5" s="15" t="s">
        <v>37</v>
      </c>
      <c r="B5" s="15">
        <v>180.16</v>
      </c>
      <c r="D5" s="16">
        <v>1</v>
      </c>
      <c r="E5" s="64">
        <v>2</v>
      </c>
      <c r="F5" s="52">
        <v>51.117525162818239</v>
      </c>
      <c r="G5" s="52">
        <v>0.25870502236542914</v>
      </c>
      <c r="H5" s="13">
        <f>F5*Calculation!I5/Calculation!K4</f>
        <v>51.214226167873882</v>
      </c>
      <c r="I5" s="13">
        <f>G5*Calculation!I5/Calculation!K4</f>
        <v>0.2591944246906786</v>
      </c>
      <c r="J5" s="13">
        <v>2.0907341622261693</v>
      </c>
      <c r="K5" s="13">
        <v>2.3109080811124939E-2</v>
      </c>
      <c r="L5" s="13">
        <f>J5*Calculation!I5/Calculation!K4</f>
        <v>2.0946892851345549</v>
      </c>
      <c r="M5" s="13">
        <f>K5*Calculation!I5/Calculation!K4</f>
        <v>2.3152797155631646E-2</v>
      </c>
      <c r="N5" s="13">
        <v>1.3044684984734942</v>
      </c>
      <c r="O5" s="13">
        <v>0.13356879728577248</v>
      </c>
      <c r="P5" s="13">
        <f>N5*Calculation!I5/Calculation!K4</f>
        <v>1.3069362121287236</v>
      </c>
      <c r="Q5" s="13">
        <f>O5*Calculation!I5/Calculation!K4</f>
        <v>0.13382147456035623</v>
      </c>
      <c r="R5" s="13">
        <v>2.9039032515026437</v>
      </c>
      <c r="S5" s="13">
        <v>9.7963279444338441E-2</v>
      </c>
      <c r="T5" s="13">
        <f>R5*Calculation!I5/Calculation!K4</f>
        <v>2.9093966779177576</v>
      </c>
      <c r="U5" s="13">
        <f>S5*Calculation!I5/Calculation!K4</f>
        <v>9.8148600379783596E-2</v>
      </c>
    </row>
    <row r="6" spans="1:21">
      <c r="A6" s="15" t="s">
        <v>40</v>
      </c>
      <c r="B6" s="15">
        <v>180.16</v>
      </c>
      <c r="D6" s="16">
        <v>2</v>
      </c>
      <c r="E6" s="64">
        <v>3.3333333333333335</v>
      </c>
      <c r="F6" s="52">
        <v>50.925103611604506</v>
      </c>
      <c r="G6" s="52">
        <v>0.98259069118806452</v>
      </c>
      <c r="H6" s="13">
        <f>F6*Calculation!I6/Calculation!K5</f>
        <v>51.021440605348232</v>
      </c>
      <c r="I6" s="13">
        <f>G6*Calculation!I6/Calculation!K5</f>
        <v>0.98444949611051646</v>
      </c>
      <c r="J6" s="13">
        <v>2.098134991119005</v>
      </c>
      <c r="K6" s="13">
        <v>3.3303730017762018E-2</v>
      </c>
      <c r="L6" s="13">
        <f>J6*Calculation!I6/Calculation!K5</f>
        <v>2.1021041144624646</v>
      </c>
      <c r="M6" s="13">
        <f>K6*Calculation!I6/Calculation!K5</f>
        <v>3.3366731975594713E-2</v>
      </c>
      <c r="N6" s="13">
        <v>1.1490424646128228</v>
      </c>
      <c r="O6" s="13">
        <v>0.19204933546495812</v>
      </c>
      <c r="P6" s="13">
        <f>N6*Calculation!I6/Calculation!K5</f>
        <v>1.1512161528112588</v>
      </c>
      <c r="Q6" s="13">
        <f>O6*Calculation!I6/Calculation!K5</f>
        <v>0.19241264264191116</v>
      </c>
      <c r="R6" s="13">
        <v>2.8459700195524658</v>
      </c>
      <c r="S6" s="13">
        <v>5.747884664489665E-2</v>
      </c>
      <c r="T6" s="13">
        <f>R6*Calculation!I6/Calculation!K5</f>
        <v>2.8513538514256318</v>
      </c>
      <c r="U6" s="13">
        <f>S6*Calculation!I6/Calculation!K5</f>
        <v>5.7587581608537726E-2</v>
      </c>
    </row>
    <row r="7" spans="1:21">
      <c r="A7" s="32" t="s">
        <v>116</v>
      </c>
      <c r="B7" s="32">
        <v>46.03</v>
      </c>
      <c r="D7" s="16">
        <v>3</v>
      </c>
      <c r="E7" s="64">
        <v>4.666666666666667</v>
      </c>
      <c r="F7" s="52">
        <v>51.235938425103612</v>
      </c>
      <c r="G7" s="52">
        <v>0.83439217540343069</v>
      </c>
      <c r="H7" s="13">
        <f>F7*Calculation!I7/Calculation!K6</f>
        <v>51.332863437120437</v>
      </c>
      <c r="I7" s="13">
        <f>G7*Calculation!I7/Calculation!K6</f>
        <v>0.83597062744536899</v>
      </c>
      <c r="J7" s="13">
        <v>2.0944345766725876</v>
      </c>
      <c r="K7" s="13">
        <v>1.2818611660515681E-2</v>
      </c>
      <c r="L7" s="13">
        <f>J7*Calculation!I7/Calculation!K6</f>
        <v>2.0983966997985104</v>
      </c>
      <c r="M7" s="13">
        <f>K7*Calculation!I7/Calculation!K6</f>
        <v>1.2842861125391798E-2</v>
      </c>
      <c r="N7" s="13">
        <v>1.2156536219816823</v>
      </c>
      <c r="O7" s="13">
        <v>9.271880704129927E-2</v>
      </c>
      <c r="P7" s="13">
        <f>N7*Calculation!I7/Calculation!K6</f>
        <v>1.2179533210901725</v>
      </c>
      <c r="Q7" s="13">
        <f>O7*Calculation!I7/Calculation!K6</f>
        <v>9.2894206804881238E-2</v>
      </c>
      <c r="R7" s="13">
        <v>2.8532116735462383</v>
      </c>
      <c r="S7" s="13">
        <v>2.5085825296094995E-2</v>
      </c>
      <c r="T7" s="13">
        <f>R7*Calculation!I7/Calculation!K6</f>
        <v>2.8586092047371481</v>
      </c>
      <c r="U7" s="13">
        <f>S7*Calculation!I7/Calculation!K6</f>
        <v>2.5133281124816279E-2</v>
      </c>
    </row>
    <row r="8" spans="1:21">
      <c r="A8" s="15" t="s">
        <v>43</v>
      </c>
      <c r="B8" s="15">
        <v>60.05</v>
      </c>
      <c r="D8" s="16">
        <v>4</v>
      </c>
      <c r="E8" s="64">
        <v>6</v>
      </c>
      <c r="F8" s="52">
        <v>51.204484902309062</v>
      </c>
      <c r="G8" s="52">
        <v>0.46360153236725676</v>
      </c>
      <c r="H8" s="13">
        <f>F8*Calculation!I8/Calculation!K7</f>
        <v>51.301350412476829</v>
      </c>
      <c r="I8" s="13">
        <f>G8*Calculation!I8/Calculation!K7</f>
        <v>0.46447854536783656</v>
      </c>
      <c r="J8" s="13">
        <v>2.098134991119005</v>
      </c>
      <c r="K8" s="13">
        <v>3.7737010310571668E-16</v>
      </c>
      <c r="L8" s="13">
        <f>J8*Calculation!I8/Calculation!K7</f>
        <v>2.1021041144624646</v>
      </c>
      <c r="M8" s="13">
        <f>K8*Calculation!I8/Calculation!K7</f>
        <v>3.7808398876688758E-16</v>
      </c>
      <c r="N8" s="13">
        <v>1.271162919789065</v>
      </c>
      <c r="O8" s="13">
        <v>9.4691768577474175E-2</v>
      </c>
      <c r="P8" s="13">
        <f>N8*Calculation!I8/Calculation!K7</f>
        <v>1.2735676279892674</v>
      </c>
      <c r="Q8" s="13">
        <f>O8*Calculation!I8/Calculation!K7</f>
        <v>9.4870900668919775E-2</v>
      </c>
      <c r="R8" s="13">
        <v>2.7445868636396553</v>
      </c>
      <c r="S8" s="13">
        <v>0.13797203912852246</v>
      </c>
      <c r="T8" s="13">
        <f>R8*Calculation!I8/Calculation!K7</f>
        <v>2.7497789050644137</v>
      </c>
      <c r="U8" s="13">
        <f>S8*Calculation!I8/Calculation!K7</f>
        <v>0.13823304618648954</v>
      </c>
    </row>
    <row r="9" spans="1:21">
      <c r="A9" s="32" t="s">
        <v>67</v>
      </c>
      <c r="B9" s="32">
        <v>74.08</v>
      </c>
      <c r="D9" s="16">
        <v>5</v>
      </c>
      <c r="E9" s="64">
        <v>7.333333333333333</v>
      </c>
      <c r="F9" s="52">
        <v>50.838143872113676</v>
      </c>
      <c r="G9" s="52">
        <v>0.26666101575186785</v>
      </c>
      <c r="H9" s="13">
        <f>F9*Calculation!I9/Calculation!K8</f>
        <v>50.974819820989367</v>
      </c>
      <c r="I9" s="13">
        <f>G9*Calculation!I9/Calculation!K8</f>
        <v>0.26737792129916171</v>
      </c>
      <c r="J9" s="13">
        <v>2.112936648904677</v>
      </c>
      <c r="K9" s="13">
        <v>6.4093058302578405E-3</v>
      </c>
      <c r="L9" s="13">
        <f>J9*Calculation!I9/Calculation!K8</f>
        <v>2.1186171792979529</v>
      </c>
      <c r="M9" s="13">
        <f>K9*Calculation!I9/Calculation!K8</f>
        <v>6.4265369462912789E-3</v>
      </c>
      <c r="N9" s="13">
        <v>1.6319733555370528</v>
      </c>
      <c r="O9" s="13">
        <v>4.9958368026644509E-2</v>
      </c>
      <c r="P9" s="13">
        <f>N9*Calculation!I9/Calculation!K8</f>
        <v>1.6363608388304824</v>
      </c>
      <c r="Q9" s="13">
        <f>O9*Calculation!I9/Calculation!K8</f>
        <v>5.0092678739708685E-2</v>
      </c>
      <c r="R9" s="13">
        <v>3.0487363313780871</v>
      </c>
      <c r="S9" s="13">
        <v>0.28270289370617901</v>
      </c>
      <c r="T9" s="13">
        <f>R9*Calculation!I9/Calculation!K8</f>
        <v>3.0569327150228385</v>
      </c>
      <c r="U9" s="13">
        <f>S9*Calculation!I9/Calculation!K8</f>
        <v>0.28346292708474602</v>
      </c>
    </row>
    <row r="10" spans="1:21">
      <c r="A10" s="32" t="s">
        <v>66</v>
      </c>
      <c r="B10" s="32">
        <v>88.11</v>
      </c>
      <c r="D10" s="16">
        <v>6</v>
      </c>
      <c r="E10" s="64">
        <v>8.6666666666666661</v>
      </c>
      <c r="F10" s="52">
        <v>49.909339846062757</v>
      </c>
      <c r="G10" s="52">
        <v>0.22766572457579906</v>
      </c>
      <c r="H10" s="13">
        <f>F10*Calculation!I10/Calculation!K9</f>
        <v>50.12681840669751</v>
      </c>
      <c r="I10" s="13">
        <f>G10*Calculation!I10/Calculation!K9</f>
        <v>0.22865777164032297</v>
      </c>
      <c r="J10" s="13">
        <v>2.1499407933688572</v>
      </c>
      <c r="K10" s="13">
        <v>6.4093058302578405E-3</v>
      </c>
      <c r="L10" s="13">
        <f>J10*Calculation!I10/Calculation!K9</f>
        <v>2.1593091005962002</v>
      </c>
      <c r="M10" s="13">
        <f>K10*Calculation!I10/Calculation!K9</f>
        <v>6.4372342022004795E-3</v>
      </c>
      <c r="N10" s="13">
        <v>2.109353316680544</v>
      </c>
      <c r="O10" s="13">
        <v>7.509158622519399E-2</v>
      </c>
      <c r="P10" s="13">
        <f>N10*Calculation!I10/Calculation!K9</f>
        <v>2.118544765106765</v>
      </c>
      <c r="Q10" s="13">
        <f>O10*Calculation!I10/Calculation!K9</f>
        <v>7.5418795724225746E-2</v>
      </c>
      <c r="R10" s="13">
        <v>3.2297776812223904</v>
      </c>
      <c r="S10" s="13">
        <v>1.2542912648047497E-2</v>
      </c>
      <c r="T10" s="13">
        <f>R10*Calculation!I10/Calculation!K9</f>
        <v>3.2438513476633606</v>
      </c>
      <c r="U10" s="13">
        <f>S10*Calculation!I10/Calculation!K9</f>
        <v>1.2597568041151841E-2</v>
      </c>
    </row>
    <row r="11" spans="1:21">
      <c r="A11" s="15" t="s">
        <v>42</v>
      </c>
      <c r="B11" s="15">
        <v>90.08</v>
      </c>
      <c r="D11" s="16">
        <v>7</v>
      </c>
      <c r="E11" s="64">
        <v>10</v>
      </c>
      <c r="F11" s="52">
        <v>48.081335109532269</v>
      </c>
      <c r="G11" s="52">
        <v>0.57430384522634126</v>
      </c>
      <c r="H11" s="13">
        <f>F11*Calculation!I11/Calculation!K10</f>
        <v>48.459177900918007</v>
      </c>
      <c r="I11" s="13">
        <f>G11*Calculation!I11/Calculation!K10</f>
        <v>0.57881695967063762</v>
      </c>
      <c r="J11" s="13">
        <v>2.1499407933688572</v>
      </c>
      <c r="K11" s="13">
        <v>6.4093058302578405E-3</v>
      </c>
      <c r="L11" s="13">
        <f>J11*Calculation!I11/Calculation!K10</f>
        <v>2.1668359072177137</v>
      </c>
      <c r="M11" s="13">
        <f>K11*Calculation!I11/Calculation!K10</f>
        <v>6.4596727761887865E-3</v>
      </c>
      <c r="N11" s="13">
        <v>3.1251734665556481</v>
      </c>
      <c r="O11" s="13">
        <v>0.10706245640847033</v>
      </c>
      <c r="P11" s="13">
        <f>N11*Calculation!I11/Calculation!K10</f>
        <v>3.1497323575156857</v>
      </c>
      <c r="Q11" s="13">
        <f>O11*Calculation!I11/Calculation!K10</f>
        <v>0.10790379696795846</v>
      </c>
      <c r="R11" s="13">
        <v>4.1422260844376861</v>
      </c>
      <c r="S11" s="13">
        <v>7.6295559076346942E-2</v>
      </c>
      <c r="T11" s="13">
        <f>R11*Calculation!I11/Calculation!K10</f>
        <v>4.1747773907341799</v>
      </c>
      <c r="U11" s="13">
        <f>S11*Calculation!I11/Calculation!K10</f>
        <v>7.6895120776247147E-2</v>
      </c>
    </row>
    <row r="12" spans="1:21">
      <c r="A12" s="15" t="s">
        <v>44</v>
      </c>
      <c r="B12" s="15">
        <v>46.07</v>
      </c>
      <c r="D12" s="16">
        <v>8</v>
      </c>
      <c r="E12" s="64">
        <v>11.333333333333334</v>
      </c>
      <c r="F12" s="52">
        <v>44.382770870337481</v>
      </c>
      <c r="G12" s="52">
        <v>0.41821641409568239</v>
      </c>
      <c r="H12" s="13">
        <f>F12*Calculation!I12/Calculation!K11</f>
        <v>44.934960966035945</v>
      </c>
      <c r="I12" s="13">
        <f>G12*Calculation!I12/Calculation!K11</f>
        <v>0.42341967106214873</v>
      </c>
      <c r="J12" s="13">
        <v>2.142539964476021</v>
      </c>
      <c r="K12" s="13">
        <v>1.9227917490773523E-2</v>
      </c>
      <c r="L12" s="13">
        <f>J12*Calculation!I12/Calculation!K11</f>
        <v>2.1691964648436555</v>
      </c>
      <c r="M12" s="13">
        <f>K12*Calculation!I12/Calculation!K11</f>
        <v>1.9467142428538923E-2</v>
      </c>
      <c r="N12" s="13">
        <v>5.0069386622259229</v>
      </c>
      <c r="O12" s="13">
        <v>0.12046924459733957</v>
      </c>
      <c r="P12" s="13">
        <f>N12*Calculation!I12/Calculation!K11</f>
        <v>5.0692326985114908</v>
      </c>
      <c r="Q12" s="13">
        <f>O12*Calculation!I12/Calculation!K11</f>
        <v>0.12196806773069617</v>
      </c>
      <c r="R12" s="13">
        <v>4.9750162937214855</v>
      </c>
      <c r="S12" s="13">
        <v>7.8330464381142578E-2</v>
      </c>
      <c r="T12" s="13">
        <f>R12*Calculation!I12/Calculation!K11</f>
        <v>5.036913166527313</v>
      </c>
      <c r="U12" s="13">
        <f>S12*Calculation!I12/Calculation!K11</f>
        <v>7.9305016122156929E-2</v>
      </c>
    </row>
    <row r="13" spans="1:21">
      <c r="D13" s="16">
        <v>9</v>
      </c>
      <c r="E13" s="64">
        <v>12.666666666666666</v>
      </c>
      <c r="F13" s="52">
        <v>39.455669034931908</v>
      </c>
      <c r="G13" s="52">
        <v>0.37335237987639547</v>
      </c>
      <c r="H13" s="13">
        <f>F13*Calculation!I13/Calculation!K12</f>
        <v>40.172771284148226</v>
      </c>
      <c r="I13" s="13">
        <f>G13*Calculation!I13/Calculation!K12</f>
        <v>0.38013801646318335</v>
      </c>
      <c r="J13" s="13">
        <v>2.1684428656009476</v>
      </c>
      <c r="K13" s="13">
        <v>6.4093058302578405E-3</v>
      </c>
      <c r="L13" s="13">
        <f>J13*Calculation!I13/Calculation!K12</f>
        <v>2.2078540654171972</v>
      </c>
      <c r="M13" s="13">
        <f>K13*Calculation!I13/Calculation!K12</f>
        <v>6.5257942269626081E-3</v>
      </c>
      <c r="N13" s="13">
        <v>8.9480988065500977</v>
      </c>
      <c r="O13" s="13">
        <v>7.509158622519399E-2</v>
      </c>
      <c r="P13" s="13">
        <f>N13*Calculation!I13/Calculation!K12</f>
        <v>9.1107294737605802</v>
      </c>
      <c r="Q13" s="13">
        <f>O13*Calculation!I13/Calculation!K12</f>
        <v>7.6456367172936468E-2</v>
      </c>
      <c r="R13" s="13">
        <v>5.2139908755159681</v>
      </c>
      <c r="S13" s="13">
        <v>3.7628737944142496E-2</v>
      </c>
      <c r="T13" s="13">
        <f>R13*Calculation!I13/Calculation!K12</f>
        <v>5.3087545603217077</v>
      </c>
      <c r="U13" s="13">
        <f>S13*Calculation!I13/Calculation!K12</f>
        <v>3.8312635930792427E-2</v>
      </c>
    </row>
    <row r="14" spans="1:21">
      <c r="D14" s="16">
        <v>10</v>
      </c>
      <c r="E14" s="64">
        <v>14</v>
      </c>
      <c r="F14" s="52">
        <v>29.616267021906452</v>
      </c>
      <c r="G14" s="52">
        <v>0.32637151955775751</v>
      </c>
      <c r="H14" s="13">
        <f>F14*Calculation!I14/Calculation!K13</f>
        <v>30.453238063798011</v>
      </c>
      <c r="I14" s="13">
        <f>G14*Calculation!I14/Calculation!K13</f>
        <v>0.33559494770168713</v>
      </c>
      <c r="J14" s="13">
        <v>2.3201598579040854</v>
      </c>
      <c r="K14" s="13">
        <v>1.1101243339254007E-2</v>
      </c>
      <c r="L14" s="13">
        <f>J14*Calculation!I14/Calculation!K13</f>
        <v>2.3857287769102711</v>
      </c>
      <c r="M14" s="13">
        <f>K14*Calculation!I14/Calculation!K13</f>
        <v>1.1414970224451069E-2</v>
      </c>
      <c r="N14" s="13">
        <v>17.896197613100195</v>
      </c>
      <c r="O14" s="13">
        <v>0.22486404774387114</v>
      </c>
      <c r="P14" s="13">
        <f>N14*Calculation!I14/Calculation!K13</f>
        <v>18.401953424629529</v>
      </c>
      <c r="Q14" s="13">
        <f>O14*Calculation!I14/Calculation!K13</f>
        <v>0.23121882217188838</v>
      </c>
      <c r="R14" s="13">
        <v>5.2139908755159681</v>
      </c>
      <c r="S14" s="13">
        <v>8.6899847925266199E-2</v>
      </c>
      <c r="T14" s="13">
        <f>R14*Calculation!I14/Calculation!K13</f>
        <v>5.3613409575592499</v>
      </c>
      <c r="U14" s="13">
        <f>S14*Calculation!I14/Calculation!K13</f>
        <v>8.9355682625987573E-2</v>
      </c>
    </row>
    <row r="15" spans="1:21">
      <c r="D15" s="16">
        <v>11</v>
      </c>
      <c r="E15" s="64">
        <v>15.333333333333334</v>
      </c>
      <c r="F15" s="52">
        <v>21.967510361160453</v>
      </c>
      <c r="G15" s="52">
        <v>0.22480588806348528</v>
      </c>
      <c r="H15" s="13">
        <f>F15*Calculation!I15/Calculation!K14</f>
        <v>22.752256546559259</v>
      </c>
      <c r="I15" s="13">
        <f>G15*Calculation!I15/Calculation!K14</f>
        <v>0.23283663712027969</v>
      </c>
      <c r="J15" s="13">
        <v>2.2017465956187094</v>
      </c>
      <c r="K15" s="13">
        <v>1.2818611660515681E-2</v>
      </c>
      <c r="L15" s="13">
        <f>J15*Calculation!I15/Calculation!K14</f>
        <v>2.2803996707155321</v>
      </c>
      <c r="M15" s="13">
        <f>K15*Calculation!I15/Calculation!K14</f>
        <v>1.3276531399134935E-2</v>
      </c>
      <c r="N15" s="13">
        <v>26.033860671662502</v>
      </c>
      <c r="O15" s="13">
        <v>0.12934976628066774</v>
      </c>
      <c r="P15" s="13">
        <f>N15*Calculation!I15/Calculation!K14</f>
        <v>26.963869239652631</v>
      </c>
      <c r="Q15" s="13">
        <f>O15*Calculation!I15/Calculation!K14</f>
        <v>0.13397053276727197</v>
      </c>
      <c r="R15" s="13">
        <v>5.9091896589180966</v>
      </c>
      <c r="S15" s="13">
        <v>3.7628737944142496E-2</v>
      </c>
      <c r="T15" s="13">
        <f>R15*Calculation!I15/Calculation!K14</f>
        <v>6.1202838597353564</v>
      </c>
      <c r="U15" s="13">
        <f>S15*Calculation!I15/Calculation!K14</f>
        <v>3.897295074193162E-2</v>
      </c>
    </row>
    <row r="16" spans="1:21">
      <c r="D16" s="16">
        <v>12</v>
      </c>
      <c r="E16" s="64">
        <v>16.666666666666668</v>
      </c>
      <c r="F16" s="52">
        <v>14.115230905861457</v>
      </c>
      <c r="G16" s="52">
        <v>0.44130060413634398</v>
      </c>
      <c r="H16" s="13">
        <f>F16*Calculation!I16/Calculation!K15</f>
        <v>14.746660624202239</v>
      </c>
      <c r="I16" s="13">
        <f>G16*Calculation!I16/Calculation!K15</f>
        <v>0.4610417134410254</v>
      </c>
      <c r="J16" s="13">
        <v>2.3238602723505033</v>
      </c>
      <c r="K16" s="13">
        <v>6.4093058302578405E-3</v>
      </c>
      <c r="L16" s="13">
        <f>J16*Calculation!I16/Calculation!K15</f>
        <v>2.4278156696812179</v>
      </c>
      <c r="M16" s="13">
        <f>K16*Calculation!I16/Calculation!K15</f>
        <v>6.6960192536619926E-3</v>
      </c>
      <c r="N16" s="13">
        <v>36.597280044407441</v>
      </c>
      <c r="O16" s="13">
        <v>0.85048867310821608</v>
      </c>
      <c r="P16" s="13">
        <f>N16*Calculation!I16/Calculation!K15</f>
        <v>38.234420122709878</v>
      </c>
      <c r="Q16" s="13">
        <f>O16*Calculation!I16/Calculation!K15</f>
        <v>0.88853437189233886</v>
      </c>
      <c r="R16" s="13">
        <v>5.4022738793540448</v>
      </c>
      <c r="S16" s="13">
        <v>0.19712734577183302</v>
      </c>
      <c r="T16" s="13">
        <f>R16*Calculation!I16/Calculation!K15</f>
        <v>5.6439388083084676</v>
      </c>
      <c r="U16" s="13">
        <f>S16*Calculation!I16/Calculation!K15</f>
        <v>0.20594562619870771</v>
      </c>
    </row>
    <row r="17" spans="4:21">
      <c r="D17" s="16">
        <v>13</v>
      </c>
      <c r="E17" s="64">
        <v>18</v>
      </c>
      <c r="F17" s="52">
        <v>8.024348727057431</v>
      </c>
      <c r="G17" s="52">
        <v>0.16802285869016551</v>
      </c>
      <c r="H17" s="13">
        <f>F17*Calculation!I17/Calculation!K16</f>
        <v>8.4314599683233435</v>
      </c>
      <c r="I17" s="13">
        <f>G17*Calculation!I17/Calculation!K16</f>
        <v>0.17654741275543784</v>
      </c>
      <c r="J17" s="13">
        <v>3.2304618117229129</v>
      </c>
      <c r="K17" s="13">
        <v>3.3303730017762018E-2</v>
      </c>
      <c r="L17" s="13">
        <f>J17*Calculation!I17/Calculation!K16</f>
        <v>3.3943576446143782</v>
      </c>
      <c r="M17" s="13">
        <f>K17*Calculation!I17/Calculation!K16</f>
        <v>3.4993377779529704E-2</v>
      </c>
      <c r="N17" s="13">
        <v>47.105190119344996</v>
      </c>
      <c r="O17" s="13">
        <v>0.84950991208350213</v>
      </c>
      <c r="P17" s="13">
        <f>N17*Calculation!I17/Calculation!K16</f>
        <v>49.495047922370176</v>
      </c>
      <c r="Q17" s="13">
        <f>O17*Calculation!I17/Calculation!K16</f>
        <v>0.89260936433061733</v>
      </c>
      <c r="R17" s="13">
        <v>3.2732276051850238</v>
      </c>
      <c r="S17" s="13">
        <v>5.4673288690497181E-2</v>
      </c>
      <c r="T17" s="13">
        <f>R17*Calculation!I17/Calculation!K16</f>
        <v>3.4392931388026518</v>
      </c>
      <c r="U17" s="13">
        <f>S17*Calculation!I17/Calculation!K16</f>
        <v>5.7447110115758204E-2</v>
      </c>
    </row>
    <row r="18" spans="4:21">
      <c r="D18" s="16">
        <v>14</v>
      </c>
      <c r="E18" s="64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6.3314091178211953</v>
      </c>
      <c r="K18" s="13">
        <v>4.4865140811804878E-2</v>
      </c>
      <c r="L18" s="13">
        <f>J18*Calculation!I18/Calculation!K17</f>
        <v>6.7093149086398043</v>
      </c>
      <c r="M18" s="13">
        <f>K18*Calculation!I18/Calculation!K17</f>
        <v>4.7543027551259179E-2</v>
      </c>
      <c r="N18" s="13">
        <v>61.110185956147653</v>
      </c>
      <c r="O18" s="13">
        <v>0.6512354982431281</v>
      </c>
      <c r="P18" s="13">
        <f>N18*Calculation!I18/Calculation!K17</f>
        <v>64.757698337842783</v>
      </c>
      <c r="Q18" s="13">
        <f>O18*Calculation!I18/Calculation!K17</f>
        <v>0.69010609740880202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4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6.5386323268206041</v>
      </c>
      <c r="K19" s="13">
        <v>7.7708703374778046E-2</v>
      </c>
      <c r="L19" s="13">
        <f>J19*Calculation!I19/Calculation!K18</f>
        <v>6.9560246941037356</v>
      </c>
      <c r="M19" s="13">
        <f>K19*Calculation!I19/Calculation!K18</f>
        <v>8.2669223868805083E-2</v>
      </c>
      <c r="N19" s="13">
        <v>61.698584512905917</v>
      </c>
      <c r="O19" s="13">
        <v>0.93433872700120257</v>
      </c>
      <c r="P19" s="13">
        <f>N19*Calculation!I19/Calculation!K18</f>
        <v>65.637102074480197</v>
      </c>
      <c r="Q19" s="13">
        <f>O19*Calculation!I19/Calculation!K18</f>
        <v>0.99398206426420632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4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6.6940497335701599</v>
      </c>
      <c r="K20" s="13">
        <v>5.874225823855668E-2</v>
      </c>
      <c r="L20" s="13">
        <f>J20*Calculation!I20/Calculation!K19</f>
        <v>7.1213631418413463</v>
      </c>
      <c r="M20" s="13">
        <f>K20*Calculation!I20/Calculation!K19</f>
        <v>6.2492059267309483E-2</v>
      </c>
      <c r="N20" s="13">
        <v>61.21565362198168</v>
      </c>
      <c r="O20" s="13">
        <v>0.79428742832385335</v>
      </c>
      <c r="P20" s="13">
        <f>N20*Calculation!I20/Calculation!K19</f>
        <v>65.123343380779787</v>
      </c>
      <c r="Q20" s="13">
        <f>O20*Calculation!I20/Calculation!K19</f>
        <v>0.8449906172233782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4" t="s">
        <v>4</v>
      </c>
      <c r="E22" s="154" t="s">
        <v>60</v>
      </c>
      <c r="F22" s="128" t="s">
        <v>44</v>
      </c>
      <c r="G22" s="128"/>
      <c r="H22" s="128"/>
      <c r="I22" s="128"/>
      <c r="J22" s="128" t="s">
        <v>66</v>
      </c>
      <c r="K22" s="128"/>
      <c r="L22" s="128"/>
      <c r="M22" s="128"/>
      <c r="N22" s="155" t="s">
        <v>67</v>
      </c>
      <c r="O22" s="126"/>
      <c r="P22" s="126"/>
      <c r="Q22" s="156"/>
    </row>
    <row r="23" spans="4:21">
      <c r="D23" s="154"/>
      <c r="E23" s="154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4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</v>
      </c>
      <c r="K25" s="13">
        <v>0</v>
      </c>
      <c r="L25" s="13">
        <f>J25*Calculation!I4/Calculation!K3</f>
        <v>0</v>
      </c>
      <c r="M25" s="13">
        <f>K25*Calculation!I4/Calculation!K3</f>
        <v>0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4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</v>
      </c>
      <c r="K26" s="13">
        <v>0</v>
      </c>
      <c r="L26" s="13">
        <f>J26*Calculation!I5/Calculation!K4</f>
        <v>0</v>
      </c>
      <c r="M26" s="13">
        <f>K26*Calculation!I5/Calculation!K4</f>
        <v>0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4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</v>
      </c>
      <c r="K27" s="13">
        <v>0</v>
      </c>
      <c r="L27" s="13">
        <f>J27*Calculation!I6/Calculation!K5</f>
        <v>0</v>
      </c>
      <c r="M27" s="13">
        <f>K27*Calculation!I6/Calculation!K5</f>
        <v>0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4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6.053039760904929E-2</v>
      </c>
      <c r="K28" s="13">
        <v>3.9857956920715538E-2</v>
      </c>
      <c r="L28" s="13">
        <f>J28*Calculation!I7/Calculation!K6</f>
        <v>6.0644905310010343E-2</v>
      </c>
      <c r="M28" s="13">
        <f>K28*Calculation!I7/Calculation!K6</f>
        <v>3.9933357763800595E-2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4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0.14754284417205765</v>
      </c>
      <c r="K29" s="13">
        <v>1.1349449551696743E-2</v>
      </c>
      <c r="L29" s="13">
        <f>J29*Calculation!I8/Calculation!K7</f>
        <v>0.14782195669315021</v>
      </c>
      <c r="M29" s="13">
        <f>K29*Calculation!I8/Calculation!K7</f>
        <v>1.1370919745626941E-2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4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0.40858018386108275</v>
      </c>
      <c r="K30" s="13">
        <v>0</v>
      </c>
      <c r="L30" s="13">
        <f>J30*Calculation!I9/Calculation!K8</f>
        <v>0.40967863238944557</v>
      </c>
      <c r="M30" s="13">
        <f>K30*Calculation!I9/Calculation!K8</f>
        <v>0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4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1.4148980441115271</v>
      </c>
      <c r="K31" s="13">
        <v>6.5526077538261979E-3</v>
      </c>
      <c r="L31" s="13">
        <f>J31*Calculation!I10/Calculation!K9</f>
        <v>1.42106342299707</v>
      </c>
      <c r="M31" s="13">
        <f>K31*Calculation!I10/Calculation!K9</f>
        <v>6.5811605599162314E-3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4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3.6961374040025734</v>
      </c>
      <c r="K32" s="13">
        <v>6.5526077538261979E-3</v>
      </c>
      <c r="L32" s="13">
        <f>J32*Calculation!I11/Calculation!K10</f>
        <v>3.7251831630459131</v>
      </c>
      <c r="M32" s="13">
        <f>K32*Calculation!I11/Calculation!K10</f>
        <v>6.6041008248676186E-3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4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6.5902470396852406</v>
      </c>
      <c r="K33" s="13">
        <v>6.6501705562164573E-2</v>
      </c>
      <c r="L33" s="13">
        <f>J33*Calculation!I12/Calculation!K11</f>
        <v>6.6722398732140826</v>
      </c>
      <c r="M33" s="13">
        <f>K33*Calculation!I12/Calculation!K11</f>
        <v>6.7329089306765899E-2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4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10.365830590549693</v>
      </c>
      <c r="K34" s="13">
        <v>7.971591384143116E-2</v>
      </c>
      <c r="L34" s="13">
        <f>J34*Calculation!I13/Calculation!K12</f>
        <v>10.554228369963784</v>
      </c>
      <c r="M34" s="13">
        <f>K34*Calculation!I13/Calculation!K12</f>
        <v>8.1164741412024732E-2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4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14.141414141414144</v>
      </c>
      <c r="K35" s="13">
        <v>0.16486027745243334</v>
      </c>
      <c r="L35" s="13">
        <f>J35*Calculation!I14/Calculation!K13</f>
        <v>14.54105782773709</v>
      </c>
      <c r="M35" s="13">
        <f>K35*Calculation!I14/Calculation!K13</f>
        <v>0.16951931426094913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4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17.379790413498281</v>
      </c>
      <c r="K36" s="13">
        <v>0.17957014771393007</v>
      </c>
      <c r="L36" s="13">
        <f>J36*Calculation!I15/Calculation!K14</f>
        <v>18.000649309467548</v>
      </c>
      <c r="M36" s="13">
        <f>K36*Calculation!I15/Calculation!K14</f>
        <v>0.1859849387445584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4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19.256232739378806</v>
      </c>
      <c r="K37" s="13">
        <v>0.41192925778583472</v>
      </c>
      <c r="L37" s="13">
        <f>J37*Calculation!I16/Calculation!K15</f>
        <v>20.117639661874236</v>
      </c>
      <c r="M37" s="13">
        <f>K37*Calculation!I16/Calculation!K15</f>
        <v>0.43035647140740052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4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20.160405553663981</v>
      </c>
      <c r="K38" s="13">
        <v>0.32546084385431995</v>
      </c>
      <c r="L38" s="13">
        <f>J38*Calculation!I17/Calculation!K16</f>
        <v>21.183233450176164</v>
      </c>
      <c r="M38" s="13">
        <f>K38*Calculation!I17/Calculation!K16</f>
        <v>0.34197293382346711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4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21.291567358983091</v>
      </c>
      <c r="K39" s="13">
        <v>0.22613618028794982</v>
      </c>
      <c r="L39" s="13">
        <f>J39*Calculation!I18/Calculation!K17</f>
        <v>22.562407143750168</v>
      </c>
      <c r="M39" s="13">
        <f>K39*Calculation!I18/Calculation!K17</f>
        <v>0.23963367673054675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4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22.347066167290887</v>
      </c>
      <c r="K40" s="13">
        <v>0.41297027349132376</v>
      </c>
      <c r="L40" s="13">
        <f>J40*Calculation!I19/Calculation!K18</f>
        <v>23.773586941541822</v>
      </c>
      <c r="M40" s="13">
        <f>K40*Calculation!I19/Calculation!K18</f>
        <v>0.43933215338523746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4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22.842658797714975</v>
      </c>
      <c r="K41" s="13">
        <v>0.33482479168729068</v>
      </c>
      <c r="L41" s="13">
        <f>J41*Calculation!I20/Calculation!K19</f>
        <v>24.300815634506435</v>
      </c>
      <c r="M41" s="13">
        <f>K41*Calculation!I20/Calculation!K19</f>
        <v>0.35619826941812904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57" t="s">
        <v>143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5</v>
      </c>
      <c r="C6" s="28" t="s">
        <v>19</v>
      </c>
      <c r="D6" s="162"/>
      <c r="E6" s="162"/>
      <c r="F6" s="162"/>
      <c r="G6" s="164"/>
      <c r="H6" s="164"/>
    </row>
    <row r="7" spans="1:8">
      <c r="A7" s="16">
        <v>0</v>
      </c>
      <c r="B7" s="62">
        <v>-0.16666666666666666</v>
      </c>
      <c r="C7" s="16">
        <v>1</v>
      </c>
      <c r="D7" s="19">
        <v>9.3320000000000007</v>
      </c>
      <c r="E7" s="19">
        <v>9.3629999999999995</v>
      </c>
      <c r="F7" s="19">
        <v>9.3840000000000003</v>
      </c>
      <c r="G7" s="19">
        <f>(C7*1000*AVERAGE(D7:F7)/$B$2)</f>
        <v>51.951968620485502</v>
      </c>
      <c r="H7" s="19">
        <f>(C7*1000*STDEV(D7:F7))/$B$2</f>
        <v>0.14520296150261419</v>
      </c>
    </row>
    <row r="8" spans="1:8">
      <c r="A8" s="16">
        <v>0</v>
      </c>
      <c r="B8" s="64">
        <v>0.16666666666666666</v>
      </c>
      <c r="C8" s="16">
        <v>1</v>
      </c>
      <c r="D8" s="19">
        <v>9.0449999999999999</v>
      </c>
      <c r="E8" s="19">
        <v>9.3109999999999999</v>
      </c>
      <c r="F8" s="19">
        <v>9.2949999999999999</v>
      </c>
      <c r="G8" s="19">
        <f t="shared" ref="G8:G17" si="0">(C8*1000*AVERAGE(D8:F8))/$B$2</f>
        <v>51.160079928952044</v>
      </c>
      <c r="H8" s="19">
        <f t="shared" ref="H8:H17" si="1">(C8*1000*STDEV(D8:F8))/$B$2</f>
        <v>0.82799202245975401</v>
      </c>
    </row>
    <row r="9" spans="1:8">
      <c r="A9" s="16">
        <v>1</v>
      </c>
      <c r="B9" s="64">
        <v>2</v>
      </c>
      <c r="C9" s="16">
        <v>1</v>
      </c>
      <c r="D9" s="19">
        <v>9.1609999999999996</v>
      </c>
      <c r="E9" s="19">
        <v>9.2539999999999996</v>
      </c>
      <c r="F9" s="19">
        <v>9.2129999999999992</v>
      </c>
      <c r="G9" s="19">
        <f t="shared" si="0"/>
        <v>51.117525162818239</v>
      </c>
      <c r="H9" s="19">
        <f t="shared" si="1"/>
        <v>0.25870502236542914</v>
      </c>
    </row>
    <row r="10" spans="1:8">
      <c r="A10" s="16">
        <v>2</v>
      </c>
      <c r="B10" s="64">
        <v>3.3333333333333335</v>
      </c>
      <c r="C10" s="16">
        <v>1</v>
      </c>
      <c r="D10" s="19">
        <v>9.3260000000000005</v>
      </c>
      <c r="E10" s="19">
        <v>8.98</v>
      </c>
      <c r="F10" s="19">
        <v>9.218</v>
      </c>
      <c r="G10" s="19">
        <f t="shared" si="0"/>
        <v>50.925103611604506</v>
      </c>
      <c r="H10" s="19">
        <f t="shared" si="1"/>
        <v>0.98259069118806452</v>
      </c>
    </row>
    <row r="11" spans="1:8">
      <c r="A11" s="16">
        <v>3</v>
      </c>
      <c r="B11" s="64">
        <v>4.666666666666667</v>
      </c>
      <c r="C11" s="16">
        <v>1</v>
      </c>
      <c r="D11" s="19">
        <v>9.0640000000000001</v>
      </c>
      <c r="E11" s="19">
        <v>9.2720000000000002</v>
      </c>
      <c r="F11" s="19">
        <v>9.3559999999999999</v>
      </c>
      <c r="G11" s="19">
        <f t="shared" si="0"/>
        <v>51.235938425103612</v>
      </c>
      <c r="H11" s="19">
        <f t="shared" si="1"/>
        <v>0.83439217540343069</v>
      </c>
    </row>
    <row r="12" spans="1:8">
      <c r="A12" s="16">
        <v>4</v>
      </c>
      <c r="B12" s="64">
        <v>6</v>
      </c>
      <c r="C12" s="16">
        <v>1</v>
      </c>
      <c r="D12" s="19">
        <v>9.1289999999999996</v>
      </c>
      <c r="E12" s="19">
        <v>9.2810000000000006</v>
      </c>
      <c r="F12" s="19">
        <v>9.2650000000000006</v>
      </c>
      <c r="G12" s="19">
        <f t="shared" si="0"/>
        <v>51.204484902309062</v>
      </c>
      <c r="H12" s="19">
        <f t="shared" si="1"/>
        <v>0.46360153236725676</v>
      </c>
    </row>
    <row r="13" spans="1:8">
      <c r="A13" s="16">
        <v>5</v>
      </c>
      <c r="B13" s="64">
        <v>7.333333333333333</v>
      </c>
      <c r="C13" s="16">
        <v>1</v>
      </c>
      <c r="D13" s="19">
        <v>9.1210000000000004</v>
      </c>
      <c r="E13" s="19">
        <v>9.1430000000000007</v>
      </c>
      <c r="F13" s="19">
        <v>9.2129999999999992</v>
      </c>
      <c r="G13" s="19">
        <f t="shared" si="0"/>
        <v>50.838143872113676</v>
      </c>
      <c r="H13" s="19">
        <f t="shared" si="1"/>
        <v>0.26666101575186785</v>
      </c>
    </row>
    <row r="14" spans="1:8">
      <c r="A14" s="16">
        <v>6</v>
      </c>
      <c r="B14" s="64">
        <v>8.6666666666666661</v>
      </c>
      <c r="C14" s="16">
        <v>1</v>
      </c>
      <c r="D14" s="19">
        <v>8.9450000000000003</v>
      </c>
      <c r="E14" s="19">
        <v>9.0220000000000002</v>
      </c>
      <c r="F14" s="19">
        <v>9.0079999999999991</v>
      </c>
      <c r="G14" s="19">
        <f t="shared" si="0"/>
        <v>49.909339846062757</v>
      </c>
      <c r="H14" s="19">
        <f t="shared" si="1"/>
        <v>0.22766572457579906</v>
      </c>
    </row>
    <row r="15" spans="1:8">
      <c r="A15" s="16">
        <v>7</v>
      </c>
      <c r="B15" s="64">
        <v>10</v>
      </c>
      <c r="C15" s="16">
        <v>1</v>
      </c>
      <c r="D15" s="19">
        <v>8.5470000000000006</v>
      </c>
      <c r="E15" s="19">
        <v>8.7469999999999999</v>
      </c>
      <c r="F15" s="19">
        <v>8.6929999999999996</v>
      </c>
      <c r="G15" s="19">
        <f t="shared" si="0"/>
        <v>48.081335109532269</v>
      </c>
      <c r="H15" s="19">
        <f t="shared" si="1"/>
        <v>0.57430384522634126</v>
      </c>
    </row>
    <row r="16" spans="1:8">
      <c r="A16" s="16">
        <v>8</v>
      </c>
      <c r="B16" s="64">
        <v>11.333333333333334</v>
      </c>
      <c r="C16" s="16">
        <v>1</v>
      </c>
      <c r="D16" s="79">
        <v>7.9089999999999998</v>
      </c>
      <c r="E16" s="79">
        <v>8.0389999999999997</v>
      </c>
      <c r="F16" s="79">
        <v>8.0399999999999991</v>
      </c>
      <c r="G16" s="19">
        <f t="shared" si="0"/>
        <v>44.382770870337481</v>
      </c>
      <c r="H16" s="19">
        <f t="shared" si="1"/>
        <v>0.41821641409568239</v>
      </c>
    </row>
    <row r="17" spans="1:8">
      <c r="A17" s="16">
        <v>9</v>
      </c>
      <c r="B17" s="64">
        <v>12.666666666666666</v>
      </c>
      <c r="C17" s="16">
        <v>1</v>
      </c>
      <c r="D17" s="79">
        <v>7.12</v>
      </c>
      <c r="E17" s="79">
        <v>7.0359999999999996</v>
      </c>
      <c r="F17" s="79">
        <v>7.1689999999999996</v>
      </c>
      <c r="G17" s="19">
        <f t="shared" si="0"/>
        <v>39.455669034931908</v>
      </c>
      <c r="H17" s="19">
        <f t="shared" si="1"/>
        <v>0.37335237987639547</v>
      </c>
    </row>
    <row r="18" spans="1:8">
      <c r="A18" s="16">
        <v>10</v>
      </c>
      <c r="B18" s="64">
        <v>14</v>
      </c>
      <c r="C18" s="16">
        <v>1</v>
      </c>
      <c r="D18" s="79">
        <v>5.2869999999999999</v>
      </c>
      <c r="E18" s="79">
        <v>5.319</v>
      </c>
      <c r="F18" s="79">
        <v>5.4009999999999998</v>
      </c>
      <c r="G18" s="19">
        <f t="shared" ref="G18:G23" si="2">(C18*1000*AVERAGE(D18:F18))/$B$2</f>
        <v>29.616267021906452</v>
      </c>
      <c r="H18" s="19">
        <f t="shared" ref="H18:H23" si="3">(C18*1000*STDEV(D18:F18))/$B$2</f>
        <v>0.32637151955775751</v>
      </c>
    </row>
    <row r="19" spans="1:8">
      <c r="A19" s="16">
        <v>11</v>
      </c>
      <c r="B19" s="64">
        <v>15.333333333333334</v>
      </c>
      <c r="C19" s="16">
        <v>1</v>
      </c>
      <c r="D19" s="74">
        <v>3.9140000000000001</v>
      </c>
      <c r="E19" s="74">
        <v>3.9940000000000002</v>
      </c>
      <c r="F19" s="74">
        <v>3.9649999999999999</v>
      </c>
      <c r="G19" s="19">
        <f t="shared" si="2"/>
        <v>21.967510361160453</v>
      </c>
      <c r="H19" s="19">
        <f t="shared" si="3"/>
        <v>0.22480588806348528</v>
      </c>
    </row>
    <row r="20" spans="1:8">
      <c r="A20" s="16">
        <v>12</v>
      </c>
      <c r="B20" s="64">
        <v>16.666666666666668</v>
      </c>
      <c r="C20" s="16">
        <v>1</v>
      </c>
      <c r="D20" s="74">
        <v>2.4870000000000001</v>
      </c>
      <c r="E20" s="74">
        <v>2.6339999999999999</v>
      </c>
      <c r="F20" s="74">
        <v>2.508</v>
      </c>
      <c r="G20" s="19">
        <f t="shared" si="2"/>
        <v>14.115230905861457</v>
      </c>
      <c r="H20" s="19">
        <f t="shared" si="3"/>
        <v>0.44130060413634398</v>
      </c>
    </row>
    <row r="21" spans="1:8">
      <c r="A21" s="16">
        <v>13</v>
      </c>
      <c r="B21" s="64">
        <v>18</v>
      </c>
      <c r="C21" s="16">
        <v>1</v>
      </c>
      <c r="D21" s="74">
        <v>1.4179999999999999</v>
      </c>
      <c r="E21" s="74">
        <v>1.4410000000000001</v>
      </c>
      <c r="F21" s="74">
        <v>1.478</v>
      </c>
      <c r="G21" s="19">
        <f t="shared" si="2"/>
        <v>8.024348727057431</v>
      </c>
      <c r="H21" s="19">
        <f t="shared" si="3"/>
        <v>0.16802285869016551</v>
      </c>
    </row>
    <row r="22" spans="1:8">
      <c r="A22" s="16">
        <v>14</v>
      </c>
      <c r="B22" s="64">
        <v>24</v>
      </c>
      <c r="C22" s="16">
        <v>1</v>
      </c>
      <c r="D22" s="74">
        <v>0</v>
      </c>
      <c r="E22" s="74">
        <v>0</v>
      </c>
      <c r="F22" s="74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4">
        <v>30</v>
      </c>
      <c r="C23" s="16">
        <v>1</v>
      </c>
      <c r="D23" s="74">
        <v>0</v>
      </c>
      <c r="E23" s="74">
        <v>0</v>
      </c>
      <c r="F23" s="74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4">
        <v>48</v>
      </c>
      <c r="C24" s="16">
        <v>1</v>
      </c>
      <c r="D24" s="74">
        <v>0</v>
      </c>
      <c r="E24" s="74">
        <v>0</v>
      </c>
      <c r="F24" s="74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7" t="s">
        <v>65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1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6">
        <v>0</v>
      </c>
      <c r="B8" s="64">
        <v>0.16666666666666666</v>
      </c>
      <c r="C8" s="16">
        <v>1</v>
      </c>
      <c r="D8" s="55">
        <v>0.123</v>
      </c>
      <c r="E8" s="55">
        <v>0.13600000000000001</v>
      </c>
      <c r="F8" s="55">
        <v>0.13700000000000001</v>
      </c>
      <c r="G8" s="16">
        <f t="shared" ref="G8:G10" si="1">(C8*1000*AVERAGE(D8:F8))/$B$2</f>
        <v>2.8676949815337824</v>
      </c>
      <c r="H8" s="19">
        <f t="shared" si="0"/>
        <v>0.16967737727366197</v>
      </c>
    </row>
    <row r="9" spans="1:8">
      <c r="A9" s="66">
        <v>1</v>
      </c>
      <c r="B9" s="64">
        <v>2</v>
      </c>
      <c r="C9" s="16">
        <v>1</v>
      </c>
      <c r="D9" s="55">
        <v>0.13800000000000001</v>
      </c>
      <c r="E9" s="55">
        <v>0.129</v>
      </c>
      <c r="F9" s="55">
        <v>0.13400000000000001</v>
      </c>
      <c r="G9" s="16">
        <f t="shared" si="1"/>
        <v>2.9039032515026437</v>
      </c>
      <c r="H9" s="19">
        <f t="shared" si="0"/>
        <v>9.7963279444338441E-2</v>
      </c>
    </row>
    <row r="10" spans="1:8">
      <c r="A10" s="66">
        <v>2</v>
      </c>
      <c r="B10" s="64">
        <v>3.3333333333333335</v>
      </c>
      <c r="C10" s="16">
        <v>1</v>
      </c>
      <c r="D10" s="55">
        <v>0.13200000000000001</v>
      </c>
      <c r="E10" s="55">
        <v>0.128</v>
      </c>
      <c r="F10" s="55">
        <v>0.13300000000000001</v>
      </c>
      <c r="G10" s="16">
        <f t="shared" si="1"/>
        <v>2.8459700195524658</v>
      </c>
      <c r="H10" s="19">
        <f t="shared" ref="H10:H23" si="2">(C10*1000*STDEV(D10:F10))/$B$2</f>
        <v>5.747884664489665E-2</v>
      </c>
    </row>
    <row r="11" spans="1:8">
      <c r="A11" s="66">
        <v>3</v>
      </c>
      <c r="B11" s="64">
        <v>4.666666666666667</v>
      </c>
      <c r="C11" s="16">
        <v>1</v>
      </c>
      <c r="D11" s="55">
        <v>0.13200000000000001</v>
      </c>
      <c r="E11" s="55">
        <v>0.13200000000000001</v>
      </c>
      <c r="F11" s="55">
        <v>0.13</v>
      </c>
      <c r="G11" s="16">
        <f t="shared" ref="G11:G23" si="3">(C11*1000*AVERAGE(D11:F11))/$B$2</f>
        <v>2.8532116735462383</v>
      </c>
      <c r="H11" s="19">
        <f t="shared" si="2"/>
        <v>2.5085825296094995E-2</v>
      </c>
    </row>
    <row r="12" spans="1:8">
      <c r="A12" s="66">
        <v>4</v>
      </c>
      <c r="B12" s="64">
        <v>6</v>
      </c>
      <c r="C12" s="16">
        <v>1</v>
      </c>
      <c r="D12" s="55">
        <v>0.13</v>
      </c>
      <c r="E12" s="55">
        <v>0.11899999999999999</v>
      </c>
      <c r="F12" s="55">
        <v>0.13</v>
      </c>
      <c r="G12" s="16">
        <f t="shared" si="3"/>
        <v>2.7445868636396553</v>
      </c>
      <c r="H12" s="19">
        <f t="shared" si="2"/>
        <v>0.13797203912852246</v>
      </c>
    </row>
    <row r="13" spans="1:8">
      <c r="A13" s="66">
        <v>5</v>
      </c>
      <c r="B13" s="64">
        <v>7.333333333333333</v>
      </c>
      <c r="C13" s="16">
        <v>1</v>
      </c>
      <c r="D13" s="55">
        <v>0.127</v>
      </c>
      <c r="E13" s="55">
        <v>0.153</v>
      </c>
      <c r="F13" s="55">
        <v>0.14099999999999999</v>
      </c>
      <c r="G13" s="16">
        <f t="shared" si="3"/>
        <v>3.0487363313780871</v>
      </c>
      <c r="H13" s="19">
        <f t="shared" si="2"/>
        <v>0.28270289370617901</v>
      </c>
    </row>
    <row r="14" spans="1:8">
      <c r="A14" s="66">
        <v>6</v>
      </c>
      <c r="B14" s="64">
        <v>8.6666666666666661</v>
      </c>
      <c r="C14" s="16">
        <v>1</v>
      </c>
      <c r="D14" s="55">
        <v>0.14899999999999999</v>
      </c>
      <c r="E14" s="55">
        <v>0.14899999999999999</v>
      </c>
      <c r="F14" s="55">
        <v>0.14799999999999999</v>
      </c>
      <c r="G14" s="16">
        <f t="shared" si="3"/>
        <v>3.2297776812223904</v>
      </c>
      <c r="H14" s="19">
        <f t="shared" si="2"/>
        <v>1.2542912648047497E-2</v>
      </c>
    </row>
    <row r="15" spans="1:8">
      <c r="A15" s="66">
        <v>7</v>
      </c>
      <c r="B15" s="64">
        <v>10</v>
      </c>
      <c r="C15" s="16">
        <v>1</v>
      </c>
      <c r="D15" s="55">
        <v>0.187</v>
      </c>
      <c r="E15" s="55">
        <v>0.191</v>
      </c>
      <c r="F15" s="55">
        <v>0.19400000000000001</v>
      </c>
      <c r="G15" s="16">
        <f t="shared" si="3"/>
        <v>4.1422260844376861</v>
      </c>
      <c r="H15" s="19">
        <f t="shared" si="2"/>
        <v>7.6295559076346942E-2</v>
      </c>
    </row>
    <row r="16" spans="1:8">
      <c r="A16" s="66">
        <v>8</v>
      </c>
      <c r="B16" s="64">
        <v>11.333333333333334</v>
      </c>
      <c r="C16" s="16">
        <v>1</v>
      </c>
      <c r="D16" s="56">
        <v>0.22500000000000001</v>
      </c>
      <c r="E16" s="56">
        <v>0.23</v>
      </c>
      <c r="F16" s="56">
        <v>0.23200000000000001</v>
      </c>
      <c r="G16" s="16">
        <f t="shared" si="3"/>
        <v>4.9750162937214855</v>
      </c>
      <c r="H16" s="19">
        <f t="shared" si="2"/>
        <v>7.8330464381142578E-2</v>
      </c>
    </row>
    <row r="17" spans="1:8">
      <c r="A17" s="66">
        <v>9</v>
      </c>
      <c r="B17" s="64">
        <v>12.666666666666666</v>
      </c>
      <c r="C17" s="16">
        <v>1</v>
      </c>
      <c r="D17" s="56">
        <v>0.24199999999999999</v>
      </c>
      <c r="E17" s="56">
        <v>0.23899999999999999</v>
      </c>
      <c r="F17" s="56">
        <v>0.23899999999999999</v>
      </c>
      <c r="G17" s="16">
        <f t="shared" si="3"/>
        <v>5.2139908755159681</v>
      </c>
      <c r="H17" s="19">
        <f t="shared" si="2"/>
        <v>3.7628737944142496E-2</v>
      </c>
    </row>
    <row r="18" spans="1:8">
      <c r="A18" s="66">
        <v>10</v>
      </c>
      <c r="B18" s="64">
        <v>14</v>
      </c>
      <c r="C18" s="16">
        <v>1</v>
      </c>
      <c r="D18" s="56">
        <v>0.23599999999999999</v>
      </c>
      <c r="E18" s="56">
        <v>0.24</v>
      </c>
      <c r="F18" s="56">
        <v>0.24399999999999999</v>
      </c>
      <c r="G18" s="16">
        <f t="shared" si="3"/>
        <v>5.2139908755159681</v>
      </c>
      <c r="H18" s="19">
        <f t="shared" si="2"/>
        <v>8.6899847925266199E-2</v>
      </c>
    </row>
    <row r="19" spans="1:8">
      <c r="A19" s="66">
        <v>11</v>
      </c>
      <c r="B19" s="64">
        <v>15.333333333333334</v>
      </c>
      <c r="C19" s="16">
        <v>1</v>
      </c>
      <c r="D19" s="56">
        <v>0.27300000000000002</v>
      </c>
      <c r="E19" s="56">
        <v>0.27</v>
      </c>
      <c r="F19" s="56">
        <v>0.27300000000000002</v>
      </c>
      <c r="G19" s="16">
        <f t="shared" si="3"/>
        <v>5.9091896589180966</v>
      </c>
      <c r="H19" s="19">
        <f t="shared" si="2"/>
        <v>3.7628737944142496E-2</v>
      </c>
    </row>
    <row r="20" spans="1:8">
      <c r="A20" s="66">
        <v>12</v>
      </c>
      <c r="B20" s="64">
        <v>16.666666666666668</v>
      </c>
      <c r="C20" s="16">
        <v>1</v>
      </c>
      <c r="D20" s="56">
        <v>0.24199999999999999</v>
      </c>
      <c r="E20" s="56">
        <v>0.25900000000000001</v>
      </c>
      <c r="F20" s="56">
        <v>0.245</v>
      </c>
      <c r="G20" s="16">
        <f t="shared" si="3"/>
        <v>5.4022738793540448</v>
      </c>
      <c r="H20" s="19">
        <f t="shared" si="2"/>
        <v>0.19712734577183302</v>
      </c>
    </row>
    <row r="21" spans="1:8">
      <c r="A21" s="66">
        <v>13</v>
      </c>
      <c r="B21" s="64">
        <v>18</v>
      </c>
      <c r="C21" s="16">
        <v>1</v>
      </c>
      <c r="D21" s="55">
        <v>0.153</v>
      </c>
      <c r="E21" s="55">
        <v>0.151</v>
      </c>
      <c r="F21" s="55">
        <v>0.14799999999999999</v>
      </c>
      <c r="G21" s="16">
        <f t="shared" si="3"/>
        <v>3.2732276051850238</v>
      </c>
      <c r="H21" s="19">
        <f t="shared" si="2"/>
        <v>5.4673288690497181E-2</v>
      </c>
    </row>
    <row r="22" spans="1:8">
      <c r="A22" s="66">
        <v>14</v>
      </c>
      <c r="B22" s="64">
        <v>24</v>
      </c>
      <c r="C22" s="16">
        <v>1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6">
        <v>15</v>
      </c>
      <c r="B23" s="64">
        <v>30</v>
      </c>
      <c r="C23" s="16">
        <v>1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6">
        <v>16</v>
      </c>
      <c r="B24" s="64">
        <v>48</v>
      </c>
      <c r="C24" s="16">
        <v>1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7" t="s">
        <v>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1</v>
      </c>
      <c r="D7" s="74">
        <v>4.9000000000000002E-2</v>
      </c>
      <c r="E7" s="74">
        <v>5.5E-2</v>
      </c>
      <c r="F7" s="74">
        <v>6.8000000000000005E-2</v>
      </c>
      <c r="G7" s="16">
        <f>(C7*1000*AVERAGE(D7:F7))/$B$2</f>
        <v>0.95475992228698325</v>
      </c>
      <c r="H7" s="19">
        <f>(C7*1000*STDEV(D7:F7))/$B$2</f>
        <v>0.16174079693958818</v>
      </c>
    </row>
    <row r="8" spans="1:8">
      <c r="A8" s="66">
        <v>0</v>
      </c>
      <c r="B8" s="64">
        <v>0.16666666666666666</v>
      </c>
      <c r="C8" s="16">
        <v>1</v>
      </c>
      <c r="D8" s="74">
        <v>8.5999999999999993E-2</v>
      </c>
      <c r="E8" s="74">
        <v>5.8999999999999997E-2</v>
      </c>
      <c r="F8" s="74">
        <v>9.7000000000000003E-2</v>
      </c>
      <c r="G8" s="16">
        <f t="shared" ref="G8:G17" si="0">(C8*1000*AVERAGE(D8:F8))/$B$2</f>
        <v>1.3433250069386622</v>
      </c>
      <c r="H8" s="19">
        <f t="shared" ref="H8:H17" si="1">(C8*1000*STDEV(D8:F8))/$B$2</f>
        <v>0.3256177491215646</v>
      </c>
    </row>
    <row r="9" spans="1:8">
      <c r="A9" s="66">
        <v>1</v>
      </c>
      <c r="B9" s="64">
        <v>2</v>
      </c>
      <c r="C9" s="16">
        <v>1</v>
      </c>
      <c r="D9" s="74">
        <v>8.5999999999999993E-2</v>
      </c>
      <c r="E9" s="74">
        <v>7.0000000000000007E-2</v>
      </c>
      <c r="F9" s="74">
        <v>7.9000000000000001E-2</v>
      </c>
      <c r="G9" s="16">
        <f t="shared" si="0"/>
        <v>1.3044684984734942</v>
      </c>
      <c r="H9" s="19">
        <f t="shared" si="1"/>
        <v>0.13356879728577248</v>
      </c>
    </row>
    <row r="10" spans="1:8">
      <c r="A10" s="66">
        <v>2</v>
      </c>
      <c r="B10" s="64">
        <v>3.3333333333333335</v>
      </c>
      <c r="C10" s="16">
        <v>1</v>
      </c>
      <c r="D10" s="74">
        <v>8.2000000000000003E-2</v>
      </c>
      <c r="E10" s="74">
        <v>6.5000000000000002E-2</v>
      </c>
      <c r="F10" s="74">
        <v>0.06</v>
      </c>
      <c r="G10" s="16">
        <f t="shared" si="0"/>
        <v>1.1490424646128228</v>
      </c>
      <c r="H10" s="19">
        <f t="shared" si="1"/>
        <v>0.19204933546495812</v>
      </c>
    </row>
    <row r="11" spans="1:8">
      <c r="A11" s="66">
        <v>3</v>
      </c>
      <c r="B11" s="64">
        <v>4.666666666666667</v>
      </c>
      <c r="C11" s="16">
        <v>1</v>
      </c>
      <c r="D11" s="74">
        <v>7.1999999999999995E-2</v>
      </c>
      <c r="E11" s="74">
        <v>6.8000000000000005E-2</v>
      </c>
      <c r="F11" s="74">
        <v>7.9000000000000001E-2</v>
      </c>
      <c r="G11" s="16">
        <f t="shared" si="0"/>
        <v>1.2156536219816823</v>
      </c>
      <c r="H11" s="19">
        <f t="shared" si="1"/>
        <v>9.271880704129927E-2</v>
      </c>
    </row>
    <row r="12" spans="1:8">
      <c r="A12" s="66">
        <v>4</v>
      </c>
      <c r="B12" s="64">
        <v>6</v>
      </c>
      <c r="C12" s="16">
        <v>1</v>
      </c>
      <c r="D12" s="74">
        <v>7.0000000000000007E-2</v>
      </c>
      <c r="E12" s="74">
        <v>8.1000000000000003E-2</v>
      </c>
      <c r="F12" s="74">
        <v>7.8E-2</v>
      </c>
      <c r="G12" s="16">
        <f t="shared" si="0"/>
        <v>1.271162919789065</v>
      </c>
      <c r="H12" s="19">
        <f t="shared" si="1"/>
        <v>9.4691768577474175E-2</v>
      </c>
    </row>
    <row r="13" spans="1:8">
      <c r="A13" s="66">
        <v>5</v>
      </c>
      <c r="B13" s="64">
        <v>7.333333333333333</v>
      </c>
      <c r="C13" s="16">
        <v>1</v>
      </c>
      <c r="D13" s="74">
        <v>9.5000000000000001E-2</v>
      </c>
      <c r="E13" s="74">
        <v>0.10100000000000001</v>
      </c>
      <c r="F13" s="74">
        <v>9.8000000000000004E-2</v>
      </c>
      <c r="G13" s="16">
        <f t="shared" si="0"/>
        <v>1.6319733555370528</v>
      </c>
      <c r="H13" s="19">
        <f t="shared" si="1"/>
        <v>4.9958368026644509E-2</v>
      </c>
    </row>
    <row r="14" spans="1:8">
      <c r="A14" s="66">
        <v>6</v>
      </c>
      <c r="B14" s="64">
        <v>8.6666666666666661</v>
      </c>
      <c r="C14" s="16">
        <v>1</v>
      </c>
      <c r="D14" s="74">
        <v>0.127</v>
      </c>
      <c r="E14" s="74">
        <v>0.122</v>
      </c>
      <c r="F14" s="74">
        <v>0.13100000000000001</v>
      </c>
      <c r="G14" s="16">
        <f t="shared" si="0"/>
        <v>2.109353316680544</v>
      </c>
      <c r="H14" s="19">
        <f t="shared" si="1"/>
        <v>7.509158622519399E-2</v>
      </c>
    </row>
    <row r="15" spans="1:8">
      <c r="A15" s="66">
        <v>7</v>
      </c>
      <c r="B15" s="64">
        <v>10</v>
      </c>
      <c r="C15" s="16">
        <v>1</v>
      </c>
      <c r="D15" s="74">
        <v>0.183</v>
      </c>
      <c r="E15" s="74">
        <v>0.19500000000000001</v>
      </c>
      <c r="F15" s="74">
        <v>0.185</v>
      </c>
      <c r="G15" s="16">
        <f t="shared" si="0"/>
        <v>3.1251734665556481</v>
      </c>
      <c r="H15" s="19">
        <f t="shared" si="1"/>
        <v>0.10706245640847033</v>
      </c>
    </row>
    <row r="16" spans="1:8">
      <c r="A16" s="66">
        <v>8</v>
      </c>
      <c r="B16" s="64">
        <v>11.333333333333334</v>
      </c>
      <c r="C16" s="16">
        <v>1</v>
      </c>
      <c r="D16" s="19">
        <v>0.29599999999999999</v>
      </c>
      <c r="E16" s="19">
        <v>0.309</v>
      </c>
      <c r="F16" s="19">
        <v>0.29699999999999999</v>
      </c>
      <c r="G16" s="16">
        <f t="shared" si="0"/>
        <v>5.0069386622259229</v>
      </c>
      <c r="H16" s="19">
        <f t="shared" si="1"/>
        <v>0.12046924459733957</v>
      </c>
    </row>
    <row r="17" spans="1:8">
      <c r="A17" s="66">
        <v>9</v>
      </c>
      <c r="B17" s="64">
        <v>12.666666666666666</v>
      </c>
      <c r="C17" s="16">
        <v>1</v>
      </c>
      <c r="D17" s="19">
        <v>0.53300000000000003</v>
      </c>
      <c r="E17" s="19">
        <v>0.53700000000000003</v>
      </c>
      <c r="F17" s="19">
        <v>0.54200000000000004</v>
      </c>
      <c r="G17" s="16">
        <f t="shared" si="0"/>
        <v>8.9480988065500977</v>
      </c>
      <c r="H17" s="19">
        <f t="shared" si="1"/>
        <v>7.509158622519399E-2</v>
      </c>
    </row>
    <row r="18" spans="1:8">
      <c r="A18" s="66">
        <v>10</v>
      </c>
      <c r="B18" s="64">
        <v>14</v>
      </c>
      <c r="C18" s="16">
        <v>1</v>
      </c>
      <c r="D18" s="19">
        <v>1.0609999999999999</v>
      </c>
      <c r="E18" s="19">
        <v>1.0880000000000001</v>
      </c>
      <c r="F18" s="19">
        <v>1.075</v>
      </c>
      <c r="G18" s="16">
        <f t="shared" ref="G18:G23" si="2">(C18*1000*AVERAGE(D18:F18))/$B$2</f>
        <v>17.896197613100195</v>
      </c>
      <c r="H18" s="19">
        <f t="shared" ref="H18:H23" si="3">(C18*1000*STDEV(D18:F18))/$B$2</f>
        <v>0.22486404774387114</v>
      </c>
    </row>
    <row r="19" spans="1:8">
      <c r="A19" s="66">
        <v>11</v>
      </c>
      <c r="B19" s="64">
        <v>15.333333333333334</v>
      </c>
      <c r="C19" s="16">
        <v>1</v>
      </c>
      <c r="D19" s="19">
        <v>1.5569999999999999</v>
      </c>
      <c r="E19" s="19">
        <v>1.5720000000000001</v>
      </c>
      <c r="F19" s="19">
        <v>1.5609999999999999</v>
      </c>
      <c r="G19" s="16">
        <f t="shared" si="2"/>
        <v>26.033860671662502</v>
      </c>
      <c r="H19" s="19">
        <f t="shared" si="3"/>
        <v>0.12934976628066774</v>
      </c>
    </row>
    <row r="20" spans="1:8">
      <c r="A20" s="66">
        <v>12</v>
      </c>
      <c r="B20" s="64">
        <v>16.666666666666668</v>
      </c>
      <c r="C20" s="16">
        <v>1</v>
      </c>
      <c r="D20" s="19">
        <v>2.161</v>
      </c>
      <c r="E20" s="19">
        <v>2.2559999999999998</v>
      </c>
      <c r="F20" s="19">
        <v>2.1760000000000002</v>
      </c>
      <c r="G20" s="16">
        <f t="shared" si="2"/>
        <v>36.597280044407441</v>
      </c>
      <c r="H20" s="19">
        <f t="shared" si="3"/>
        <v>0.85048867310821608</v>
      </c>
    </row>
    <row r="21" spans="1:8">
      <c r="A21" s="66">
        <v>13</v>
      </c>
      <c r="B21" s="64">
        <v>18</v>
      </c>
      <c r="C21" s="16">
        <v>1</v>
      </c>
      <c r="D21" s="19">
        <v>2.7770000000000001</v>
      </c>
      <c r="E21" s="19">
        <v>2.83</v>
      </c>
      <c r="F21" s="19">
        <v>2.879</v>
      </c>
      <c r="G21" s="16">
        <f t="shared" si="2"/>
        <v>47.105190119344996</v>
      </c>
      <c r="H21" s="19">
        <f t="shared" si="3"/>
        <v>0.84950991208350213</v>
      </c>
    </row>
    <row r="22" spans="1:8">
      <c r="A22" s="66">
        <v>14</v>
      </c>
      <c r="B22" s="64">
        <v>24</v>
      </c>
      <c r="C22" s="16">
        <v>1</v>
      </c>
      <c r="D22" s="19">
        <v>3.629</v>
      </c>
      <c r="E22" s="19">
        <v>3.673</v>
      </c>
      <c r="F22" s="19">
        <v>3.7069999999999999</v>
      </c>
      <c r="G22" s="16">
        <f t="shared" si="2"/>
        <v>61.110185956147653</v>
      </c>
      <c r="H22" s="19">
        <f t="shared" si="3"/>
        <v>0.6512354982431281</v>
      </c>
    </row>
    <row r="23" spans="1:8">
      <c r="A23" s="66">
        <v>15</v>
      </c>
      <c r="B23" s="64">
        <v>30</v>
      </c>
      <c r="C23" s="16">
        <v>1</v>
      </c>
      <c r="D23" s="19">
        <v>3.6469999999999998</v>
      </c>
      <c r="E23" s="19">
        <v>3.7090000000000001</v>
      </c>
      <c r="F23" s="19">
        <v>3.7589999999999999</v>
      </c>
      <c r="G23" s="16">
        <f t="shared" si="2"/>
        <v>61.698584512905917</v>
      </c>
      <c r="H23" s="19">
        <f t="shared" si="3"/>
        <v>0.93433872700120257</v>
      </c>
    </row>
    <row r="24" spans="1:8">
      <c r="A24" s="66">
        <v>16</v>
      </c>
      <c r="B24" s="64">
        <v>48</v>
      </c>
      <c r="C24" s="16">
        <v>1</v>
      </c>
      <c r="D24" s="19">
        <v>3.6259999999999999</v>
      </c>
      <c r="E24" s="19">
        <v>3.7210000000000001</v>
      </c>
      <c r="F24" s="19">
        <v>3.681</v>
      </c>
      <c r="G24" s="16">
        <f t="shared" ref="G24" si="4">(C24*1000*AVERAGE(D24:F24))/$B$2</f>
        <v>61.21565362198168</v>
      </c>
      <c r="H24" s="19">
        <f t="shared" ref="H24" si="5">(C24*1000*STDEV(D24:F24))/$B$2</f>
        <v>0.79428742832385335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27" sqref="H27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29" t="s">
        <v>4</v>
      </c>
      <c r="B1" s="129" t="s">
        <v>117</v>
      </c>
      <c r="C1" s="129" t="s">
        <v>117</v>
      </c>
      <c r="D1" s="129" t="s">
        <v>5</v>
      </c>
      <c r="E1" s="4" t="s">
        <v>7</v>
      </c>
      <c r="F1" s="4" t="s">
        <v>9</v>
      </c>
      <c r="G1" s="128" t="s">
        <v>11</v>
      </c>
      <c r="H1" s="128" t="s">
        <v>12</v>
      </c>
      <c r="I1" s="4" t="s">
        <v>13</v>
      </c>
      <c r="J1" s="4" t="s">
        <v>16</v>
      </c>
      <c r="K1" s="4" t="s">
        <v>16</v>
      </c>
    </row>
    <row r="2" spans="1:11">
      <c r="A2" s="130"/>
      <c r="B2" s="130"/>
      <c r="C2" s="130"/>
      <c r="D2" s="130"/>
      <c r="E2" s="5" t="s">
        <v>8</v>
      </c>
      <c r="F2" s="5" t="s">
        <v>10</v>
      </c>
      <c r="G2" s="128"/>
      <c r="H2" s="128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58</v>
      </c>
      <c r="F3" s="1">
        <f>E3</f>
        <v>58</v>
      </c>
      <c r="G3" s="1">
        <v>0</v>
      </c>
      <c r="H3" s="1">
        <v>3</v>
      </c>
      <c r="I3" s="1">
        <f>$F$22+G3+H3</f>
        <v>1503</v>
      </c>
      <c r="J3" s="13">
        <f>F3*1500/I3</f>
        <v>57.884231536926144</v>
      </c>
      <c r="K3" s="13">
        <f>$F$23-J3</f>
        <v>1524.6457684630739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52</v>
      </c>
      <c r="F4" s="1">
        <f>E4+F3</f>
        <v>110</v>
      </c>
      <c r="G4" s="40">
        <v>0</v>
      </c>
      <c r="H4" s="40">
        <v>3</v>
      </c>
      <c r="I4" s="1">
        <f t="shared" ref="I4:I20" si="1">$F$23-F3+G4+H4</f>
        <v>1527.53</v>
      </c>
      <c r="J4" s="13">
        <f>E4*K3/I4</f>
        <v>51.901815322828249</v>
      </c>
      <c r="K4" s="13">
        <f>K3-J4</f>
        <v>1472.7439531402456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56</v>
      </c>
      <c r="F5" s="1">
        <f t="shared" ref="F5:F18" si="2">E5+F4</f>
        <v>166</v>
      </c>
      <c r="G5" s="40">
        <v>0</v>
      </c>
      <c r="H5" s="40">
        <v>3</v>
      </c>
      <c r="I5" s="40">
        <f>$F$23-F4+G5+H5</f>
        <v>1475.53</v>
      </c>
      <c r="J5" s="13">
        <f>E5*K4/I5</f>
        <v>55.894262655353508</v>
      </c>
      <c r="K5" s="13">
        <f>K4-J5</f>
        <v>1416.8496904848921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62</v>
      </c>
      <c r="F6" s="1">
        <f t="shared" si="2"/>
        <v>228</v>
      </c>
      <c r="G6" s="40">
        <v>0</v>
      </c>
      <c r="H6" s="40">
        <v>3</v>
      </c>
      <c r="I6" s="40">
        <f t="shared" si="1"/>
        <v>1419.53</v>
      </c>
      <c r="J6" s="13">
        <f>E6*K5/I6</f>
        <v>61.882933654141375</v>
      </c>
      <c r="K6" s="13">
        <f t="shared" ref="K6:K13" si="3">K5-J6</f>
        <v>1354.9667568307507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54</v>
      </c>
      <c r="F7" s="1">
        <f t="shared" si="2"/>
        <v>282</v>
      </c>
      <c r="G7" s="40">
        <v>0</v>
      </c>
      <c r="H7" s="40">
        <v>3</v>
      </c>
      <c r="I7" s="40">
        <f t="shared" si="1"/>
        <v>1357.53</v>
      </c>
      <c r="J7" s="13">
        <f>E7*K6/I7</f>
        <v>53.898038989090878</v>
      </c>
      <c r="K7" s="13">
        <f>K6-J7</f>
        <v>1301.0687178416597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46</v>
      </c>
      <c r="F8" s="1">
        <f t="shared" si="2"/>
        <v>328</v>
      </c>
      <c r="G8" s="40">
        <v>0</v>
      </c>
      <c r="H8" s="40">
        <v>3</v>
      </c>
      <c r="I8" s="40">
        <f t="shared" si="1"/>
        <v>1303.53</v>
      </c>
      <c r="J8" s="13">
        <f t="shared" ref="J8:J13" si="5">E8*K7/I8</f>
        <v>45.913144324040374</v>
      </c>
      <c r="K8" s="13">
        <f t="shared" si="3"/>
        <v>1255.1555735176194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57</v>
      </c>
      <c r="F9" s="1">
        <f t="shared" si="2"/>
        <v>385</v>
      </c>
      <c r="G9" s="40">
        <v>1</v>
      </c>
      <c r="H9" s="40">
        <v>3</v>
      </c>
      <c r="I9" s="40">
        <f t="shared" si="1"/>
        <v>1258.53</v>
      </c>
      <c r="J9" s="13">
        <f t="shared" si="5"/>
        <v>56.847169070665231</v>
      </c>
      <c r="K9" s="13">
        <f t="shared" si="3"/>
        <v>1198.3084044469542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56</v>
      </c>
      <c r="F10" s="1">
        <f t="shared" si="2"/>
        <v>441</v>
      </c>
      <c r="G10" s="40">
        <v>3</v>
      </c>
      <c r="H10" s="40">
        <v>3</v>
      </c>
      <c r="I10" s="40">
        <f t="shared" si="1"/>
        <v>1203.53</v>
      </c>
      <c r="J10" s="13">
        <f t="shared" si="5"/>
        <v>55.757040247463244</v>
      </c>
      <c r="K10" s="13">
        <f t="shared" si="3"/>
        <v>1142.551364199491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52</v>
      </c>
      <c r="F11" s="1">
        <f t="shared" si="2"/>
        <v>493</v>
      </c>
      <c r="G11" s="40">
        <v>7</v>
      </c>
      <c r="H11" s="40">
        <v>3</v>
      </c>
      <c r="I11" s="40">
        <f t="shared" si="1"/>
        <v>1151.53</v>
      </c>
      <c r="J11" s="13">
        <f t="shared" si="5"/>
        <v>51.594548937824918</v>
      </c>
      <c r="K11" s="13">
        <f t="shared" si="3"/>
        <v>1090.9568152616662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45</v>
      </c>
      <c r="F12" s="1">
        <f t="shared" si="2"/>
        <v>538</v>
      </c>
      <c r="G12" s="40">
        <v>12</v>
      </c>
      <c r="H12" s="40">
        <v>3</v>
      </c>
      <c r="I12" s="40">
        <f t="shared" si="1"/>
        <v>1104.53</v>
      </c>
      <c r="J12" s="13">
        <f t="shared" si="5"/>
        <v>44.447010662249987</v>
      </c>
      <c r="K12" s="13">
        <f t="shared" si="3"/>
        <v>1046.5098045994162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56</v>
      </c>
      <c r="F13" s="1">
        <f t="shared" si="2"/>
        <v>594</v>
      </c>
      <c r="G13" s="40">
        <v>18</v>
      </c>
      <c r="H13" s="40">
        <v>3</v>
      </c>
      <c r="I13" s="40">
        <f t="shared" si="1"/>
        <v>1065.53</v>
      </c>
      <c r="J13" s="13">
        <f t="shared" si="5"/>
        <v>55.000374515562491</v>
      </c>
      <c r="K13" s="13">
        <f t="shared" si="3"/>
        <v>991.50943008385366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55</v>
      </c>
      <c r="F14" s="37">
        <f t="shared" si="2"/>
        <v>649</v>
      </c>
      <c r="G14" s="40">
        <v>28</v>
      </c>
      <c r="H14" s="40">
        <v>3</v>
      </c>
      <c r="I14" s="40">
        <f t="shared" si="1"/>
        <v>1019.53</v>
      </c>
      <c r="J14" s="13">
        <f t="shared" ref="J14:J19" si="6">E14*K13/I14</f>
        <v>53.488390390289595</v>
      </c>
      <c r="K14" s="13">
        <f t="shared" ref="K14:K19" si="7">K13-J14</f>
        <v>938.02103969356403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1">
        <v>52</v>
      </c>
      <c r="F15" s="37">
        <f t="shared" si="2"/>
        <v>701</v>
      </c>
      <c r="G15" s="40">
        <v>35</v>
      </c>
      <c r="H15" s="40">
        <v>3</v>
      </c>
      <c r="I15" s="40">
        <f t="shared" si="1"/>
        <v>971.53</v>
      </c>
      <c r="J15" s="13">
        <f t="shared" si="6"/>
        <v>50.206472331338539</v>
      </c>
      <c r="K15" s="13">
        <f t="shared" si="7"/>
        <v>887.81456736222549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57</v>
      </c>
      <c r="F16" s="37">
        <f t="shared" si="2"/>
        <v>758</v>
      </c>
      <c r="G16" s="40">
        <v>43</v>
      </c>
      <c r="H16" s="40">
        <v>3</v>
      </c>
      <c r="I16" s="40">
        <f t="shared" si="1"/>
        <v>927.53</v>
      </c>
      <c r="J16" s="13">
        <f t="shared" si="6"/>
        <v>54.559346155538748</v>
      </c>
      <c r="K16" s="13">
        <f t="shared" si="7"/>
        <v>833.25522120668677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54</v>
      </c>
      <c r="F17" s="37">
        <f t="shared" si="2"/>
        <v>812</v>
      </c>
      <c r="G17" s="40">
        <v>48</v>
      </c>
      <c r="H17" s="40">
        <v>3</v>
      </c>
      <c r="I17" s="40">
        <f t="shared" si="1"/>
        <v>875.53</v>
      </c>
      <c r="J17" s="13">
        <f t="shared" si="6"/>
        <v>51.392621549417022</v>
      </c>
      <c r="K17" s="13">
        <f t="shared" si="7"/>
        <v>781.8625996572697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62</v>
      </c>
      <c r="F18" s="37">
        <f t="shared" si="2"/>
        <v>874</v>
      </c>
      <c r="G18" s="40">
        <v>54</v>
      </c>
      <c r="H18" s="40">
        <v>4</v>
      </c>
      <c r="I18" s="40">
        <f t="shared" si="1"/>
        <v>828.53</v>
      </c>
      <c r="J18" s="13">
        <f t="shared" si="6"/>
        <v>58.507816468626025</v>
      </c>
      <c r="K18" s="13">
        <f t="shared" si="7"/>
        <v>723.35478318864364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53</v>
      </c>
      <c r="F19" s="37">
        <f>E19+F18</f>
        <v>927</v>
      </c>
      <c r="G19" s="40">
        <v>55</v>
      </c>
      <c r="H19" s="40">
        <v>6</v>
      </c>
      <c r="I19" s="40">
        <f t="shared" si="1"/>
        <v>769.53</v>
      </c>
      <c r="J19" s="13">
        <f t="shared" si="6"/>
        <v>49.819764673239661</v>
      </c>
      <c r="K19" s="13">
        <f t="shared" si="7"/>
        <v>673.53501851540398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91</v>
      </c>
      <c r="F20" s="40">
        <f t="shared" ref="F20" si="8">E20+F19</f>
        <v>1018</v>
      </c>
      <c r="G20" s="40">
        <v>55</v>
      </c>
      <c r="H20" s="40">
        <v>6</v>
      </c>
      <c r="I20" s="40">
        <f t="shared" si="1"/>
        <v>716.53</v>
      </c>
      <c r="J20" s="13">
        <f t="shared" ref="J20" si="9">E20*K19/I20</f>
        <v>85.539595948392616</v>
      </c>
      <c r="K20" s="13">
        <f t="shared" ref="K20" si="10">K19-J20</f>
        <v>587.99542256701136</v>
      </c>
    </row>
    <row r="22" spans="1:11">
      <c r="A22" s="125" t="s">
        <v>15</v>
      </c>
      <c r="B22" s="126"/>
      <c r="C22" s="126"/>
      <c r="D22" s="126"/>
      <c r="E22" s="127"/>
      <c r="F22" s="1">
        <v>1500</v>
      </c>
    </row>
    <row r="23" spans="1:11">
      <c r="A23" s="125" t="s">
        <v>15</v>
      </c>
      <c r="B23" s="126"/>
      <c r="C23" s="126"/>
      <c r="D23" s="126"/>
      <c r="E23" s="127"/>
      <c r="F23" s="40">
        <f>F22+75+0.73+6.8</f>
        <v>1582.53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7" t="s">
        <v>67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B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7" t="s">
        <v>66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1</v>
      </c>
      <c r="D7" s="80">
        <v>0</v>
      </c>
      <c r="E7" s="80">
        <v>0</v>
      </c>
      <c r="F7" s="80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1</v>
      </c>
      <c r="D8" s="80">
        <v>0</v>
      </c>
      <c r="E8" s="80">
        <v>0</v>
      </c>
      <c r="F8" s="80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6">
        <v>1</v>
      </c>
      <c r="B9" s="64">
        <v>2</v>
      </c>
      <c r="C9" s="16">
        <v>1</v>
      </c>
      <c r="D9" s="80">
        <v>0</v>
      </c>
      <c r="E9" s="80">
        <v>0</v>
      </c>
      <c r="F9" s="80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6">
        <v>2</v>
      </c>
      <c r="B10" s="64">
        <v>3.3333333333333335</v>
      </c>
      <c r="C10" s="16">
        <v>1</v>
      </c>
      <c r="D10" s="80">
        <v>0</v>
      </c>
      <c r="E10" s="80">
        <v>0</v>
      </c>
      <c r="F10" s="80">
        <v>0</v>
      </c>
      <c r="G10" s="16">
        <f t="shared" si="1"/>
        <v>0</v>
      </c>
      <c r="H10" s="19">
        <f t="shared" si="0"/>
        <v>0</v>
      </c>
    </row>
    <row r="11" spans="1:8">
      <c r="A11" s="66">
        <v>3</v>
      </c>
      <c r="B11" s="64">
        <v>4.666666666666667</v>
      </c>
      <c r="C11" s="16">
        <v>1</v>
      </c>
      <c r="D11" s="55">
        <v>8.9999999999999993E-3</v>
      </c>
      <c r="E11" s="55">
        <v>2E-3</v>
      </c>
      <c r="F11" s="55">
        <v>5.0000000000000001E-3</v>
      </c>
      <c r="G11" s="16">
        <f t="shared" si="1"/>
        <v>6.053039760904929E-2</v>
      </c>
      <c r="H11" s="19">
        <f t="shared" si="0"/>
        <v>3.9857956920715538E-2</v>
      </c>
    </row>
    <row r="12" spans="1:8">
      <c r="A12" s="66">
        <v>4</v>
      </c>
      <c r="B12" s="64">
        <v>6</v>
      </c>
      <c r="C12" s="16">
        <v>1</v>
      </c>
      <c r="D12" s="55">
        <v>1.2999999999999999E-2</v>
      </c>
      <c r="E12" s="55">
        <v>1.4E-2</v>
      </c>
      <c r="F12" s="55">
        <v>1.2E-2</v>
      </c>
      <c r="G12" s="16">
        <f t="shared" si="1"/>
        <v>0.14754284417205765</v>
      </c>
      <c r="H12" s="19">
        <f t="shared" si="0"/>
        <v>1.1349449551696743E-2</v>
      </c>
    </row>
    <row r="13" spans="1:8">
      <c r="A13" s="66">
        <v>5</v>
      </c>
      <c r="B13" s="64">
        <v>7.333333333333333</v>
      </c>
      <c r="C13" s="16">
        <v>1</v>
      </c>
      <c r="D13" s="55">
        <v>3.5999999999999997E-2</v>
      </c>
      <c r="E13" s="55">
        <v>3.5999999999999997E-2</v>
      </c>
      <c r="F13" s="55">
        <v>3.5999999999999997E-2</v>
      </c>
      <c r="G13" s="16">
        <f t="shared" si="1"/>
        <v>0.40858018386108275</v>
      </c>
      <c r="H13" s="19">
        <f t="shared" si="0"/>
        <v>0</v>
      </c>
    </row>
    <row r="14" spans="1:8">
      <c r="A14" s="66">
        <v>6</v>
      </c>
      <c r="B14" s="64">
        <v>8.6666666666666661</v>
      </c>
      <c r="C14" s="16">
        <v>1</v>
      </c>
      <c r="D14" s="55">
        <v>0.125</v>
      </c>
      <c r="E14" s="55">
        <v>0.125</v>
      </c>
      <c r="F14" s="55">
        <v>0.124</v>
      </c>
      <c r="G14" s="16">
        <f t="shared" si="1"/>
        <v>1.4148980441115271</v>
      </c>
      <c r="H14" s="19">
        <f t="shared" si="0"/>
        <v>6.5526077538261979E-3</v>
      </c>
    </row>
    <row r="15" spans="1:8">
      <c r="A15" s="66">
        <v>7</v>
      </c>
      <c r="B15" s="64">
        <v>10</v>
      </c>
      <c r="C15" s="16">
        <v>1</v>
      </c>
      <c r="D15" s="55">
        <v>0.32600000000000001</v>
      </c>
      <c r="E15" s="55">
        <v>0.32500000000000001</v>
      </c>
      <c r="F15" s="55">
        <v>0.32600000000000001</v>
      </c>
      <c r="G15" s="16">
        <f t="shared" si="1"/>
        <v>3.6961374040025734</v>
      </c>
      <c r="H15" s="19">
        <f t="shared" si="0"/>
        <v>6.5526077538261979E-3</v>
      </c>
    </row>
    <row r="16" spans="1:8">
      <c r="A16" s="66">
        <v>8</v>
      </c>
      <c r="B16" s="64">
        <v>11.333333333333334</v>
      </c>
      <c r="C16" s="16">
        <v>1</v>
      </c>
      <c r="D16" s="56">
        <v>0.57399999999999995</v>
      </c>
      <c r="E16" s="56">
        <v>0.58499999999999996</v>
      </c>
      <c r="F16" s="56">
        <v>0.58299999999999996</v>
      </c>
      <c r="G16" s="16">
        <f t="shared" si="1"/>
        <v>6.5902470396852406</v>
      </c>
      <c r="H16" s="19">
        <f t="shared" si="0"/>
        <v>6.6501705562164573E-2</v>
      </c>
    </row>
    <row r="17" spans="1:8">
      <c r="A17" s="66">
        <v>9</v>
      </c>
      <c r="B17" s="64">
        <v>12.666666666666666</v>
      </c>
      <c r="C17" s="16">
        <v>1</v>
      </c>
      <c r="D17" s="56">
        <v>0.91400000000000003</v>
      </c>
      <c r="E17" s="56">
        <v>0.90600000000000003</v>
      </c>
      <c r="F17" s="56">
        <v>0.92</v>
      </c>
      <c r="G17" s="16">
        <f t="shared" si="1"/>
        <v>10.365830590549693</v>
      </c>
      <c r="H17" s="19">
        <f t="shared" si="0"/>
        <v>7.971591384143116E-2</v>
      </c>
    </row>
    <row r="18" spans="1:8">
      <c r="A18" s="66">
        <v>10</v>
      </c>
      <c r="B18" s="64">
        <v>14</v>
      </c>
      <c r="C18" s="16">
        <v>1</v>
      </c>
      <c r="D18" s="56">
        <v>1.232</v>
      </c>
      <c r="E18" s="56">
        <v>1.2450000000000001</v>
      </c>
      <c r="F18" s="56">
        <v>1.2609999999999999</v>
      </c>
      <c r="G18" s="16">
        <f t="shared" ref="G18:G23" si="2">(C18*1000*AVERAGE(D18:F18))/$B$2</f>
        <v>14.141414141414144</v>
      </c>
      <c r="H18" s="19">
        <f t="shared" ref="H18:H23" si="3">(C18*1000*STDEV(D18:F18))/$B$2</f>
        <v>0.16486027745243334</v>
      </c>
    </row>
    <row r="19" spans="1:8">
      <c r="A19" s="66">
        <v>11</v>
      </c>
      <c r="B19" s="64">
        <v>15.333333333333334</v>
      </c>
      <c r="C19" s="16">
        <v>1</v>
      </c>
      <c r="D19" s="56">
        <v>1.514</v>
      </c>
      <c r="E19" s="56">
        <v>1.5449999999999999</v>
      </c>
      <c r="F19" s="56">
        <v>1.5349999999999999</v>
      </c>
      <c r="G19" s="16">
        <f t="shared" si="2"/>
        <v>17.379790413498281</v>
      </c>
      <c r="H19" s="19">
        <f t="shared" si="3"/>
        <v>0.17957014771393007</v>
      </c>
    </row>
    <row r="20" spans="1:8">
      <c r="A20" s="66">
        <v>12</v>
      </c>
      <c r="B20" s="64">
        <v>16.666666666666668</v>
      </c>
      <c r="C20" s="16">
        <v>1</v>
      </c>
      <c r="D20" s="56">
        <v>1.67</v>
      </c>
      <c r="E20" s="56">
        <v>1.738</v>
      </c>
      <c r="F20" s="56">
        <v>1.6819999999999999</v>
      </c>
      <c r="G20" s="16">
        <f t="shared" si="2"/>
        <v>19.256232739378806</v>
      </c>
      <c r="H20" s="19">
        <f t="shared" si="3"/>
        <v>0.41192925778583472</v>
      </c>
    </row>
    <row r="21" spans="1:8">
      <c r="A21" s="66">
        <v>13</v>
      </c>
      <c r="B21" s="64">
        <v>18</v>
      </c>
      <c r="C21" s="16">
        <v>1</v>
      </c>
      <c r="D21" s="56">
        <v>1.746</v>
      </c>
      <c r="E21" s="56">
        <v>1.78</v>
      </c>
      <c r="F21" s="56">
        <v>1.8029999999999999</v>
      </c>
      <c r="G21" s="16">
        <f t="shared" si="2"/>
        <v>20.160405553663981</v>
      </c>
      <c r="H21" s="19">
        <f t="shared" si="3"/>
        <v>0.32546084385431995</v>
      </c>
    </row>
    <row r="22" spans="1:8">
      <c r="A22" s="66">
        <v>14</v>
      </c>
      <c r="B22" s="64">
        <v>24</v>
      </c>
      <c r="C22" s="16">
        <v>1</v>
      </c>
      <c r="D22" s="56">
        <v>1.853</v>
      </c>
      <c r="E22" s="56">
        <v>1.8879999999999999</v>
      </c>
      <c r="F22" s="56">
        <v>1.887</v>
      </c>
      <c r="G22" s="16">
        <f t="shared" si="2"/>
        <v>21.291567358983091</v>
      </c>
      <c r="H22" s="19">
        <f t="shared" si="3"/>
        <v>0.22613618028794982</v>
      </c>
    </row>
    <row r="23" spans="1:8">
      <c r="A23" s="66">
        <v>15</v>
      </c>
      <c r="B23" s="64">
        <v>30</v>
      </c>
      <c r="C23" s="16">
        <v>1</v>
      </c>
      <c r="D23" s="56">
        <v>1.927</v>
      </c>
      <c r="E23" s="56">
        <v>1.9890000000000001</v>
      </c>
      <c r="F23" s="56">
        <v>1.9910000000000001</v>
      </c>
      <c r="G23" s="16">
        <f t="shared" si="2"/>
        <v>22.347066167290887</v>
      </c>
      <c r="H23" s="19">
        <f t="shared" si="3"/>
        <v>0.41297027349132376</v>
      </c>
    </row>
    <row r="24" spans="1:8">
      <c r="A24" s="66">
        <v>16</v>
      </c>
      <c r="B24" s="64">
        <v>48</v>
      </c>
      <c r="C24" s="16">
        <v>1</v>
      </c>
      <c r="D24" s="56">
        <v>1.9830000000000001</v>
      </c>
      <c r="E24" s="56">
        <v>2.0419999999999998</v>
      </c>
      <c r="F24" s="56">
        <v>2.0129999999999999</v>
      </c>
      <c r="G24" s="16">
        <f t="shared" ref="G24" si="4">(C24*1000*AVERAGE(D24:F24))/$B$2</f>
        <v>22.842658797714975</v>
      </c>
      <c r="H24" s="19">
        <f t="shared" ref="H24" si="5">(C24*1000*STDEV(D24:F24))/$B$2</f>
        <v>0.33482479168729068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7" t="s">
        <v>42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1</v>
      </c>
      <c r="D7" s="42">
        <v>0.191</v>
      </c>
      <c r="E7" s="42">
        <v>0.19</v>
      </c>
      <c r="F7" s="42">
        <v>0.19</v>
      </c>
      <c r="G7" s="16">
        <f>(C7*1000*AVERAGE(D7:F7))/$B$2</f>
        <v>2.112936648904677</v>
      </c>
      <c r="H7" s="19">
        <f>(C7*1000*STDEV(D7:F7))/$B$2</f>
        <v>6.4093058302578405E-3</v>
      </c>
    </row>
    <row r="8" spans="1:8">
      <c r="A8" s="66">
        <v>0</v>
      </c>
      <c r="B8" s="64">
        <v>0.16666666666666666</v>
      </c>
      <c r="C8" s="16">
        <v>1</v>
      </c>
      <c r="D8" s="42">
        <v>0.191</v>
      </c>
      <c r="E8" s="42">
        <v>0.189</v>
      </c>
      <c r="F8" s="42">
        <v>0.19</v>
      </c>
      <c r="G8" s="16">
        <f t="shared" ref="G8:G23" si="0">(C8*1000*AVERAGE(D8:F8))/$B$2</f>
        <v>2.1092362344582596</v>
      </c>
      <c r="H8" s="19">
        <f t="shared" ref="H8:H23" si="1">(C8*1000*STDEV(D8:F8))/$B$2</f>
        <v>1.1101243339254007E-2</v>
      </c>
    </row>
    <row r="9" spans="1:8">
      <c r="A9" s="66">
        <v>1</v>
      </c>
      <c r="B9" s="64">
        <v>2</v>
      </c>
      <c r="C9" s="16">
        <v>1</v>
      </c>
      <c r="D9" s="42">
        <v>0.19</v>
      </c>
      <c r="E9" s="42">
        <v>0.189</v>
      </c>
      <c r="F9" s="42">
        <v>0.186</v>
      </c>
      <c r="G9" s="16">
        <f t="shared" si="0"/>
        <v>2.0907341622261693</v>
      </c>
      <c r="H9" s="19">
        <f t="shared" si="1"/>
        <v>2.3109080811124939E-2</v>
      </c>
    </row>
    <row r="10" spans="1:8">
      <c r="A10" s="66">
        <v>2</v>
      </c>
      <c r="B10" s="64">
        <v>3.3333333333333335</v>
      </c>
      <c r="C10" s="16">
        <v>1</v>
      </c>
      <c r="D10" s="55">
        <v>0.186</v>
      </c>
      <c r="E10" s="55">
        <v>0.192</v>
      </c>
      <c r="F10" s="55">
        <v>0.189</v>
      </c>
      <c r="G10" s="16">
        <f t="shared" si="0"/>
        <v>2.098134991119005</v>
      </c>
      <c r="H10" s="19">
        <f t="shared" si="1"/>
        <v>3.3303730017762018E-2</v>
      </c>
    </row>
    <row r="11" spans="1:8">
      <c r="A11" s="66">
        <v>3</v>
      </c>
      <c r="B11" s="64">
        <v>4.666666666666667</v>
      </c>
      <c r="C11" s="16">
        <v>1</v>
      </c>
      <c r="D11" s="55">
        <v>0.19</v>
      </c>
      <c r="E11" s="55">
        <v>0.188</v>
      </c>
      <c r="F11" s="55">
        <v>0.188</v>
      </c>
      <c r="G11" s="16">
        <f t="shared" si="0"/>
        <v>2.0944345766725876</v>
      </c>
      <c r="H11" s="19">
        <f t="shared" si="1"/>
        <v>1.2818611660515681E-2</v>
      </c>
    </row>
    <row r="12" spans="1:8">
      <c r="A12" s="66">
        <v>4</v>
      </c>
      <c r="B12" s="64">
        <v>6</v>
      </c>
      <c r="C12" s="16">
        <v>1</v>
      </c>
      <c r="D12" s="55">
        <v>0.189</v>
      </c>
      <c r="E12" s="55">
        <v>0.189</v>
      </c>
      <c r="F12" s="55">
        <v>0.189</v>
      </c>
      <c r="G12" s="16">
        <f t="shared" si="0"/>
        <v>2.098134991119005</v>
      </c>
      <c r="H12" s="19">
        <f t="shared" si="1"/>
        <v>3.7737010310571668E-16</v>
      </c>
    </row>
    <row r="13" spans="1:8">
      <c r="A13" s="66">
        <v>5</v>
      </c>
      <c r="B13" s="64">
        <v>7.333333333333333</v>
      </c>
      <c r="C13" s="16">
        <v>1</v>
      </c>
      <c r="D13" s="55">
        <v>0.191</v>
      </c>
      <c r="E13" s="55">
        <v>0.19</v>
      </c>
      <c r="F13" s="55">
        <v>0.19</v>
      </c>
      <c r="G13" s="16">
        <f t="shared" si="0"/>
        <v>2.112936648904677</v>
      </c>
      <c r="H13" s="19">
        <f t="shared" si="1"/>
        <v>6.4093058302578405E-3</v>
      </c>
    </row>
    <row r="14" spans="1:8">
      <c r="A14" s="66">
        <v>6</v>
      </c>
      <c r="B14" s="64">
        <v>8.6666666666666661</v>
      </c>
      <c r="C14" s="16">
        <v>1</v>
      </c>
      <c r="D14" s="55">
        <v>0.19400000000000001</v>
      </c>
      <c r="E14" s="55">
        <v>0.19400000000000001</v>
      </c>
      <c r="F14" s="55">
        <v>0.193</v>
      </c>
      <c r="G14" s="16">
        <f t="shared" si="0"/>
        <v>2.1499407933688572</v>
      </c>
      <c r="H14" s="19">
        <f t="shared" si="1"/>
        <v>6.4093058302578405E-3</v>
      </c>
    </row>
    <row r="15" spans="1:8">
      <c r="A15" s="66">
        <v>7</v>
      </c>
      <c r="B15" s="64">
        <v>10</v>
      </c>
      <c r="C15" s="16">
        <v>1</v>
      </c>
      <c r="D15" s="55">
        <v>0.19400000000000001</v>
      </c>
      <c r="E15" s="55">
        <v>0.193</v>
      </c>
      <c r="F15" s="55">
        <v>0.19400000000000001</v>
      </c>
      <c r="G15" s="16">
        <f t="shared" si="0"/>
        <v>2.1499407933688572</v>
      </c>
      <c r="H15" s="19">
        <f t="shared" si="1"/>
        <v>6.4093058302578405E-3</v>
      </c>
    </row>
    <row r="16" spans="1:8">
      <c r="A16" s="66">
        <v>8</v>
      </c>
      <c r="B16" s="64">
        <v>11.333333333333334</v>
      </c>
      <c r="C16" s="16">
        <v>1</v>
      </c>
      <c r="D16" s="55">
        <v>0.19400000000000001</v>
      </c>
      <c r="E16" s="55">
        <v>0.191</v>
      </c>
      <c r="F16" s="55">
        <v>0.19400000000000001</v>
      </c>
      <c r="G16" s="16">
        <f t="shared" si="0"/>
        <v>2.142539964476021</v>
      </c>
      <c r="H16" s="19">
        <f t="shared" si="1"/>
        <v>1.9227917490773523E-2</v>
      </c>
    </row>
    <row r="17" spans="1:8">
      <c r="A17" s="66">
        <v>9</v>
      </c>
      <c r="B17" s="64">
        <v>12.666666666666666</v>
      </c>
      <c r="C17" s="16">
        <v>1</v>
      </c>
      <c r="D17" s="55">
        <v>0.19500000000000001</v>
      </c>
      <c r="E17" s="55">
        <v>0.19600000000000001</v>
      </c>
      <c r="F17" s="55">
        <v>0.19500000000000001</v>
      </c>
      <c r="G17" s="16">
        <f t="shared" si="0"/>
        <v>2.1684428656009476</v>
      </c>
      <c r="H17" s="19">
        <f t="shared" si="1"/>
        <v>6.4093058302578405E-3</v>
      </c>
    </row>
    <row r="18" spans="1:8">
      <c r="A18" s="66">
        <v>10</v>
      </c>
      <c r="B18" s="64">
        <v>14</v>
      </c>
      <c r="C18" s="16">
        <v>1</v>
      </c>
      <c r="D18" s="42">
        <v>0.20799999999999999</v>
      </c>
      <c r="E18" s="42">
        <v>0.20899999999999999</v>
      </c>
      <c r="F18" s="42">
        <v>0.21</v>
      </c>
      <c r="G18" s="16">
        <f t="shared" si="0"/>
        <v>2.3201598579040854</v>
      </c>
      <c r="H18" s="19">
        <f t="shared" si="1"/>
        <v>1.1101243339254007E-2</v>
      </c>
    </row>
    <row r="19" spans="1:8">
      <c r="A19" s="66">
        <v>11</v>
      </c>
      <c r="B19" s="64">
        <v>15.333333333333334</v>
      </c>
      <c r="C19" s="16">
        <v>1</v>
      </c>
      <c r="D19" s="55">
        <v>0.19900000000000001</v>
      </c>
      <c r="E19" s="55">
        <v>0.19700000000000001</v>
      </c>
      <c r="F19" s="55">
        <v>0.19900000000000001</v>
      </c>
      <c r="G19" s="16">
        <f t="shared" si="0"/>
        <v>2.2017465956187094</v>
      </c>
      <c r="H19" s="19">
        <f t="shared" si="1"/>
        <v>1.2818611660515681E-2</v>
      </c>
    </row>
    <row r="20" spans="1:8">
      <c r="A20" s="66">
        <v>12</v>
      </c>
      <c r="B20" s="64">
        <v>16.666666666666668</v>
      </c>
      <c r="C20" s="16">
        <v>1</v>
      </c>
      <c r="D20" s="55">
        <v>0.21</v>
      </c>
      <c r="E20" s="55">
        <v>0.20899999999999999</v>
      </c>
      <c r="F20" s="55">
        <v>0.20899999999999999</v>
      </c>
      <c r="G20" s="16">
        <f t="shared" si="0"/>
        <v>2.3238602723505033</v>
      </c>
      <c r="H20" s="19">
        <f t="shared" si="1"/>
        <v>6.4093058302578405E-3</v>
      </c>
    </row>
    <row r="21" spans="1:8">
      <c r="A21" s="66">
        <v>13</v>
      </c>
      <c r="B21" s="64">
        <v>18</v>
      </c>
      <c r="C21" s="16">
        <v>1</v>
      </c>
      <c r="D21" s="55">
        <v>0.28799999999999998</v>
      </c>
      <c r="E21" s="55">
        <v>0.29099999999999998</v>
      </c>
      <c r="F21" s="55">
        <v>0.29399999999999998</v>
      </c>
      <c r="G21" s="16">
        <f t="shared" si="0"/>
        <v>3.2304618117229129</v>
      </c>
      <c r="H21" s="19">
        <f t="shared" si="1"/>
        <v>3.3303730017762018E-2</v>
      </c>
    </row>
    <row r="22" spans="1:8">
      <c r="A22" s="66">
        <v>14</v>
      </c>
      <c r="B22" s="64">
        <v>24</v>
      </c>
      <c r="C22" s="16">
        <v>1</v>
      </c>
      <c r="D22" s="55">
        <v>0.56599999999999995</v>
      </c>
      <c r="E22" s="55">
        <v>0.57399999999999995</v>
      </c>
      <c r="F22" s="55">
        <v>0.57099999999999995</v>
      </c>
      <c r="G22" s="16">
        <f t="shared" si="0"/>
        <v>6.3314091178211953</v>
      </c>
      <c r="H22" s="19">
        <f t="shared" si="1"/>
        <v>4.4865140811804878E-2</v>
      </c>
    </row>
    <row r="23" spans="1:8">
      <c r="A23" s="66">
        <v>15</v>
      </c>
      <c r="B23" s="64">
        <v>30</v>
      </c>
      <c r="C23" s="16">
        <v>1</v>
      </c>
      <c r="D23" s="55">
        <v>0.58099999999999996</v>
      </c>
      <c r="E23" s="55">
        <v>0.59399999999999997</v>
      </c>
      <c r="F23" s="55">
        <v>0.59199999999999997</v>
      </c>
      <c r="G23" s="16">
        <f t="shared" si="0"/>
        <v>6.5386323268206041</v>
      </c>
      <c r="H23" s="19">
        <f t="shared" si="1"/>
        <v>7.7708703374778046E-2</v>
      </c>
    </row>
    <row r="24" spans="1:8">
      <c r="A24" s="66">
        <v>16</v>
      </c>
      <c r="B24" s="64">
        <v>48</v>
      </c>
      <c r="C24" s="16">
        <v>1</v>
      </c>
      <c r="D24" s="55">
        <v>0.60099999999999998</v>
      </c>
      <c r="E24" s="55">
        <v>0.60899999999999999</v>
      </c>
      <c r="F24" s="55">
        <v>0.59899999999999998</v>
      </c>
      <c r="G24" s="16">
        <f t="shared" ref="G24" si="2">(C24*1000*AVERAGE(D24:F24))/$B$2</f>
        <v>6.6940497335701599</v>
      </c>
      <c r="H24" s="19">
        <f t="shared" ref="H24" si="3">(C24*1000*STDEV(D24:F24))/$B$2</f>
        <v>5.874225823855668E-2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7" t="s">
        <v>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C10" sqref="C10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51.256861436509361</v>
      </c>
      <c r="C2" s="31">
        <f>Metabolites!I4+Metabolites!I20</f>
        <v>0.82955836708412467</v>
      </c>
    </row>
    <row r="3" spans="1:5">
      <c r="A3" s="30" t="s">
        <v>183</v>
      </c>
      <c r="B3" s="31">
        <f>Metabolites!P20-Metabolites!P4</f>
        <v>63.7774771538217</v>
      </c>
      <c r="C3" s="31">
        <f>Metabolites!Q4+Metabolites!Q20</f>
        <v>1.1712243500707535</v>
      </c>
    </row>
    <row r="4" spans="1:5">
      <c r="A4" s="30" t="s">
        <v>184</v>
      </c>
      <c r="B4" s="31">
        <f>Metabolites!T4-Metabolites!T20</f>
        <v>2.8731199113601789</v>
      </c>
      <c r="C4" s="31">
        <f>Metabolites!U4+Metabolites!U20</f>
        <v>0.16999836254955913</v>
      </c>
    </row>
    <row r="5" spans="1:5">
      <c r="A5" s="30" t="s">
        <v>123</v>
      </c>
      <c r="B5" s="31">
        <f>Metabolites!L20-Metabolites!L4</f>
        <v>5.0081367833870161</v>
      </c>
      <c r="C5" s="31">
        <f>Metabolites!M20+Metabolites!M4</f>
        <v>7.3614303259174382E-2</v>
      </c>
    </row>
    <row r="6" spans="1:5">
      <c r="A6" s="30" t="s">
        <v>124</v>
      </c>
      <c r="B6" s="31">
        <f>Metabolites!L41-Metabolites!L25</f>
        <v>24.300815634506435</v>
      </c>
      <c r="C6" s="31">
        <f>Metabolites!M41+Metabolites!M25</f>
        <v>0.35619826941812904</v>
      </c>
    </row>
    <row r="7" spans="1:5">
      <c r="A7" s="30" t="s">
        <v>80</v>
      </c>
      <c r="B7" s="31">
        <f>'H2'!G101</f>
        <v>79.112634556883691</v>
      </c>
    </row>
    <row r="8" spans="1:5">
      <c r="A8" s="30" t="s">
        <v>81</v>
      </c>
      <c r="B8" s="31">
        <f>'CO2'!G101</f>
        <v>51.042979219979479</v>
      </c>
    </row>
    <row r="9" spans="1:5">
      <c r="A9" s="30" t="s">
        <v>125</v>
      </c>
      <c r="B9" s="31">
        <f>Calculation!G20*1.5/1000</f>
        <v>8.2500000000000004E-2</v>
      </c>
    </row>
    <row r="10" spans="1:5" ht="16">
      <c r="A10" s="30" t="s">
        <v>126</v>
      </c>
      <c r="B10" s="31">
        <f>Calculation!H20*1.5/1000</f>
        <v>8.9999999999999993E-3</v>
      </c>
    </row>
    <row r="12" spans="1:5">
      <c r="A12" s="30" t="s">
        <v>82</v>
      </c>
      <c r="B12" s="68">
        <f>((4*$B$6)+(3*$B$5)+(2*$B$3)+(B8))/((6*$B$2)+($B$4))</f>
        <v>0.93689503725055734</v>
      </c>
    </row>
    <row r="14" spans="1:5">
      <c r="A14" s="59"/>
      <c r="B14" s="59"/>
      <c r="C14" s="59" t="s">
        <v>127</v>
      </c>
      <c r="D14" s="59" t="s">
        <v>128</v>
      </c>
    </row>
    <row r="15" spans="1:5">
      <c r="A15" s="59" t="s">
        <v>157</v>
      </c>
      <c r="B15" s="59" t="s">
        <v>129</v>
      </c>
      <c r="C15" s="60">
        <f>B2</f>
        <v>51.256861436509361</v>
      </c>
      <c r="D15" s="60">
        <f>B2</f>
        <v>51.256861436509361</v>
      </c>
      <c r="E15" s="59"/>
    </row>
    <row r="16" spans="1:5">
      <c r="A16" s="59" t="s">
        <v>130</v>
      </c>
      <c r="B16" s="59" t="s">
        <v>131</v>
      </c>
      <c r="C16" s="60">
        <f>2*C15</f>
        <v>102.51372287301872</v>
      </c>
      <c r="D16" s="60">
        <f>2*B2</f>
        <v>102.51372287301872</v>
      </c>
      <c r="E16" s="59"/>
    </row>
    <row r="17" spans="1:5">
      <c r="A17" s="59" t="s">
        <v>132</v>
      </c>
      <c r="B17" s="59" t="s">
        <v>133</v>
      </c>
      <c r="C17" s="60">
        <f>B5</f>
        <v>5.0081367833870161</v>
      </c>
      <c r="D17" s="60">
        <f>B5</f>
        <v>5.0081367833870161</v>
      </c>
      <c r="E17" s="59"/>
    </row>
    <row r="18" spans="1:5">
      <c r="A18" s="59" t="s">
        <v>134</v>
      </c>
      <c r="B18" s="59" t="s">
        <v>135</v>
      </c>
      <c r="C18" s="60">
        <f>B4</f>
        <v>2.8731199113601789</v>
      </c>
      <c r="D18" s="60">
        <f>B4</f>
        <v>2.8731199113601789</v>
      </c>
      <c r="E18" s="59"/>
    </row>
    <row r="19" spans="1:5">
      <c r="A19" s="59" t="s">
        <v>158</v>
      </c>
      <c r="B19" s="59" t="s">
        <v>136</v>
      </c>
      <c r="C19" s="77">
        <f>C16-C17-C18</f>
        <v>94.632466178271528</v>
      </c>
      <c r="D19" s="77">
        <f>B8</f>
        <v>51.042979219979479</v>
      </c>
      <c r="E19" s="59"/>
    </row>
    <row r="20" spans="1:5">
      <c r="A20" s="59" t="s">
        <v>156</v>
      </c>
      <c r="B20" s="59" t="s">
        <v>156</v>
      </c>
      <c r="C20" s="67">
        <f>C16-C17</f>
        <v>97.505586089631706</v>
      </c>
      <c r="D20" s="67"/>
      <c r="E20" s="59"/>
    </row>
    <row r="21" spans="1:5">
      <c r="A21" s="59" t="s">
        <v>159</v>
      </c>
      <c r="B21" s="59" t="s">
        <v>137</v>
      </c>
      <c r="C21" s="60">
        <f>B3</f>
        <v>63.7774771538217</v>
      </c>
      <c r="D21" s="60">
        <f>B3</f>
        <v>63.7774771538217</v>
      </c>
      <c r="E21" s="59"/>
    </row>
    <row r="22" spans="1:5">
      <c r="A22" s="59" t="s">
        <v>160</v>
      </c>
      <c r="B22" s="59" t="s">
        <v>139</v>
      </c>
      <c r="C22" s="60">
        <f>C16-C17+C21</f>
        <v>161.2830632434534</v>
      </c>
      <c r="D22" s="60">
        <f>B6</f>
        <v>24.300815634506435</v>
      </c>
      <c r="E22" s="59"/>
    </row>
    <row r="23" spans="1:5">
      <c r="A23" s="59" t="s">
        <v>161</v>
      </c>
      <c r="B23" s="59" t="s">
        <v>140</v>
      </c>
      <c r="C23" s="77">
        <f>C22/2</f>
        <v>80.641531621726699</v>
      </c>
      <c r="D23" s="77">
        <f>B6</f>
        <v>24.300815634506435</v>
      </c>
      <c r="E23" s="59"/>
    </row>
    <row r="24" spans="1:5">
      <c r="A24" t="s">
        <v>152</v>
      </c>
      <c r="B24" t="s">
        <v>153</v>
      </c>
      <c r="C24" s="31">
        <f>C20-C21</f>
        <v>33.728108935810006</v>
      </c>
      <c r="D24" s="31"/>
      <c r="E24" s="59"/>
    </row>
    <row r="25" spans="1:5">
      <c r="A25" t="s">
        <v>154</v>
      </c>
      <c r="B25" t="s">
        <v>155</v>
      </c>
      <c r="C25" s="76">
        <f>C24-C18</f>
        <v>30.854989024449829</v>
      </c>
      <c r="D25" s="76">
        <f>B7</f>
        <v>79.112634556883691</v>
      </c>
      <c r="E25" s="59"/>
    </row>
    <row r="26" spans="1:5">
      <c r="A26" s="59"/>
      <c r="B26" s="59"/>
      <c r="C26" s="59"/>
      <c r="D26" s="59"/>
      <c r="E26" s="59"/>
    </row>
    <row r="27" spans="1:5">
      <c r="A27" s="59"/>
      <c r="B27" s="59"/>
      <c r="C27" s="59"/>
      <c r="D27" s="59"/>
      <c r="E27" s="59"/>
    </row>
    <row r="28" spans="1:5">
      <c r="A28" s="59"/>
      <c r="B28" s="59"/>
      <c r="C28" s="59"/>
      <c r="D28" s="59"/>
      <c r="E28" s="59"/>
    </row>
    <row r="29" spans="1:5">
      <c r="C29" s="59"/>
      <c r="D29" s="59"/>
      <c r="E29" s="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9" t="s">
        <v>4</v>
      </c>
      <c r="B1" s="129" t="s">
        <v>117</v>
      </c>
      <c r="C1" s="129" t="s">
        <v>117</v>
      </c>
      <c r="D1" s="129" t="s">
        <v>5</v>
      </c>
      <c r="E1" s="134" t="s">
        <v>18</v>
      </c>
      <c r="F1" s="134"/>
      <c r="G1" s="134"/>
      <c r="H1" s="134"/>
      <c r="I1" s="134" t="s">
        <v>20</v>
      </c>
      <c r="J1" s="134"/>
      <c r="K1" s="134"/>
      <c r="L1" s="134"/>
      <c r="M1" s="134" t="s">
        <v>21</v>
      </c>
      <c r="N1" s="134"/>
      <c r="O1" s="134"/>
      <c r="P1" s="134"/>
      <c r="Q1" s="38" t="s">
        <v>22</v>
      </c>
      <c r="R1" s="38" t="s">
        <v>22</v>
      </c>
      <c r="S1" s="38" t="s">
        <v>22</v>
      </c>
    </row>
    <row r="2" spans="1:19">
      <c r="A2" s="130"/>
      <c r="B2" s="130"/>
      <c r="C2" s="130"/>
      <c r="D2" s="130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Q3" s="131"/>
      <c r="R3" s="132"/>
      <c r="S3" s="133"/>
    </row>
    <row r="4" spans="1:19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3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3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3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3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3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3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3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3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3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3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3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3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M25" sqref="M2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29" t="s">
        <v>4</v>
      </c>
      <c r="B1" s="129" t="s">
        <v>117</v>
      </c>
      <c r="C1" s="129" t="s">
        <v>117</v>
      </c>
      <c r="D1" s="129" t="s">
        <v>5</v>
      </c>
      <c r="E1" s="128" t="s">
        <v>119</v>
      </c>
      <c r="F1" s="128"/>
      <c r="G1" s="128"/>
      <c r="H1" s="128"/>
      <c r="I1" s="128" t="s">
        <v>120</v>
      </c>
      <c r="J1" s="128"/>
      <c r="K1" s="128"/>
      <c r="L1" s="128"/>
      <c r="M1" s="128" t="s">
        <v>121</v>
      </c>
      <c r="N1" s="128"/>
      <c r="O1" s="128"/>
      <c r="P1" s="128"/>
      <c r="Q1" s="24" t="s">
        <v>122</v>
      </c>
      <c r="R1" s="24" t="s">
        <v>122</v>
      </c>
      <c r="S1" s="24" t="s">
        <v>122</v>
      </c>
      <c r="T1" s="57" t="s">
        <v>122</v>
      </c>
      <c r="U1" s="72" t="s">
        <v>119</v>
      </c>
      <c r="V1" s="72" t="s">
        <v>120</v>
      </c>
      <c r="W1" s="72" t="s">
        <v>121</v>
      </c>
      <c r="X1" s="72" t="s">
        <v>122</v>
      </c>
    </row>
    <row r="2" spans="1:24">
      <c r="A2" s="130"/>
      <c r="B2" s="130"/>
      <c r="C2" s="130"/>
      <c r="D2" s="130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8" t="s">
        <v>138</v>
      </c>
      <c r="U2" s="73" t="s">
        <v>148</v>
      </c>
      <c r="V2" s="73" t="s">
        <v>148</v>
      </c>
      <c r="W2" s="73" t="s">
        <v>148</v>
      </c>
      <c r="X2" s="73" t="s">
        <v>149</v>
      </c>
    </row>
    <row r="3" spans="1:24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5" t="s">
        <v>101</v>
      </c>
      <c r="R3" s="136"/>
      <c r="S3" s="137"/>
      <c r="T3" s="71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1</v>
      </c>
      <c r="F4" s="32">
        <v>3502</v>
      </c>
      <c r="G4" s="32">
        <v>7</v>
      </c>
      <c r="H4" s="44">
        <f>('Flow cytometer'!F4/'Flow cytometer'!G4)*POWER(10,'Flow cytometer'!E4+2)*10.2</f>
        <v>5102914.2857142854</v>
      </c>
      <c r="I4" s="32">
        <v>1</v>
      </c>
      <c r="J4" s="32">
        <v>3472</v>
      </c>
      <c r="K4" s="32">
        <v>7</v>
      </c>
      <c r="L4" s="44">
        <f>('Flow cytometer'!J4/'Flow cytometer'!K4)*POWER(10,'Flow cytometer'!I4+2)*10.2</f>
        <v>5059200</v>
      </c>
      <c r="M4" s="32">
        <v>1</v>
      </c>
      <c r="N4" s="32">
        <v>3829</v>
      </c>
      <c r="O4" s="32">
        <v>7</v>
      </c>
      <c r="P4" s="44">
        <f>('Flow cytometer'!N4/'Flow cytometer'!O4)*POWER(10,'Flow cytometer'!M4+2)*10.2</f>
        <v>5579400</v>
      </c>
      <c r="Q4" s="47">
        <f>AVERAGE(H4,L4,P4)*Calculation!I4/Calculation!K3</f>
        <v>5257097.7062858893</v>
      </c>
      <c r="R4" s="48">
        <f>STDEV(H4,L4,P4)*Calculation!I4/Calculation!K3</f>
        <v>289093.25700681447</v>
      </c>
      <c r="S4" s="49">
        <f>LOG(Q4)</f>
        <v>6.720746048714541</v>
      </c>
      <c r="T4" s="70">
        <f>LN(Q4)</f>
        <v>15.475089665568737</v>
      </c>
      <c r="U4" s="49">
        <f>LOG(H4)</f>
        <v>6.7078182734950884</v>
      </c>
      <c r="V4" s="49">
        <f>LOG(L4)</f>
        <v>6.7040818482521152</v>
      </c>
      <c r="W4" s="49">
        <f>LOG(P4)</f>
        <v>6.746587498095348</v>
      </c>
      <c r="X4" s="49">
        <f xml:space="preserve"> STDEV(U4:W4)*Calculation!I4/Calculation!K3</f>
        <v>2.3580822446345611E-2</v>
      </c>
    </row>
    <row r="5" spans="1:24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32">
        <v>1</v>
      </c>
      <c r="F5" s="32">
        <v>4526</v>
      </c>
      <c r="G5" s="32">
        <v>7</v>
      </c>
      <c r="H5" s="44">
        <f>('Flow cytometer'!F5/'Flow cytometer'!G5)*POWER(10,'Flow cytometer'!E5+2)*10.2</f>
        <v>6595028.5714285709</v>
      </c>
      <c r="I5" s="32">
        <v>1</v>
      </c>
      <c r="J5" s="32">
        <v>4711</v>
      </c>
      <c r="K5" s="32">
        <v>7</v>
      </c>
      <c r="L5" s="44">
        <f>('Flow cytometer'!J5/'Flow cytometer'!K5)*POWER(10,'Flow cytometer'!I5+2)*10.2</f>
        <v>6864599.9999999991</v>
      </c>
      <c r="M5" s="32">
        <v>1</v>
      </c>
      <c r="N5" s="32">
        <v>4853</v>
      </c>
      <c r="O5" s="32">
        <v>7</v>
      </c>
      <c r="P5" s="44">
        <f>('Flow cytometer'!N5/'Flow cytometer'!O5)*POWER(10,'Flow cytometer'!M5+2)*10.2</f>
        <v>7071514.2857142854</v>
      </c>
      <c r="Q5" s="47">
        <f>AVERAGE(H5,L5,P5)*Calculation!I5/Calculation!K4</f>
        <v>6856660.8054770157</v>
      </c>
      <c r="R5" s="48">
        <f>STDEV(H5,L5,P5)*Calculation!I5/Calculation!K4</f>
        <v>239380.47073507836</v>
      </c>
      <c r="S5" s="49">
        <f t="shared" ref="S5:S19" si="1">LOG(Q5)</f>
        <v>6.8361126657329505</v>
      </c>
      <c r="T5" s="49">
        <f t="shared" ref="T5:T19" si="2">LN(Q5)</f>
        <v>15.740731118144479</v>
      </c>
      <c r="U5" s="49">
        <f t="shared" ref="U5:U20" si="3">LOG(H5)</f>
        <v>6.8192166813663704</v>
      </c>
      <c r="V5" s="49">
        <f t="shared" ref="V5:V20" si="4">LOG(L5)</f>
        <v>6.836615235985894</v>
      </c>
      <c r="W5" s="49">
        <f t="shared" ref="W5:W20" si="5">LOG(P5)</f>
        <v>6.8495124230629463</v>
      </c>
      <c r="X5" s="49">
        <f xml:space="preserve"> STDEV(U5:W5)*Calculation!I5/Calculation!K4</f>
        <v>1.5232264503716245E-2</v>
      </c>
    </row>
    <row r="6" spans="1:24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1</v>
      </c>
      <c r="F6" s="32">
        <v>6853</v>
      </c>
      <c r="G6" s="32">
        <v>7</v>
      </c>
      <c r="H6" s="44">
        <f>('Flow cytometer'!F6/'Flow cytometer'!G6)*POWER(10,'Flow cytometer'!E6+2)*10.2</f>
        <v>9985800</v>
      </c>
      <c r="I6" s="32">
        <v>1</v>
      </c>
      <c r="J6" s="32">
        <v>6696</v>
      </c>
      <c r="K6" s="32">
        <v>7</v>
      </c>
      <c r="L6" s="44">
        <f>('Flow cytometer'!J6/'Flow cytometer'!K6)*POWER(10,'Flow cytometer'!I6+2)*10.2</f>
        <v>9757028.5714285709</v>
      </c>
      <c r="M6" s="32">
        <v>1</v>
      </c>
      <c r="N6" s="32">
        <v>6374</v>
      </c>
      <c r="O6" s="32">
        <v>7</v>
      </c>
      <c r="P6" s="44">
        <f>('Flow cytometer'!N6/'Flow cytometer'!O6)*POWER(10,'Flow cytometer'!M6+2)*10.2</f>
        <v>9287828.5714285709</v>
      </c>
      <c r="Q6" s="47">
        <f>AVERAGE(H6,L6,P6)*Calculation!I6/Calculation!K5</f>
        <v>9695191.8543306291</v>
      </c>
      <c r="R6" s="48">
        <f>STDEV(H6,L6,P6)*Calculation!I6/Calculation!K5</f>
        <v>356493.56132253725</v>
      </c>
      <c r="S6" s="49">
        <f t="shared" si="1"/>
        <v>6.9865564075820998</v>
      </c>
      <c r="T6" s="49">
        <f t="shared" si="2"/>
        <v>16.087140635460575</v>
      </c>
      <c r="U6" s="49">
        <f t="shared" si="3"/>
        <v>6.9993828635650557</v>
      </c>
      <c r="V6" s="49">
        <f t="shared" si="4"/>
        <v>6.9893175767328639</v>
      </c>
      <c r="W6" s="49">
        <f t="shared" si="5"/>
        <v>6.9679141908853746</v>
      </c>
      <c r="X6" s="49">
        <f xml:space="preserve"> STDEV(U6:W6)*Calculation!I6/Calculation!K5</f>
        <v>1.6101558189738019E-2</v>
      </c>
    </row>
    <row r="7" spans="1:24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1</v>
      </c>
      <c r="F7" s="32">
        <v>14182</v>
      </c>
      <c r="G7" s="32">
        <v>7</v>
      </c>
      <c r="H7" s="44">
        <f>('Flow cytometer'!F7/'Flow cytometer'!G7)*POWER(10,'Flow cytometer'!E7+2)*10.2</f>
        <v>20665200</v>
      </c>
      <c r="I7" s="32">
        <v>1</v>
      </c>
      <c r="J7" s="32">
        <v>14340</v>
      </c>
      <c r="K7" s="32">
        <v>7</v>
      </c>
      <c r="L7" s="44">
        <f>('Flow cytometer'!J7/'Flow cytometer'!K7)*POWER(10,'Flow cytometer'!I7+2)*10.2</f>
        <v>20895428.571428567</v>
      </c>
      <c r="M7" s="32">
        <v>1</v>
      </c>
      <c r="N7" s="32">
        <v>14474</v>
      </c>
      <c r="O7" s="32">
        <v>7</v>
      </c>
      <c r="P7" s="44">
        <f>('Flow cytometer'!N7/'Flow cytometer'!O7)*POWER(10,'Flow cytometer'!M7+2)*10.2</f>
        <v>21090685.714285713</v>
      </c>
      <c r="Q7" s="47">
        <f>AVERAGE(H7,L7,P7)*Calculation!I7/Calculation!K6</f>
        <v>20923278.069005661</v>
      </c>
      <c r="R7" s="48">
        <f>STDEV(H7,L7,P7)*Calculation!I7/Calculation!K6</f>
        <v>213385.15957034461</v>
      </c>
      <c r="S7" s="49">
        <f t="shared" si="1"/>
        <v>7.3206297268373293</v>
      </c>
      <c r="T7" s="49">
        <f t="shared" si="2"/>
        <v>16.856372880344708</v>
      </c>
      <c r="U7" s="49">
        <f t="shared" si="3"/>
        <v>7.3152396127861792</v>
      </c>
      <c r="V7" s="49">
        <f t="shared" si="4"/>
        <v>7.320051283079442</v>
      </c>
      <c r="W7" s="49">
        <f t="shared" si="5"/>
        <v>7.3240907000376954</v>
      </c>
      <c r="X7" s="49">
        <f xml:space="preserve"> STDEV(U7:W7)*Calculation!I7/Calculation!K6</f>
        <v>4.4395375520519609E-3</v>
      </c>
    </row>
    <row r="8" spans="1:24">
      <c r="A8" s="63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2</v>
      </c>
      <c r="F8" s="32">
        <v>2715</v>
      </c>
      <c r="G8" s="32">
        <v>7</v>
      </c>
      <c r="H8" s="44">
        <f>('Flow cytometer'!F8/'Flow cytometer'!G8)*POWER(10,'Flow cytometer'!E8+2)*10.2</f>
        <v>39561428.571428567</v>
      </c>
      <c r="I8" s="32">
        <v>2</v>
      </c>
      <c r="J8" s="32">
        <v>2613</v>
      </c>
      <c r="K8" s="32">
        <v>7</v>
      </c>
      <c r="L8" s="44">
        <f>('Flow cytometer'!J8/'Flow cytometer'!K8)*POWER(10,'Flow cytometer'!I8+2)*10.2</f>
        <v>38075142.857142851</v>
      </c>
      <c r="M8" s="32">
        <v>2</v>
      </c>
      <c r="N8" s="32">
        <v>3064</v>
      </c>
      <c r="O8" s="32">
        <v>7</v>
      </c>
      <c r="P8" s="44">
        <f>('Flow cytometer'!N8/'Flow cytometer'!O8)*POWER(10,'Flow cytometer'!M8+2)*10.2</f>
        <v>44646857.142857142</v>
      </c>
      <c r="Q8" s="47">
        <f>AVERAGE(H8,L8,P8)*Calculation!I8/Calculation!K7</f>
        <v>40838252.292095892</v>
      </c>
      <c r="R8" s="48">
        <f>STDEV(H8,L8,P8)*Calculation!I8/Calculation!K7</f>
        <v>3452726.3600710058</v>
      </c>
      <c r="S8" s="49">
        <f t="shared" si="1"/>
        <v>7.611067147809095</v>
      </c>
      <c r="T8" s="49">
        <f t="shared" si="2"/>
        <v>17.525129756321931</v>
      </c>
      <c r="U8" s="49">
        <f t="shared" si="3"/>
        <v>7.5972719656725261</v>
      </c>
      <c r="V8" s="49">
        <f t="shared" si="4"/>
        <v>7.5806415414749866</v>
      </c>
      <c r="W8" s="49">
        <f t="shared" si="5"/>
        <v>7.6497908927082268</v>
      </c>
      <c r="X8" s="49">
        <f xml:space="preserve"> STDEV(U8:W8)*Calculation!I8/Calculation!K7</f>
        <v>3.616177260016553E-2</v>
      </c>
    </row>
    <row r="9" spans="1:24">
      <c r="A9" s="63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2</v>
      </c>
      <c r="F9" s="32">
        <v>7177</v>
      </c>
      <c r="G9" s="32">
        <v>7</v>
      </c>
      <c r="H9" s="44">
        <f>('Flow cytometer'!F9/'Flow cytometer'!G9)*POWER(10,'Flow cytometer'!E9+2)*10.2</f>
        <v>104579142.85714284</v>
      </c>
      <c r="I9" s="32">
        <v>2</v>
      </c>
      <c r="J9" s="32">
        <v>8061</v>
      </c>
      <c r="K9" s="32">
        <v>7</v>
      </c>
      <c r="L9" s="44">
        <f>('Flow cytometer'!J9/'Flow cytometer'!K9)*POWER(10,'Flow cytometer'!I9+2)*10.2</f>
        <v>117460285.71428572</v>
      </c>
      <c r="M9" s="32">
        <v>2</v>
      </c>
      <c r="N9" s="32">
        <v>8570</v>
      </c>
      <c r="O9" s="32">
        <v>7</v>
      </c>
      <c r="P9" s="44">
        <f>('Flow cytometer'!N9/'Flow cytometer'!O9)*POWER(10,'Flow cytometer'!M9+2)*10.2</f>
        <v>124877142.85714284</v>
      </c>
      <c r="Q9" s="47">
        <f>AVERAGE(H9,L9,P9)*Calculation!I9/Calculation!K8</f>
        <v>115949746.7490288</v>
      </c>
      <c r="R9" s="48">
        <f>STDEV(H9,L9,P9)*Calculation!I9/Calculation!K8</f>
        <v>10298464.784729227</v>
      </c>
      <c r="S9" s="49">
        <f t="shared" si="1"/>
        <v>8.0642698044132519</v>
      </c>
      <c r="T9" s="49">
        <f t="shared" si="2"/>
        <v>18.568667437523963</v>
      </c>
      <c r="U9" s="49">
        <f t="shared" si="3"/>
        <v>8.0194450779799773</v>
      </c>
      <c r="V9" s="49">
        <f t="shared" si="4"/>
        <v>8.0698910529004912</v>
      </c>
      <c r="W9" s="49">
        <f t="shared" si="5"/>
        <v>8.0964829536708596</v>
      </c>
      <c r="X9" s="49">
        <f xml:space="preserve"> STDEV(U9:W9)*Calculation!I9/Calculation!K8</f>
        <v>3.9234811505326948E-2</v>
      </c>
    </row>
    <row r="10" spans="1:24">
      <c r="A10" s="63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2</v>
      </c>
      <c r="F10" s="32">
        <v>23242</v>
      </c>
      <c r="G10" s="32">
        <v>7</v>
      </c>
      <c r="H10" s="44">
        <f>('Flow cytometer'!F10/'Flow cytometer'!G10)*POWER(10,'Flow cytometer'!E10+2)*10.2</f>
        <v>338669142.85714281</v>
      </c>
      <c r="I10" s="32">
        <v>2</v>
      </c>
      <c r="J10" s="32">
        <v>24223</v>
      </c>
      <c r="K10" s="32">
        <v>7</v>
      </c>
      <c r="L10" s="44">
        <f>('Flow cytometer'!J10/'Flow cytometer'!K10)*POWER(10,'Flow cytometer'!I10+2)*10.2</f>
        <v>352963714.28571427</v>
      </c>
      <c r="M10" s="32">
        <v>2</v>
      </c>
      <c r="N10" s="32">
        <v>24826</v>
      </c>
      <c r="O10" s="32">
        <v>7</v>
      </c>
      <c r="P10" s="44">
        <f>('Flow cytometer'!N10/'Flow cytometer'!O10)*POWER(10,'Flow cytometer'!M10+2)*10.2</f>
        <v>361750285.71428567</v>
      </c>
      <c r="Q10" s="47">
        <f>AVERAGE(H10,L10,P10)*Calculation!I10/Calculation!K9</f>
        <v>352657743.53750062</v>
      </c>
      <c r="R10" s="48">
        <f>STDEV(H10,L10,P10)*Calculation!I10/Calculation!K9</f>
        <v>11700353.356357452</v>
      </c>
      <c r="S10" s="49">
        <f t="shared" si="1"/>
        <v>8.5473534243742542</v>
      </c>
      <c r="T10" s="49">
        <f t="shared" si="2"/>
        <v>19.681008579515769</v>
      </c>
      <c r="U10" s="49">
        <f t="shared" si="3"/>
        <v>8.5297756285981059</v>
      </c>
      <c r="V10" s="49">
        <f t="shared" si="4"/>
        <v>8.547730060924712</v>
      </c>
      <c r="W10" s="49">
        <f t="shared" si="5"/>
        <v>8.558408882801686</v>
      </c>
      <c r="X10" s="49">
        <f xml:space="preserve"> STDEV(U10:W10)*Calculation!I10/Calculation!K9</f>
        <v>1.4532917985483078E-2</v>
      </c>
    </row>
    <row r="11" spans="1:24">
      <c r="A11" s="63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5366</v>
      </c>
      <c r="G11" s="32">
        <v>7</v>
      </c>
      <c r="H11" s="44">
        <f>('Flow cytometer'!F11/'Flow cytometer'!G11)*POWER(10,'Flow cytometer'!E11+2)*10.2</f>
        <v>781902857.14285707</v>
      </c>
      <c r="I11" s="32">
        <v>3</v>
      </c>
      <c r="J11" s="32">
        <v>5856</v>
      </c>
      <c r="K11" s="32">
        <v>7</v>
      </c>
      <c r="L11" s="44">
        <f>('Flow cytometer'!J11/'Flow cytometer'!K11)*POWER(10,'Flow cytometer'!I11+2)*10.2</f>
        <v>853302857.14285707</v>
      </c>
      <c r="M11" s="32">
        <v>3</v>
      </c>
      <c r="N11" s="32">
        <v>5763</v>
      </c>
      <c r="O11" s="32">
        <v>7</v>
      </c>
      <c r="P11" s="44">
        <f>('Flow cytometer'!N11/'Flow cytometer'!O11)*POWER(10,'Flow cytometer'!M11+2)*10.2</f>
        <v>839751428.57142854</v>
      </c>
      <c r="Q11" s="47">
        <f>AVERAGE(H11,L11,P11)*Calculation!I11/Calculation!K10</f>
        <v>831468789.35900319</v>
      </c>
      <c r="R11" s="48">
        <f>STDEV(H11,L11,P11)*Calculation!I11/Calculation!K10</f>
        <v>38219098.360833421</v>
      </c>
      <c r="S11" s="49">
        <f t="shared" si="1"/>
        <v>8.91984595185553</v>
      </c>
      <c r="T11" s="49">
        <f t="shared" si="2"/>
        <v>20.538704320545829</v>
      </c>
      <c r="U11" s="49">
        <f t="shared" si="3"/>
        <v>8.8931528000835804</v>
      </c>
      <c r="V11" s="49">
        <f t="shared" si="4"/>
        <v>8.9311031997979953</v>
      </c>
      <c r="W11" s="49">
        <f t="shared" si="5"/>
        <v>8.9241507513290159</v>
      </c>
      <c r="X11" s="49">
        <f xml:space="preserve"> STDEV(U11:W11)*Calculation!I11/Calculation!K10</f>
        <v>2.0363738454919275E-2</v>
      </c>
    </row>
    <row r="12" spans="1:24">
      <c r="A12" s="63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9009</v>
      </c>
      <c r="G12" s="32">
        <v>7</v>
      </c>
      <c r="H12" s="44">
        <f>('Flow cytometer'!F12/'Flow cytometer'!G12)*POWER(10,'Flow cytometer'!E12+2)*10.2</f>
        <v>1312740000</v>
      </c>
      <c r="I12" s="32">
        <v>3</v>
      </c>
      <c r="J12" s="32">
        <v>10016</v>
      </c>
      <c r="K12" s="32">
        <v>7</v>
      </c>
      <c r="L12" s="44">
        <f>('Flow cytometer'!J12/'Flow cytometer'!K12)*POWER(10,'Flow cytometer'!I12+2)*10.2</f>
        <v>1459474285.7142859</v>
      </c>
      <c r="M12" s="32">
        <v>3</v>
      </c>
      <c r="N12" s="32">
        <v>10044</v>
      </c>
      <c r="O12" s="32">
        <v>7</v>
      </c>
      <c r="P12" s="44">
        <f>('Flow cytometer'!N12/'Flow cytometer'!O12)*POWER(10,'Flow cytometer'!M12+2)*10.2</f>
        <v>1463554285.7142859</v>
      </c>
      <c r="Q12" s="47">
        <f>AVERAGE(H12,L12,P12)*Calculation!I12/Calculation!K11</f>
        <v>1429489354.2838826</v>
      </c>
      <c r="R12" s="48">
        <f>STDEV(H12,L12,P12)*Calculation!I12/Calculation!K11</f>
        <v>86988061.462980822</v>
      </c>
      <c r="S12" s="49">
        <f t="shared" si="1"/>
        <v>9.1551809254211989</v>
      </c>
      <c r="T12" s="49">
        <f t="shared" si="2"/>
        <v>21.080583122538282</v>
      </c>
      <c r="U12" s="49">
        <f t="shared" si="3"/>
        <v>9.1181787186663037</v>
      </c>
      <c r="V12" s="49">
        <f t="shared" si="4"/>
        <v>9.1641964476140156</v>
      </c>
      <c r="W12" s="49">
        <f t="shared" si="5"/>
        <v>9.1654088357885453</v>
      </c>
      <c r="X12" s="49">
        <f xml:space="preserve"> STDEV(U12:W12)*Calculation!I12/Calculation!K11</f>
        <v>2.7260149811677202E-2</v>
      </c>
    </row>
    <row r="13" spans="1:24">
      <c r="A13" s="63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12722</v>
      </c>
      <c r="G13" s="32">
        <v>7</v>
      </c>
      <c r="H13" s="44">
        <f>('Flow cytometer'!F13/'Flow cytometer'!G13)*POWER(10,'Flow cytometer'!E13+2)*10.2</f>
        <v>1853777142.8571427</v>
      </c>
      <c r="I13" s="32">
        <v>3</v>
      </c>
      <c r="J13" s="32">
        <v>14831</v>
      </c>
      <c r="K13" s="32">
        <v>7</v>
      </c>
      <c r="L13" s="44">
        <f>('Flow cytometer'!J13/'Flow cytometer'!K13)*POWER(10,'Flow cytometer'!I13+2)*10.2</f>
        <v>2161088571.4285712</v>
      </c>
      <c r="M13" s="32">
        <v>3</v>
      </c>
      <c r="N13" s="32">
        <v>14599</v>
      </c>
      <c r="O13" s="32">
        <v>7</v>
      </c>
      <c r="P13" s="44">
        <f>('Flow cytometer'!N13/'Flow cytometer'!O13)*POWER(10,'Flow cytometer'!M13+2)*10.2</f>
        <v>2127282857.1428568</v>
      </c>
      <c r="Q13" s="47">
        <f>AVERAGE(H13,L13,P13)*Calculation!I13/Calculation!K12</f>
        <v>2084593805.2214262</v>
      </c>
      <c r="R13" s="48">
        <f>STDEV(H13,L13,P13)*Calculation!I13/Calculation!K12</f>
        <v>171580099.57443914</v>
      </c>
      <c r="S13" s="49">
        <f t="shared" si="1"/>
        <v>9.3190214428412617</v>
      </c>
      <c r="T13" s="49">
        <f t="shared" si="2"/>
        <v>21.45783985557815</v>
      </c>
      <c r="U13" s="49">
        <f t="shared" si="3"/>
        <v>9.2680575229881743</v>
      </c>
      <c r="V13" s="49">
        <f t="shared" si="4"/>
        <v>9.3346725666492816</v>
      </c>
      <c r="W13" s="49">
        <f t="shared" si="5"/>
        <v>9.3278252403159545</v>
      </c>
      <c r="X13" s="49">
        <f xml:space="preserve"> STDEV(U13:W13)*Calculation!I13/Calculation!K12</f>
        <v>3.7309846598010857E-2</v>
      </c>
    </row>
    <row r="14" spans="1:24">
      <c r="A14" s="63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19556</v>
      </c>
      <c r="G14" s="32">
        <v>7</v>
      </c>
      <c r="H14" s="44">
        <f>('Flow cytometer'!F14/'Flow cytometer'!G14)*POWER(10,'Flow cytometer'!E14+2)*10.2</f>
        <v>2849588571.4285717</v>
      </c>
      <c r="I14" s="32">
        <v>3</v>
      </c>
      <c r="J14" s="32">
        <v>21064</v>
      </c>
      <c r="K14" s="32">
        <v>7</v>
      </c>
      <c r="L14" s="44">
        <f>('Flow cytometer'!J14/'Flow cytometer'!K14)*POWER(10,'Flow cytometer'!I14+2)*10.2</f>
        <v>3069325714.2857141</v>
      </c>
      <c r="M14" s="32">
        <v>3</v>
      </c>
      <c r="N14" s="32">
        <v>21391</v>
      </c>
      <c r="O14" s="32">
        <v>7</v>
      </c>
      <c r="P14" s="44">
        <f>('Flow cytometer'!N14/'Flow cytometer'!O14)*POWER(10,'Flow cytometer'!M14+2)*10.2</f>
        <v>3116974285.7142854</v>
      </c>
      <c r="Q14" s="47">
        <f>AVERAGE(H14,L14,P14)*Calculation!I14/Calculation!K13</f>
        <v>3097082487.1359572</v>
      </c>
      <c r="R14" s="48">
        <f>STDEV(H14,L14,P14)*Calculation!I14/Calculation!K13</f>
        <v>146654800.07698366</v>
      </c>
      <c r="S14" s="49">
        <f t="shared" si="1"/>
        <v>9.4909527724316689</v>
      </c>
      <c r="T14" s="49">
        <f t="shared" si="2"/>
        <v>21.853726372111669</v>
      </c>
      <c r="U14" s="49">
        <f t="shared" si="3"/>
        <v>9.4547821603394588</v>
      </c>
      <c r="V14" s="49">
        <f t="shared" si="4"/>
        <v>9.4870429778456717</v>
      </c>
      <c r="W14" s="49">
        <f t="shared" si="5"/>
        <v>9.4937332194669395</v>
      </c>
      <c r="X14" s="49">
        <f xml:space="preserve"> STDEV(U14:W14)*Calculation!I14/Calculation!K13</f>
        <v>2.1416080090163214E-2</v>
      </c>
    </row>
    <row r="15" spans="1:24">
      <c r="A15" s="63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23320</v>
      </c>
      <c r="G15" s="32">
        <v>7</v>
      </c>
      <c r="H15" s="44">
        <f>('Flow cytometer'!F15/'Flow cytometer'!G15)*POWER(10,'Flow cytometer'!E15+2)*10.2</f>
        <v>3398057142.8571424</v>
      </c>
      <c r="I15" s="32">
        <v>3</v>
      </c>
      <c r="J15" s="32">
        <v>23629</v>
      </c>
      <c r="K15" s="32">
        <v>7</v>
      </c>
      <c r="L15" s="44">
        <f>('Flow cytometer'!J15/'Flow cytometer'!K15)*POWER(10,'Flow cytometer'!I15+2)*10.2</f>
        <v>3443082857.1428571</v>
      </c>
      <c r="M15" s="32">
        <v>3</v>
      </c>
      <c r="N15" s="32">
        <v>23374</v>
      </c>
      <c r="O15" s="32">
        <v>7</v>
      </c>
      <c r="P15" s="44">
        <f>('Flow cytometer'!N15/'Flow cytometer'!O15)*POWER(10,'Flow cytometer'!M15+2)*10.2</f>
        <v>3405925714.2857141</v>
      </c>
      <c r="Q15" s="47">
        <f>AVERAGE(H15,L15,P15)*Calculation!I15/Calculation!K14</f>
        <v>3537707340.6413999</v>
      </c>
      <c r="R15" s="48">
        <f>STDEV(H15,L15,P15)*Calculation!I15/Calculation!K14</f>
        <v>24907228.400521182</v>
      </c>
      <c r="S15" s="49">
        <f t="shared" si="1"/>
        <v>9.5487219027394463</v>
      </c>
      <c r="T15" s="49">
        <f t="shared" si="2"/>
        <v>21.986744710393587</v>
      </c>
      <c r="U15" s="49">
        <f t="shared" si="3"/>
        <v>9.5312306778346372</v>
      </c>
      <c r="V15" s="49">
        <f t="shared" si="4"/>
        <v>9.5369474740456397</v>
      </c>
      <c r="W15" s="49">
        <f t="shared" si="5"/>
        <v>9.532235171451708</v>
      </c>
      <c r="X15" s="49">
        <f xml:space="preserve"> STDEV(U15:W15)*Calculation!I15/Calculation!K14</f>
        <v>3.1612625002359037E-3</v>
      </c>
    </row>
    <row r="16" spans="1:24">
      <c r="A16" s="63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21159</v>
      </c>
      <c r="G16" s="32">
        <v>7</v>
      </c>
      <c r="H16" s="44">
        <f>('Flow cytometer'!F16/'Flow cytometer'!G16)*POWER(10,'Flow cytometer'!E16+2)*10.2</f>
        <v>3083168571.4285717</v>
      </c>
      <c r="I16" s="32">
        <v>3</v>
      </c>
      <c r="J16" s="32">
        <v>24084</v>
      </c>
      <c r="K16" s="32">
        <v>7</v>
      </c>
      <c r="L16" s="44">
        <f>('Flow cytometer'!J16/'Flow cytometer'!K16)*POWER(10,'Flow cytometer'!I16+2)*10.2</f>
        <v>3509382857.1428571</v>
      </c>
      <c r="M16" s="32">
        <v>3</v>
      </c>
      <c r="N16" s="32">
        <v>23442</v>
      </c>
      <c r="O16" s="32">
        <v>7</v>
      </c>
      <c r="P16" s="44">
        <f>('Flow cytometer'!N16/'Flow cytometer'!O16)*POWER(10,'Flow cytometer'!M16+2)*10.2</f>
        <v>3415834285.7142854</v>
      </c>
      <c r="Q16" s="47">
        <f>AVERAGE(H16,L16,P16)*Calculation!I16/Calculation!K15</f>
        <v>3485366705.6294808</v>
      </c>
      <c r="R16" s="48">
        <f>STDEV(H16,L16,P16)*Calculation!I16/Calculation!K15</f>
        <v>234028340.11638805</v>
      </c>
      <c r="S16" s="49">
        <f t="shared" si="1"/>
        <v>9.5422484782311763</v>
      </c>
      <c r="T16" s="49">
        <f t="shared" si="2"/>
        <v>21.971839099620222</v>
      </c>
      <c r="U16" s="49">
        <f t="shared" si="3"/>
        <v>9.4889972703119252</v>
      </c>
      <c r="V16" s="49">
        <f t="shared" si="4"/>
        <v>9.5452307502827711</v>
      </c>
      <c r="W16" s="49">
        <f t="shared" si="5"/>
        <v>9.5334967933560879</v>
      </c>
      <c r="X16" s="49">
        <f xml:space="preserve"> STDEV(U16:W16)*Calculation!I16/Calculation!K15</f>
        <v>3.099210303337015E-2</v>
      </c>
    </row>
    <row r="17" spans="1:24">
      <c r="A17" s="63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21772</v>
      </c>
      <c r="G17" s="32">
        <v>7</v>
      </c>
      <c r="H17" s="44">
        <f>('Flow cytometer'!F17/'Flow cytometer'!G17)*POWER(10,'Flow cytometer'!E17+2)*10.2</f>
        <v>3172491428.5714283</v>
      </c>
      <c r="I17" s="32">
        <v>3</v>
      </c>
      <c r="J17" s="32">
        <v>24677</v>
      </c>
      <c r="K17" s="32">
        <v>7</v>
      </c>
      <c r="L17" s="44">
        <f>('Flow cytometer'!J17/'Flow cytometer'!K17)*POWER(10,'Flow cytometer'!I17+2)*10.2</f>
        <v>3595791428.5714278</v>
      </c>
      <c r="M17" s="32">
        <v>3</v>
      </c>
      <c r="N17" s="32">
        <v>24371</v>
      </c>
      <c r="O17" s="32">
        <v>7</v>
      </c>
      <c r="P17" s="44">
        <f>('Flow cytometer'!N17/'Flow cytometer'!O17)*POWER(10,'Flow cytometer'!M17+2)*10.2</f>
        <v>3551202857.1428571</v>
      </c>
      <c r="Q17" s="47">
        <f>AVERAGE(H17,L17,P17)*Calculation!I17/Calculation!K16</f>
        <v>3614346520.1231775</v>
      </c>
      <c r="R17" s="48">
        <f>STDEV(H17,L17,P17)*Calculation!I17/Calculation!K16</f>
        <v>244392115.05019203</v>
      </c>
      <c r="S17" s="49">
        <f t="shared" si="1"/>
        <v>9.5580297875616722</v>
      </c>
      <c r="T17" s="49">
        <f t="shared" si="2"/>
        <v>22.008176907232549</v>
      </c>
      <c r="U17" s="49">
        <f t="shared" si="3"/>
        <v>9.5014004573926965</v>
      </c>
      <c r="V17" s="49">
        <f t="shared" si="4"/>
        <v>9.5557944928366307</v>
      </c>
      <c r="W17" s="49">
        <f t="shared" si="5"/>
        <v>9.5503754814318391</v>
      </c>
      <c r="X17" s="49">
        <f xml:space="preserve"> STDEV(U17:W17)*Calculation!I17/Calculation!K16</f>
        <v>3.148298669507836E-2</v>
      </c>
    </row>
    <row r="18" spans="1:24">
      <c r="A18" s="63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26608</v>
      </c>
      <c r="G18" s="32">
        <v>7</v>
      </c>
      <c r="H18" s="44">
        <f>('Flow cytometer'!F18/'Flow cytometer'!G18)*POWER(10,'Flow cytometer'!E18+2)*10.2</f>
        <v>3877165714.2857141</v>
      </c>
      <c r="I18" s="32">
        <v>3</v>
      </c>
      <c r="J18" s="32">
        <v>26473</v>
      </c>
      <c r="K18" s="32">
        <v>7</v>
      </c>
      <c r="L18" s="44">
        <f>('Flow cytometer'!J18/'Flow cytometer'!K18)*POWER(10,'Flow cytometer'!I18+2)*10.2</f>
        <v>3857494285.7142854</v>
      </c>
      <c r="M18" s="32">
        <v>3</v>
      </c>
      <c r="N18" s="32">
        <v>27047</v>
      </c>
      <c r="O18" s="32">
        <v>7</v>
      </c>
      <c r="P18" s="44">
        <f>('Flow cytometer'!N18/'Flow cytometer'!O18)*POWER(10,'Flow cytometer'!M18+2)*10.2</f>
        <v>3941134285.7142854</v>
      </c>
      <c r="Q18" s="47">
        <f>AVERAGE(H18,L18,P18)*Calculation!I18/Calculation!K17</f>
        <v>4124230968.3668003</v>
      </c>
      <c r="R18" s="48">
        <f>STDEV(H18,L18,P18)*Calculation!I18/Calculation!K17</f>
        <v>46341577.761103287</v>
      </c>
      <c r="S18" s="49">
        <f t="shared" si="1"/>
        <v>9.6153429789874174</v>
      </c>
      <c r="T18" s="49">
        <f t="shared" si="2"/>
        <v>22.140145407441388</v>
      </c>
      <c r="U18" s="49">
        <f t="shared" si="3"/>
        <v>9.5885143636231049</v>
      </c>
      <c r="V18" s="49">
        <f t="shared" si="4"/>
        <v>9.5863052913950462</v>
      </c>
      <c r="W18" s="49">
        <f t="shared" si="5"/>
        <v>9.5956212327725154</v>
      </c>
      <c r="X18" s="49">
        <f xml:space="preserve"> STDEV(U18:W18)*Calculation!I18/Calculation!K17</f>
        <v>5.1583737308143777E-3</v>
      </c>
    </row>
    <row r="19" spans="1:24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18546</v>
      </c>
      <c r="G19" s="32">
        <v>7</v>
      </c>
      <c r="H19" s="44">
        <f>('Flow cytometer'!F19/'Flow cytometer'!G19)*POWER(10,'Flow cytometer'!E19+2)*10.2</f>
        <v>2702417142.8571429</v>
      </c>
      <c r="I19" s="32">
        <v>3</v>
      </c>
      <c r="J19" s="32">
        <v>19823</v>
      </c>
      <c r="K19" s="32">
        <v>7</v>
      </c>
      <c r="L19" s="44">
        <f>('Flow cytometer'!J19/'Flow cytometer'!K19)*POWER(10,'Flow cytometer'!I19+2)*10.2</f>
        <v>2888494285.7142854</v>
      </c>
      <c r="M19" s="32">
        <v>3</v>
      </c>
      <c r="N19" s="32">
        <v>17959</v>
      </c>
      <c r="O19" s="32">
        <v>7</v>
      </c>
      <c r="P19" s="44">
        <f>('Flow cytometer'!N19/'Flow cytometer'!O19)*POWER(10,'Flow cytometer'!M19+2)*10.2</f>
        <v>2616882857.1428566</v>
      </c>
      <c r="Q19" s="47">
        <f>AVERAGE(H19,L19,P19)*Calculation!I19/Calculation!K18</f>
        <v>2910579097.7807202</v>
      </c>
      <c r="R19" s="48">
        <f>STDEV(H19,L19,P19)*Calculation!I19/Calculation!K18</f>
        <v>147737500.65560505</v>
      </c>
      <c r="S19" s="49">
        <f t="shared" si="1"/>
        <v>9.4639794061506795</v>
      </c>
      <c r="T19" s="49">
        <f t="shared" si="2"/>
        <v>21.791617901005193</v>
      </c>
      <c r="U19" s="49">
        <f t="shared" si="3"/>
        <v>9.4317523871946101</v>
      </c>
      <c r="V19" s="49">
        <f t="shared" si="4"/>
        <v>9.4606715127168961</v>
      </c>
      <c r="W19" s="49">
        <f t="shared" si="5"/>
        <v>9.4177842821984914</v>
      </c>
      <c r="X19" s="49">
        <f xml:space="preserve"> STDEV(U19:W19)*Calculation!I19/Calculation!K18</f>
        <v>2.3269946020650214E-2</v>
      </c>
    </row>
    <row r="20" spans="1:24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16298</v>
      </c>
      <c r="G20" s="32">
        <v>7</v>
      </c>
      <c r="H20" s="44">
        <f>('Flow cytometer'!F20/'Flow cytometer'!G20)*POWER(10,'Flow cytometer'!E20+2)*10.2</f>
        <v>2374851428.5714283</v>
      </c>
      <c r="I20" s="32">
        <v>3</v>
      </c>
      <c r="J20" s="32">
        <v>14847</v>
      </c>
      <c r="K20" s="32">
        <v>7</v>
      </c>
      <c r="L20" s="44">
        <f>('Flow cytometer'!J20/'Flow cytometer'!K20)*POWER(10,'Flow cytometer'!I20+2)*10.2</f>
        <v>2163420000</v>
      </c>
      <c r="M20" s="32">
        <v>3</v>
      </c>
      <c r="N20" s="32">
        <v>15433</v>
      </c>
      <c r="O20" s="32">
        <v>7</v>
      </c>
      <c r="P20" s="44">
        <f>('Flow cytometer'!N20/'Flow cytometer'!O20)*POWER(10,'Flow cytometer'!M20+2)*10.2</f>
        <v>2248808571.4285712</v>
      </c>
      <c r="Q20" s="47">
        <f>AVERAGE(H20,L20,P20)*Calculation!I20/Calculation!K19</f>
        <v>2406777325.9556603</v>
      </c>
      <c r="R20" s="48">
        <f>STDEV(H20,L20,P20)*Calculation!I20/Calculation!K19</f>
        <v>113154939.50714418</v>
      </c>
      <c r="S20" s="49">
        <f t="shared" ref="S20" si="7">LOG(Q20)</f>
        <v>9.3814359113875412</v>
      </c>
      <c r="T20" s="49">
        <f t="shared" ref="T20" si="8">LN(Q20)</f>
        <v>21.601554480439962</v>
      </c>
      <c r="U20" s="49">
        <f t="shared" si="3"/>
        <v>9.3756364452156777</v>
      </c>
      <c r="V20" s="49">
        <f t="shared" si="4"/>
        <v>9.3351408402784788</v>
      </c>
      <c r="W20" s="49">
        <f t="shared" si="5"/>
        <v>9.3519524879342448</v>
      </c>
      <c r="X20" s="49">
        <f xml:space="preserve"> STDEV(U20:W20)*Calculation!I20/Calculation!K19</f>
        <v>2.1643463029068062E-2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1" workbookViewId="0">
      <selection activeCell="M41" sqref="M41"/>
    </sheetView>
  </sheetViews>
  <sheetFormatPr baseColWidth="10" defaultColWidth="8.83203125" defaultRowHeight="14" x14ac:dyDescent="0"/>
  <cols>
    <col min="1" max="2" width="8.83203125" style="83"/>
    <col min="3" max="3" width="9.83203125" style="83" customWidth="1"/>
    <col min="4" max="17" width="8.83203125" style="83"/>
    <col min="18" max="18" width="13.83203125" style="83" bestFit="1" customWidth="1"/>
    <col min="19" max="16384" width="8.83203125" style="83"/>
  </cols>
  <sheetData>
    <row r="1" spans="2:18">
      <c r="B1" s="141" t="s">
        <v>4</v>
      </c>
      <c r="C1" s="143" t="s">
        <v>185</v>
      </c>
      <c r="D1" s="144" t="s">
        <v>18</v>
      </c>
      <c r="E1" s="144"/>
      <c r="F1" s="144"/>
      <c r="G1" s="144"/>
      <c r="H1" s="144" t="s">
        <v>20</v>
      </c>
      <c r="I1" s="144"/>
      <c r="J1" s="144"/>
      <c r="K1" s="144"/>
      <c r="L1" s="144" t="s">
        <v>21</v>
      </c>
      <c r="M1" s="144"/>
      <c r="N1" s="144"/>
      <c r="O1" s="144"/>
      <c r="P1" s="82" t="s">
        <v>22</v>
      </c>
      <c r="Q1" s="82" t="s">
        <v>22</v>
      </c>
      <c r="R1" s="82" t="s">
        <v>22</v>
      </c>
    </row>
    <row r="2" spans="2:18">
      <c r="B2" s="142"/>
      <c r="C2" s="142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</row>
    <row r="3" spans="2:18"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38"/>
      <c r="Q3" s="139"/>
      <c r="R3" s="140"/>
    </row>
    <row r="4" spans="2:18">
      <c r="B4" s="89" t="s">
        <v>186</v>
      </c>
      <c r="C4" s="90">
        <v>500</v>
      </c>
      <c r="D4" s="90">
        <v>3</v>
      </c>
      <c r="E4" s="90">
        <v>14133</v>
      </c>
      <c r="F4" s="90">
        <v>7</v>
      </c>
      <c r="G4" s="88">
        <f>(E4/F4)*(10.2)*POWER(10,D4+2)</f>
        <v>2059380000</v>
      </c>
      <c r="H4" s="90">
        <v>3</v>
      </c>
      <c r="I4" s="90">
        <v>15082</v>
      </c>
      <c r="J4" s="90">
        <v>7</v>
      </c>
      <c r="K4" s="88">
        <f t="shared" ref="K4:K18" si="0">(I4/J4)*(10.2)*POWER(10,H4+2)</f>
        <v>2197662857.1428571</v>
      </c>
      <c r="L4" s="90">
        <v>3</v>
      </c>
      <c r="M4" s="90">
        <v>15922</v>
      </c>
      <c r="N4" s="90">
        <v>7</v>
      </c>
      <c r="O4" s="88">
        <f t="shared" ref="O4:O19" si="1">(M4/N4)*(10.2)*POWER(10,L4+2)</f>
        <v>2320062857.1428571</v>
      </c>
      <c r="P4" s="91">
        <f t="shared" ref="P4:P19" si="2">AVERAGE(O4,K4,G4)</f>
        <v>2192368571.4285712</v>
      </c>
      <c r="Q4" s="91">
        <f t="shared" ref="Q4:Q19" si="3">STDEV(O4,K4,G4)</f>
        <v>130422046.05801573</v>
      </c>
      <c r="R4" s="92">
        <f>LOG(P4)</f>
        <v>9.3409135676416426</v>
      </c>
    </row>
    <row r="5" spans="2:18">
      <c r="B5" s="89" t="s">
        <v>187</v>
      </c>
      <c r="C5" s="90">
        <v>500</v>
      </c>
      <c r="D5" s="90">
        <v>2</v>
      </c>
      <c r="E5" s="90">
        <v>16544</v>
      </c>
      <c r="F5" s="90">
        <v>7</v>
      </c>
      <c r="G5" s="88">
        <f t="shared" ref="G5:G19" si="4">(E5/F5)*(10.2)*POWER(10,D5+2)</f>
        <v>241069714.2857143</v>
      </c>
      <c r="H5" s="90">
        <v>2</v>
      </c>
      <c r="I5" s="90">
        <v>15924</v>
      </c>
      <c r="J5" s="90">
        <v>7</v>
      </c>
      <c r="K5" s="88">
        <f t="shared" si="0"/>
        <v>232035428.57142854</v>
      </c>
      <c r="L5" s="90">
        <v>2</v>
      </c>
      <c r="M5" s="90">
        <v>15173</v>
      </c>
      <c r="N5" s="90">
        <v>7</v>
      </c>
      <c r="O5" s="88">
        <f t="shared" si="1"/>
        <v>221092285.71428567</v>
      </c>
      <c r="P5" s="91">
        <f t="shared" si="2"/>
        <v>231399142.85714284</v>
      </c>
      <c r="Q5" s="91">
        <f t="shared" si="3"/>
        <v>10003902.124385577</v>
      </c>
      <c r="R5" s="92">
        <f t="shared" ref="R5:R19" si="5">LOG(P5)</f>
        <v>8.3643617459160655</v>
      </c>
    </row>
    <row r="6" spans="2:18">
      <c r="B6" s="89" t="s">
        <v>188</v>
      </c>
      <c r="C6" s="90">
        <v>500</v>
      </c>
      <c r="D6" s="90">
        <v>1</v>
      </c>
      <c r="E6" s="90">
        <v>18107</v>
      </c>
      <c r="F6" s="90">
        <v>7</v>
      </c>
      <c r="G6" s="88">
        <f t="shared" si="4"/>
        <v>26384485.714285713</v>
      </c>
      <c r="H6" s="90">
        <v>1</v>
      </c>
      <c r="I6" s="90">
        <v>18423</v>
      </c>
      <c r="J6" s="90">
        <v>7</v>
      </c>
      <c r="K6" s="88">
        <f t="shared" si="0"/>
        <v>26844942.857142854</v>
      </c>
      <c r="L6" s="90">
        <v>1</v>
      </c>
      <c r="M6" s="90">
        <v>17005</v>
      </c>
      <c r="N6" s="90">
        <v>7</v>
      </c>
      <c r="O6" s="88">
        <f t="shared" si="1"/>
        <v>24778714.285714284</v>
      </c>
      <c r="P6" s="91">
        <f t="shared" si="2"/>
        <v>26002714.285714284</v>
      </c>
      <c r="Q6" s="91">
        <f t="shared" si="3"/>
        <v>1084729.0883451225</v>
      </c>
      <c r="R6" s="92">
        <f t="shared" si="5"/>
        <v>7.4150186840393397</v>
      </c>
    </row>
    <row r="7" spans="2:18">
      <c r="B7" s="89" t="s">
        <v>189</v>
      </c>
      <c r="C7" s="90">
        <v>500</v>
      </c>
      <c r="D7" s="90">
        <v>1</v>
      </c>
      <c r="E7" s="90">
        <v>1825</v>
      </c>
      <c r="F7" s="90">
        <v>7</v>
      </c>
      <c r="G7" s="88">
        <f t="shared" si="4"/>
        <v>2659285.7142857141</v>
      </c>
      <c r="H7" s="90">
        <v>1</v>
      </c>
      <c r="I7" s="90">
        <v>1808</v>
      </c>
      <c r="J7" s="90">
        <v>7</v>
      </c>
      <c r="K7" s="88">
        <f t="shared" si="0"/>
        <v>2634514.2857142854</v>
      </c>
      <c r="L7" s="90">
        <v>1</v>
      </c>
      <c r="M7" s="90">
        <v>1822</v>
      </c>
      <c r="N7" s="90">
        <v>7</v>
      </c>
      <c r="O7" s="88">
        <f t="shared" si="1"/>
        <v>2654914.2857142854</v>
      </c>
      <c r="P7" s="91">
        <f t="shared" si="2"/>
        <v>2649571.4285714286</v>
      </c>
      <c r="Q7" s="91">
        <f t="shared" si="3"/>
        <v>13221.78165770719</v>
      </c>
      <c r="R7" s="92">
        <f t="shared" si="5"/>
        <v>6.4231756319523594</v>
      </c>
    </row>
    <row r="8" spans="2:18">
      <c r="B8" s="89" t="s">
        <v>190</v>
      </c>
      <c r="C8" s="90">
        <v>500</v>
      </c>
      <c r="D8" s="90">
        <v>0</v>
      </c>
      <c r="E8" s="90">
        <v>2306</v>
      </c>
      <c r="F8" s="90">
        <v>7</v>
      </c>
      <c r="G8" s="88">
        <f t="shared" si="4"/>
        <v>336017.14285714284</v>
      </c>
      <c r="H8" s="90">
        <v>0</v>
      </c>
      <c r="I8" s="90">
        <v>2052</v>
      </c>
      <c r="J8" s="90">
        <v>7</v>
      </c>
      <c r="K8" s="88">
        <f t="shared" si="0"/>
        <v>299005.71428571432</v>
      </c>
      <c r="L8" s="90">
        <v>0</v>
      </c>
      <c r="M8" s="90">
        <v>2049</v>
      </c>
      <c r="N8" s="90">
        <v>7</v>
      </c>
      <c r="O8" s="88">
        <f t="shared" si="1"/>
        <v>298568.57142857142</v>
      </c>
      <c r="P8" s="91">
        <f t="shared" si="2"/>
        <v>311197.14285714284</v>
      </c>
      <c r="Q8" s="91">
        <f t="shared" si="3"/>
        <v>21495.861775453133</v>
      </c>
      <c r="R8" s="92">
        <f t="shared" si="5"/>
        <v>5.4930356010198587</v>
      </c>
    </row>
    <row r="9" spans="2:18">
      <c r="B9" s="89" t="s">
        <v>191</v>
      </c>
      <c r="C9" s="90">
        <v>1000</v>
      </c>
      <c r="D9" s="90">
        <v>3</v>
      </c>
      <c r="E9" s="90">
        <v>13995</v>
      </c>
      <c r="F9" s="90">
        <v>7</v>
      </c>
      <c r="G9" s="88">
        <f t="shared" si="4"/>
        <v>2039271428.5714283</v>
      </c>
      <c r="H9" s="90">
        <v>3</v>
      </c>
      <c r="I9" s="90">
        <v>13769</v>
      </c>
      <c r="J9" s="90">
        <v>7</v>
      </c>
      <c r="K9" s="88">
        <f t="shared" si="0"/>
        <v>2006339999.9999998</v>
      </c>
      <c r="L9" s="90">
        <v>3</v>
      </c>
      <c r="M9" s="90">
        <v>15093</v>
      </c>
      <c r="N9" s="90">
        <v>7</v>
      </c>
      <c r="O9" s="88">
        <f t="shared" si="1"/>
        <v>2199265714.2857146</v>
      </c>
      <c r="P9" s="91">
        <f t="shared" si="2"/>
        <v>2081625714.2857141</v>
      </c>
      <c r="Q9" s="91">
        <f t="shared" si="3"/>
        <v>103201244.89045103</v>
      </c>
      <c r="R9" s="92">
        <f t="shared" si="5"/>
        <v>9.3184026440827186</v>
      </c>
    </row>
    <row r="10" spans="2:18">
      <c r="B10" s="89" t="s">
        <v>192</v>
      </c>
      <c r="C10" s="90">
        <v>900</v>
      </c>
      <c r="D10" s="90">
        <v>3</v>
      </c>
      <c r="E10" s="90">
        <v>6387</v>
      </c>
      <c r="F10" s="90">
        <v>7</v>
      </c>
      <c r="G10" s="88">
        <f t="shared" si="4"/>
        <v>930677142.85714281</v>
      </c>
      <c r="H10" s="90">
        <v>3</v>
      </c>
      <c r="I10" s="90">
        <v>7378</v>
      </c>
      <c r="J10" s="90">
        <v>7</v>
      </c>
      <c r="K10" s="88">
        <f t="shared" si="0"/>
        <v>1075080000</v>
      </c>
      <c r="L10" s="90">
        <v>3</v>
      </c>
      <c r="M10" s="90">
        <v>6564</v>
      </c>
      <c r="N10" s="90">
        <v>7</v>
      </c>
      <c r="O10" s="88">
        <f t="shared" si="1"/>
        <v>956468571.42857134</v>
      </c>
      <c r="P10" s="91">
        <f t="shared" si="2"/>
        <v>987408571.42857134</v>
      </c>
      <c r="Q10" s="91">
        <f t="shared" si="3"/>
        <v>77013044.270143658</v>
      </c>
      <c r="R10" s="92">
        <f t="shared" si="5"/>
        <v>8.9944968928936131</v>
      </c>
    </row>
    <row r="11" spans="2:18">
      <c r="B11" s="89" t="s">
        <v>193</v>
      </c>
      <c r="C11" s="90">
        <v>900</v>
      </c>
      <c r="D11" s="90">
        <v>3</v>
      </c>
      <c r="E11" s="90">
        <v>3341</v>
      </c>
      <c r="F11" s="90">
        <v>7</v>
      </c>
      <c r="G11" s="88">
        <f t="shared" si="4"/>
        <v>486831428.5714286</v>
      </c>
      <c r="H11" s="90">
        <v>3</v>
      </c>
      <c r="I11" s="90">
        <v>3712</v>
      </c>
      <c r="J11" s="90">
        <v>7</v>
      </c>
      <c r="K11" s="88">
        <f t="shared" si="0"/>
        <v>540891428.57142866</v>
      </c>
      <c r="L11" s="90">
        <v>3</v>
      </c>
      <c r="M11" s="90">
        <v>3690</v>
      </c>
      <c r="N11" s="90">
        <v>7</v>
      </c>
      <c r="O11" s="88">
        <f t="shared" si="1"/>
        <v>537685714.28571427</v>
      </c>
      <c r="P11" s="91">
        <f t="shared" si="2"/>
        <v>521802857.14285713</v>
      </c>
      <c r="Q11" s="91">
        <f t="shared" si="3"/>
        <v>30328530.516088422</v>
      </c>
      <c r="R11" s="92">
        <f t="shared" si="5"/>
        <v>8.7175064527595634</v>
      </c>
    </row>
    <row r="12" spans="2:18">
      <c r="B12" s="89" t="s">
        <v>194</v>
      </c>
      <c r="C12" s="90">
        <v>900</v>
      </c>
      <c r="D12" s="90">
        <v>2</v>
      </c>
      <c r="E12" s="90">
        <v>19134</v>
      </c>
      <c r="F12" s="90">
        <v>7</v>
      </c>
      <c r="G12" s="88">
        <f>(E12/F12)*(10.2)*POWER(10,D12+2)</f>
        <v>278809714.28571427</v>
      </c>
      <c r="H12" s="90">
        <v>2</v>
      </c>
      <c r="I12" s="90">
        <v>18838</v>
      </c>
      <c r="J12" s="90">
        <v>7</v>
      </c>
      <c r="K12" s="88">
        <f t="shared" si="0"/>
        <v>274496571.42857146</v>
      </c>
      <c r="L12" s="90">
        <v>2</v>
      </c>
      <c r="M12" s="90">
        <v>18096</v>
      </c>
      <c r="N12" s="90">
        <v>7</v>
      </c>
      <c r="O12" s="88">
        <f t="shared" si="1"/>
        <v>263684571.42857143</v>
      </c>
      <c r="P12" s="91">
        <f t="shared" si="2"/>
        <v>272330285.71428573</v>
      </c>
      <c r="Q12" s="91">
        <f t="shared" si="3"/>
        <v>7791795.8109272597</v>
      </c>
      <c r="R12" s="92">
        <f t="shared" si="5"/>
        <v>8.4350959416969342</v>
      </c>
    </row>
    <row r="13" spans="2:18">
      <c r="B13" s="89" t="s">
        <v>195</v>
      </c>
      <c r="C13" s="90">
        <v>900</v>
      </c>
      <c r="D13" s="90">
        <v>2</v>
      </c>
      <c r="E13" s="90">
        <v>9224</v>
      </c>
      <c r="F13" s="90">
        <v>7</v>
      </c>
      <c r="G13" s="88">
        <f t="shared" si="4"/>
        <v>134406857.14285713</v>
      </c>
      <c r="H13" s="90">
        <v>2</v>
      </c>
      <c r="I13" s="90">
        <v>9341</v>
      </c>
      <c r="J13" s="90">
        <v>7</v>
      </c>
      <c r="K13" s="88">
        <f t="shared" si="0"/>
        <v>136111714.28571427</v>
      </c>
      <c r="L13" s="90">
        <v>2</v>
      </c>
      <c r="M13" s="90">
        <v>9173</v>
      </c>
      <c r="N13" s="90">
        <v>7</v>
      </c>
      <c r="O13" s="88">
        <f t="shared" si="1"/>
        <v>133663714.28571427</v>
      </c>
      <c r="P13" s="91">
        <f t="shared" si="2"/>
        <v>134727428.57142857</v>
      </c>
      <c r="Q13" s="91">
        <f t="shared" si="3"/>
        <v>1255089.8496172463</v>
      </c>
      <c r="R13" s="92">
        <f t="shared" si="5"/>
        <v>8.1294560208497231</v>
      </c>
    </row>
    <row r="14" spans="2:18">
      <c r="B14" s="89" t="s">
        <v>196</v>
      </c>
      <c r="C14" s="90">
        <v>900</v>
      </c>
      <c r="D14" s="90">
        <v>2</v>
      </c>
      <c r="E14" s="90">
        <v>4238</v>
      </c>
      <c r="F14" s="90">
        <v>7</v>
      </c>
      <c r="G14" s="88">
        <f t="shared" si="4"/>
        <v>61753714.285714284</v>
      </c>
      <c r="H14" s="90">
        <v>2</v>
      </c>
      <c r="I14" s="90">
        <v>4832</v>
      </c>
      <c r="J14" s="90">
        <v>7</v>
      </c>
      <c r="K14" s="88">
        <f t="shared" si="0"/>
        <v>70409142.857142866</v>
      </c>
      <c r="L14" s="90">
        <v>2</v>
      </c>
      <c r="M14" s="90">
        <v>4770</v>
      </c>
      <c r="N14" s="90">
        <v>7</v>
      </c>
      <c r="O14" s="88">
        <f t="shared" si="1"/>
        <v>69505714.285714284</v>
      </c>
      <c r="P14" s="91">
        <f t="shared" si="2"/>
        <v>67222857.142857134</v>
      </c>
      <c r="Q14" s="91">
        <f t="shared" si="3"/>
        <v>4757907.9950957391</v>
      </c>
      <c r="R14" s="92">
        <f t="shared" si="5"/>
        <v>7.8275169671487372</v>
      </c>
    </row>
    <row r="15" spans="2:18">
      <c r="B15" s="89" t="s">
        <v>197</v>
      </c>
      <c r="C15" s="90">
        <v>900</v>
      </c>
      <c r="D15" s="90">
        <v>1</v>
      </c>
      <c r="E15" s="90">
        <v>22411</v>
      </c>
      <c r="F15" s="90">
        <v>7</v>
      </c>
      <c r="G15" s="88">
        <f t="shared" si="4"/>
        <v>32656028.571428567</v>
      </c>
      <c r="H15" s="90">
        <v>1</v>
      </c>
      <c r="I15" s="90">
        <v>23826</v>
      </c>
      <c r="J15" s="90">
        <v>7</v>
      </c>
      <c r="K15" s="88">
        <f t="shared" si="0"/>
        <v>34717885.714285716</v>
      </c>
      <c r="L15" s="90">
        <v>1</v>
      </c>
      <c r="M15" s="90">
        <v>24471</v>
      </c>
      <c r="N15" s="90">
        <v>7</v>
      </c>
      <c r="O15" s="88">
        <f t="shared" si="1"/>
        <v>35657742.857142851</v>
      </c>
      <c r="P15" s="91">
        <f t="shared" si="2"/>
        <v>34343885.714285709</v>
      </c>
      <c r="Q15" s="91">
        <f t="shared" si="3"/>
        <v>1535408.4678890193</v>
      </c>
      <c r="R15" s="92">
        <f t="shared" si="5"/>
        <v>7.5358494302775298</v>
      </c>
    </row>
    <row r="16" spans="2:18">
      <c r="B16" s="89" t="s">
        <v>198</v>
      </c>
      <c r="C16" s="90">
        <v>900</v>
      </c>
      <c r="D16" s="90">
        <v>1</v>
      </c>
      <c r="E16" s="90">
        <v>12012</v>
      </c>
      <c r="F16" s="90">
        <v>7</v>
      </c>
      <c r="G16" s="88">
        <f t="shared" si="4"/>
        <v>17503199.999999996</v>
      </c>
      <c r="H16" s="90">
        <v>1</v>
      </c>
      <c r="I16" s="90">
        <v>12668</v>
      </c>
      <c r="J16" s="90">
        <v>7</v>
      </c>
      <c r="K16" s="88">
        <f t="shared" si="0"/>
        <v>18459085.714285713</v>
      </c>
      <c r="L16" s="90">
        <v>1</v>
      </c>
      <c r="M16" s="90">
        <v>11470</v>
      </c>
      <c r="N16" s="90">
        <v>7</v>
      </c>
      <c r="O16" s="88">
        <f t="shared" si="1"/>
        <v>16713428.571428573</v>
      </c>
      <c r="P16" s="91">
        <f t="shared" si="2"/>
        <v>17558571.428571429</v>
      </c>
      <c r="Q16" s="91">
        <f t="shared" si="3"/>
        <v>874144.84579420183</v>
      </c>
      <c r="R16" s="92">
        <f t="shared" si="5"/>
        <v>7.2444891786585481</v>
      </c>
    </row>
    <row r="17" spans="2:18">
      <c r="B17" s="89" t="s">
        <v>199</v>
      </c>
      <c r="C17" s="90">
        <v>900</v>
      </c>
      <c r="D17" s="90">
        <v>1</v>
      </c>
      <c r="E17" s="90">
        <v>5750</v>
      </c>
      <c r="F17" s="90">
        <v>7</v>
      </c>
      <c r="G17" s="88">
        <f t="shared" si="4"/>
        <v>8378571.4285714272</v>
      </c>
      <c r="H17" s="90">
        <v>1</v>
      </c>
      <c r="I17" s="90">
        <v>5481</v>
      </c>
      <c r="J17" s="90">
        <v>7</v>
      </c>
      <c r="K17" s="88">
        <f t="shared" si="0"/>
        <v>7986599.9999999991</v>
      </c>
      <c r="L17" s="90">
        <v>1</v>
      </c>
      <c r="M17" s="90">
        <v>5831</v>
      </c>
      <c r="N17" s="90">
        <v>7</v>
      </c>
      <c r="O17" s="88">
        <f t="shared" si="1"/>
        <v>8496599.9999999981</v>
      </c>
      <c r="P17" s="91">
        <f t="shared" si="2"/>
        <v>8287257.1428571418</v>
      </c>
      <c r="Q17" s="91">
        <f t="shared" si="3"/>
        <v>266980.75601367303</v>
      </c>
      <c r="R17" s="92">
        <f t="shared" si="5"/>
        <v>6.9184108146481318</v>
      </c>
    </row>
    <row r="18" spans="2:18">
      <c r="B18" s="89" t="s">
        <v>200</v>
      </c>
      <c r="C18" s="90">
        <v>900</v>
      </c>
      <c r="D18" s="90">
        <v>1</v>
      </c>
      <c r="E18" s="90">
        <v>2868</v>
      </c>
      <c r="F18" s="90">
        <v>7</v>
      </c>
      <c r="G18" s="88">
        <f t="shared" si="4"/>
        <v>4179085.7142857141</v>
      </c>
      <c r="H18" s="90">
        <v>1</v>
      </c>
      <c r="I18" s="90">
        <v>2835</v>
      </c>
      <c r="J18" s="90">
        <v>7</v>
      </c>
      <c r="K18" s="88">
        <f t="shared" si="0"/>
        <v>4131000</v>
      </c>
      <c r="L18" s="90">
        <v>1</v>
      </c>
      <c r="M18" s="90">
        <v>2976</v>
      </c>
      <c r="N18" s="90">
        <v>7</v>
      </c>
      <c r="O18" s="88">
        <f t="shared" si="1"/>
        <v>4336457.1428571427</v>
      </c>
      <c r="P18" s="91">
        <f t="shared" si="2"/>
        <v>4215514.2857142854</v>
      </c>
      <c r="Q18" s="91">
        <f t="shared" si="3"/>
        <v>107463.6682790979</v>
      </c>
      <c r="R18" s="92">
        <f t="shared" si="5"/>
        <v>6.6248505653956435</v>
      </c>
    </row>
    <row r="19" spans="2:18">
      <c r="B19" s="89" t="s">
        <v>201</v>
      </c>
      <c r="C19" s="90">
        <v>900</v>
      </c>
      <c r="D19" s="90">
        <v>0</v>
      </c>
      <c r="E19" s="90">
        <v>10096</v>
      </c>
      <c r="F19" s="90">
        <v>7</v>
      </c>
      <c r="G19" s="88">
        <f t="shared" si="4"/>
        <v>1471131.4285714284</v>
      </c>
      <c r="H19" s="90">
        <v>0</v>
      </c>
      <c r="I19" s="90">
        <v>8923</v>
      </c>
      <c r="J19" s="90">
        <v>7</v>
      </c>
      <c r="K19" s="88">
        <f>(I19/J19)*(10.2)*POWER(10,H19+2)</f>
        <v>1300208.5714285716</v>
      </c>
      <c r="L19" s="90">
        <v>0</v>
      </c>
      <c r="M19" s="90">
        <v>8050</v>
      </c>
      <c r="N19" s="90">
        <v>7</v>
      </c>
      <c r="O19" s="88">
        <f t="shared" si="1"/>
        <v>1173000</v>
      </c>
      <c r="P19" s="91">
        <f t="shared" si="2"/>
        <v>1314780</v>
      </c>
      <c r="Q19" s="91">
        <f t="shared" si="3"/>
        <v>149598.9039848533</v>
      </c>
      <c r="R19" s="92">
        <f t="shared" si="5"/>
        <v>6.118853089115321</v>
      </c>
    </row>
    <row r="20" spans="2:18" ht="15" thickBot="1"/>
    <row r="21" spans="2:18" ht="55" customHeight="1" thickBot="1"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208</v>
      </c>
      <c r="J21" s="95" t="s">
        <v>209</v>
      </c>
      <c r="K21" s="95" t="s">
        <v>210</v>
      </c>
      <c r="L21" s="95" t="s">
        <v>211</v>
      </c>
      <c r="M21" s="96" t="s">
        <v>212</v>
      </c>
    </row>
    <row r="23" spans="2:18">
      <c r="B23" s="89" t="s">
        <v>186</v>
      </c>
      <c r="C23" s="97">
        <v>16.382114410400391</v>
      </c>
      <c r="D23" s="97">
        <v>16.2430419921875</v>
      </c>
      <c r="E23" s="97">
        <v>16.416009902954102</v>
      </c>
      <c r="F23" s="97">
        <f>AVERAGE(C23:E23)</f>
        <v>16.347055435180664</v>
      </c>
      <c r="G23" s="83">
        <f>15*180/4*1000/900</f>
        <v>750</v>
      </c>
      <c r="H23" s="83">
        <f>LOG(G23)/LOG(2)</f>
        <v>9.5507467853832431</v>
      </c>
      <c r="I23" s="90">
        <f>C23-H23</f>
        <v>6.8313676250171476</v>
      </c>
      <c r="J23" s="90">
        <f>D23-H23</f>
        <v>6.6922952068042569</v>
      </c>
      <c r="K23" s="90">
        <f>E23-H23</f>
        <v>6.8652631175708585</v>
      </c>
      <c r="L23" s="98">
        <f>AVERAGE(I23:K23)</f>
        <v>6.796308649797421</v>
      </c>
    </row>
    <row r="24" spans="2:18">
      <c r="B24" s="89" t="s">
        <v>187</v>
      </c>
      <c r="C24" s="97">
        <v>20.246736526489258</v>
      </c>
      <c r="D24" s="97">
        <v>20.337041854858398</v>
      </c>
      <c r="E24" s="97">
        <v>20.223323822021484</v>
      </c>
      <c r="F24" s="97">
        <f t="shared" ref="F24:F38" si="6">AVERAGE(C24:E24)</f>
        <v>20.269034067789715</v>
      </c>
      <c r="G24" s="83">
        <f t="shared" ref="G24:G26" si="7">15*180/4*1000/900</f>
        <v>750</v>
      </c>
      <c r="H24" s="83">
        <f t="shared" ref="H24:H38" si="8">LOG(G24)/LOG(2)</f>
        <v>9.5507467853832431</v>
      </c>
      <c r="I24" s="90">
        <f t="shared" ref="I24:I38" si="9">C24-H24</f>
        <v>10.695989741106015</v>
      </c>
      <c r="J24" s="90">
        <f t="shared" ref="J24:J38" si="10">D24-H24</f>
        <v>10.786295069475155</v>
      </c>
      <c r="K24" s="90">
        <f t="shared" ref="K24:K38" si="11">E24-H24</f>
        <v>10.672577036638241</v>
      </c>
      <c r="L24" s="98">
        <f t="shared" ref="L24:L38" si="12">AVERAGE(I24:K24)</f>
        <v>10.71828728240647</v>
      </c>
    </row>
    <row r="25" spans="2:18">
      <c r="B25" s="89" t="s">
        <v>188</v>
      </c>
      <c r="C25" s="97">
        <v>23.471084594726562</v>
      </c>
      <c r="D25" s="97">
        <v>23.434993743896484</v>
      </c>
      <c r="E25" s="97">
        <v>23.65556526184082</v>
      </c>
      <c r="F25" s="97">
        <f t="shared" si="6"/>
        <v>23.520547866821289</v>
      </c>
      <c r="G25" s="83">
        <f t="shared" si="7"/>
        <v>750</v>
      </c>
      <c r="H25" s="83">
        <f t="shared" si="8"/>
        <v>9.5507467853832431</v>
      </c>
      <c r="I25" s="90">
        <f t="shared" si="9"/>
        <v>13.920337809343319</v>
      </c>
      <c r="J25" s="90">
        <f t="shared" si="10"/>
        <v>13.884246958513241</v>
      </c>
      <c r="K25" s="90">
        <f t="shared" si="11"/>
        <v>14.104818476457577</v>
      </c>
      <c r="L25" s="98">
        <f t="shared" si="12"/>
        <v>13.969801081438044</v>
      </c>
    </row>
    <row r="26" spans="2:18">
      <c r="B26" s="89" t="s">
        <v>189</v>
      </c>
      <c r="C26" s="97">
        <v>27.687118530273438</v>
      </c>
      <c r="D26" s="97">
        <v>27.683933258056641</v>
      </c>
      <c r="E26" s="97">
        <v>27.721792221069336</v>
      </c>
      <c r="F26" s="97">
        <f t="shared" si="6"/>
        <v>27.697614669799805</v>
      </c>
      <c r="G26" s="83">
        <f t="shared" si="7"/>
        <v>750</v>
      </c>
      <c r="H26" s="83">
        <f t="shared" si="8"/>
        <v>9.5507467853832431</v>
      </c>
      <c r="I26" s="90">
        <f t="shared" si="9"/>
        <v>18.136371744890194</v>
      </c>
      <c r="J26" s="90">
        <f t="shared" si="10"/>
        <v>18.133186472673398</v>
      </c>
      <c r="K26" s="90">
        <f t="shared" si="11"/>
        <v>18.171045435686093</v>
      </c>
      <c r="L26" s="98">
        <f t="shared" si="12"/>
        <v>18.146867884416562</v>
      </c>
    </row>
    <row r="27" spans="2:18">
      <c r="B27" s="89" t="s">
        <v>190</v>
      </c>
      <c r="C27" s="97">
        <v>31.580327987670898</v>
      </c>
      <c r="D27" s="97">
        <v>31.876550674438477</v>
      </c>
      <c r="E27" s="97">
        <v>31.972114562988281</v>
      </c>
      <c r="F27" s="97">
        <f t="shared" si="6"/>
        <v>31.809664408365887</v>
      </c>
      <c r="G27" s="83">
        <f>15*180/4*1000/900</f>
        <v>750</v>
      </c>
      <c r="H27" s="83">
        <f>LOG(G27)/LOG(2)</f>
        <v>9.5507467853832431</v>
      </c>
      <c r="I27" s="90">
        <f t="shared" si="9"/>
        <v>22.029581202287655</v>
      </c>
      <c r="J27" s="90">
        <f t="shared" si="10"/>
        <v>22.325803889055233</v>
      </c>
      <c r="K27" s="90">
        <f t="shared" si="11"/>
        <v>22.421367777605038</v>
      </c>
      <c r="L27" s="98">
        <f t="shared" si="12"/>
        <v>22.25891762298264</v>
      </c>
    </row>
    <row r="28" spans="2:18">
      <c r="B28" s="89" t="s">
        <v>191</v>
      </c>
      <c r="C28" s="97">
        <v>16.648801803588867</v>
      </c>
      <c r="D28" s="97">
        <v>17.485513687133789</v>
      </c>
      <c r="E28" s="97">
        <v>16.725131988525391</v>
      </c>
      <c r="F28" s="97">
        <f t="shared" si="6"/>
        <v>16.953149159749348</v>
      </c>
      <c r="G28" s="83">
        <f>15*180/4*1000/1000</f>
        <v>675</v>
      </c>
      <c r="H28" s="83">
        <f t="shared" si="8"/>
        <v>9.3987436919381935</v>
      </c>
      <c r="I28" s="90">
        <f t="shared" si="9"/>
        <v>7.2500581116506737</v>
      </c>
      <c r="J28" s="90">
        <f t="shared" si="10"/>
        <v>8.0867699951955956</v>
      </c>
      <c r="K28" s="90">
        <f t="shared" si="11"/>
        <v>7.3263882965871971</v>
      </c>
      <c r="L28" s="98">
        <f t="shared" si="12"/>
        <v>7.5544054678111552</v>
      </c>
    </row>
    <row r="29" spans="2:18">
      <c r="B29" s="89" t="s">
        <v>192</v>
      </c>
      <c r="C29" s="97">
        <v>19.15205192565918</v>
      </c>
      <c r="D29" s="97">
        <v>18.957448959350586</v>
      </c>
      <c r="E29" s="97">
        <v>18.855649948120117</v>
      </c>
      <c r="F29" s="97">
        <f t="shared" si="6"/>
        <v>18.988383611043293</v>
      </c>
      <c r="G29" s="83">
        <f>15*180/4*1000/500</f>
        <v>1350</v>
      </c>
      <c r="H29" s="83">
        <f t="shared" si="8"/>
        <v>10.398743691938193</v>
      </c>
      <c r="I29" s="90">
        <f t="shared" si="9"/>
        <v>8.7533082337209862</v>
      </c>
      <c r="J29" s="90">
        <f t="shared" si="10"/>
        <v>8.5587052674123925</v>
      </c>
      <c r="K29" s="90">
        <f t="shared" si="11"/>
        <v>8.4569062561819237</v>
      </c>
      <c r="L29" s="98">
        <f t="shared" si="12"/>
        <v>8.5896399191051014</v>
      </c>
    </row>
    <row r="30" spans="2:18">
      <c r="B30" s="89" t="s">
        <v>193</v>
      </c>
      <c r="C30" s="97">
        <v>19.934587478637695</v>
      </c>
      <c r="D30" s="97">
        <v>19.768661499023438</v>
      </c>
      <c r="E30" s="97">
        <v>19.823604583740234</v>
      </c>
      <c r="F30" s="97">
        <f t="shared" si="6"/>
        <v>19.842284520467121</v>
      </c>
      <c r="G30" s="83">
        <f t="shared" ref="G30:G38" si="13">15*180/4*1000/500</f>
        <v>1350</v>
      </c>
      <c r="H30" s="83">
        <f t="shared" si="8"/>
        <v>10.398743691938193</v>
      </c>
      <c r="I30" s="90">
        <f t="shared" si="9"/>
        <v>9.5358437866995018</v>
      </c>
      <c r="J30" s="90">
        <f t="shared" si="10"/>
        <v>9.369917807085244</v>
      </c>
      <c r="K30" s="90">
        <f t="shared" si="11"/>
        <v>9.4248608918020409</v>
      </c>
      <c r="L30" s="98">
        <f t="shared" si="12"/>
        <v>9.4435408285289295</v>
      </c>
    </row>
    <row r="31" spans="2:18">
      <c r="B31" s="89" t="s">
        <v>194</v>
      </c>
      <c r="C31" s="97">
        <v>20.650510787963867</v>
      </c>
      <c r="D31" s="97">
        <v>20.447122573852539</v>
      </c>
      <c r="E31" s="97">
        <v>20.447004318237305</v>
      </c>
      <c r="F31" s="97">
        <f t="shared" si="6"/>
        <v>20.51487922668457</v>
      </c>
      <c r="G31" s="83">
        <f t="shared" si="13"/>
        <v>1350</v>
      </c>
      <c r="H31" s="83">
        <f t="shared" si="8"/>
        <v>10.398743691938193</v>
      </c>
      <c r="I31" s="90">
        <f t="shared" si="9"/>
        <v>10.251767096025674</v>
      </c>
      <c r="J31" s="90">
        <f t="shared" si="10"/>
        <v>10.048378881914346</v>
      </c>
      <c r="K31" s="90">
        <f t="shared" si="11"/>
        <v>10.048260626299111</v>
      </c>
      <c r="L31" s="98">
        <f t="shared" si="12"/>
        <v>10.116135534746377</v>
      </c>
    </row>
    <row r="32" spans="2:18">
      <c r="B32" s="89" t="s">
        <v>195</v>
      </c>
      <c r="C32" s="97">
        <v>21.825428009033203</v>
      </c>
      <c r="D32" s="97">
        <v>21.617404937744141</v>
      </c>
      <c r="E32" s="97">
        <v>21.863065719604492</v>
      </c>
      <c r="F32" s="97">
        <f t="shared" si="6"/>
        <v>21.768632888793945</v>
      </c>
      <c r="G32" s="83">
        <f t="shared" si="13"/>
        <v>1350</v>
      </c>
      <c r="H32" s="83">
        <f t="shared" si="8"/>
        <v>10.398743691938193</v>
      </c>
      <c r="I32" s="90">
        <f t="shared" si="9"/>
        <v>11.42668431709501</v>
      </c>
      <c r="J32" s="90">
        <f t="shared" si="10"/>
        <v>11.218661245805947</v>
      </c>
      <c r="K32" s="90">
        <f t="shared" si="11"/>
        <v>11.464322027666299</v>
      </c>
      <c r="L32" s="98">
        <f t="shared" si="12"/>
        <v>11.369889196855752</v>
      </c>
    </row>
    <row r="33" spans="2:12">
      <c r="B33" s="89" t="s">
        <v>196</v>
      </c>
      <c r="C33" s="97">
        <v>22.909189224243164</v>
      </c>
      <c r="D33" s="97">
        <v>22.986705780029297</v>
      </c>
      <c r="E33" s="97">
        <v>23.151363372802734</v>
      </c>
      <c r="F33" s="97">
        <f t="shared" si="6"/>
        <v>23.015752792358398</v>
      </c>
      <c r="G33" s="83">
        <f>15*180/4*1000/500</f>
        <v>1350</v>
      </c>
      <c r="H33" s="83">
        <f t="shared" si="8"/>
        <v>10.398743691938193</v>
      </c>
      <c r="I33" s="90">
        <f t="shared" si="9"/>
        <v>12.510445532304971</v>
      </c>
      <c r="J33" s="90">
        <f t="shared" si="10"/>
        <v>12.587962088091103</v>
      </c>
      <c r="K33" s="90">
        <f t="shared" si="11"/>
        <v>12.752619680864541</v>
      </c>
      <c r="L33" s="98">
        <f t="shared" si="12"/>
        <v>12.617009100420205</v>
      </c>
    </row>
    <row r="34" spans="2:12">
      <c r="B34" s="89" t="s">
        <v>197</v>
      </c>
      <c r="C34" s="97">
        <v>24.431295394897461</v>
      </c>
      <c r="D34" s="97">
        <v>24.009675979614258</v>
      </c>
      <c r="E34" s="97">
        <v>23.951196670532227</v>
      </c>
      <c r="F34" s="97">
        <f t="shared" si="6"/>
        <v>24.130722681681316</v>
      </c>
      <c r="G34" s="83">
        <f t="shared" si="13"/>
        <v>1350</v>
      </c>
      <c r="H34" s="83">
        <f t="shared" si="8"/>
        <v>10.398743691938193</v>
      </c>
      <c r="I34" s="90">
        <f t="shared" si="9"/>
        <v>14.032551702959267</v>
      </c>
      <c r="J34" s="90">
        <f t="shared" si="10"/>
        <v>13.610932287676064</v>
      </c>
      <c r="K34" s="90">
        <f t="shared" si="11"/>
        <v>13.552452978594033</v>
      </c>
      <c r="L34" s="98">
        <f t="shared" si="12"/>
        <v>13.731978989743121</v>
      </c>
    </row>
    <row r="35" spans="2:12">
      <c r="B35" s="89" t="s">
        <v>198</v>
      </c>
      <c r="C35" s="97">
        <v>25.132335662841797</v>
      </c>
      <c r="D35" s="97">
        <v>24.967596054077148</v>
      </c>
      <c r="E35" s="97">
        <v>25.03386116027832</v>
      </c>
      <c r="F35" s="97">
        <f t="shared" si="6"/>
        <v>25.044597625732422</v>
      </c>
      <c r="G35" s="83">
        <f t="shared" si="13"/>
        <v>1350</v>
      </c>
      <c r="H35" s="83">
        <f t="shared" si="8"/>
        <v>10.398743691938193</v>
      </c>
      <c r="I35" s="90">
        <f t="shared" si="9"/>
        <v>14.733591970903603</v>
      </c>
      <c r="J35" s="90">
        <f t="shared" si="10"/>
        <v>14.568852362138955</v>
      </c>
      <c r="K35" s="90">
        <f t="shared" si="11"/>
        <v>14.635117468340127</v>
      </c>
      <c r="L35" s="98">
        <f t="shared" si="12"/>
        <v>14.645853933794228</v>
      </c>
    </row>
    <row r="36" spans="2:12">
      <c r="B36" s="89" t="s">
        <v>199</v>
      </c>
      <c r="C36" s="97">
        <v>26.708147048950195</v>
      </c>
      <c r="D36" s="97">
        <v>26.763067245483398</v>
      </c>
      <c r="E36" s="97"/>
      <c r="F36" s="97">
        <f t="shared" si="6"/>
        <v>26.735607147216797</v>
      </c>
      <c r="G36" s="83">
        <f t="shared" si="13"/>
        <v>1350</v>
      </c>
      <c r="H36" s="83">
        <f t="shared" si="8"/>
        <v>10.398743691938193</v>
      </c>
      <c r="I36" s="90">
        <f t="shared" si="9"/>
        <v>16.309403357012002</v>
      </c>
      <c r="J36" s="90">
        <f t="shared" si="10"/>
        <v>16.364323553545205</v>
      </c>
      <c r="K36" s="90"/>
      <c r="L36" s="98">
        <f t="shared" si="12"/>
        <v>16.336863455278603</v>
      </c>
    </row>
    <row r="37" spans="2:12">
      <c r="B37" s="89" t="s">
        <v>200</v>
      </c>
      <c r="C37" s="97">
        <v>27.613700866699219</v>
      </c>
      <c r="D37" s="97">
        <v>27.812423706054688</v>
      </c>
      <c r="E37" s="97">
        <v>27.789873123168945</v>
      </c>
      <c r="F37" s="97">
        <f t="shared" si="6"/>
        <v>27.738665898640949</v>
      </c>
      <c r="G37" s="83">
        <f t="shared" si="13"/>
        <v>1350</v>
      </c>
      <c r="H37" s="83">
        <f t="shared" si="8"/>
        <v>10.398743691938193</v>
      </c>
      <c r="I37" s="90">
        <f t="shared" si="9"/>
        <v>17.214957174761025</v>
      </c>
      <c r="J37" s="90">
        <f t="shared" si="10"/>
        <v>17.413680014116494</v>
      </c>
      <c r="K37" s="90">
        <f t="shared" si="11"/>
        <v>17.391129431230752</v>
      </c>
      <c r="L37" s="98">
        <f t="shared" si="12"/>
        <v>17.339922206702756</v>
      </c>
    </row>
    <row r="38" spans="2:12">
      <c r="B38" s="89" t="s">
        <v>201</v>
      </c>
      <c r="C38" s="97">
        <v>29.07282829284668</v>
      </c>
      <c r="D38" s="97">
        <v>28.964012145996094</v>
      </c>
      <c r="E38" s="97">
        <v>29.311826705932617</v>
      </c>
      <c r="F38" s="97">
        <f t="shared" si="6"/>
        <v>29.116222381591797</v>
      </c>
      <c r="G38" s="83">
        <f t="shared" si="13"/>
        <v>1350</v>
      </c>
      <c r="H38" s="83">
        <f t="shared" si="8"/>
        <v>10.398743691938193</v>
      </c>
      <c r="I38" s="90">
        <f t="shared" si="9"/>
        <v>18.674084600908486</v>
      </c>
      <c r="J38" s="90">
        <f t="shared" si="10"/>
        <v>18.5652684540579</v>
      </c>
      <c r="K38" s="90">
        <f t="shared" si="11"/>
        <v>18.913083013994424</v>
      </c>
      <c r="L38" s="98">
        <f t="shared" si="12"/>
        <v>18.717478689653603</v>
      </c>
    </row>
    <row r="40" spans="2:12">
      <c r="B40" s="89" t="s">
        <v>213</v>
      </c>
      <c r="C40" s="97">
        <v>15.713388442993164</v>
      </c>
      <c r="D40" s="97">
        <v>15.726656913757324</v>
      </c>
      <c r="E40" s="97">
        <v>15.612536430358887</v>
      </c>
      <c r="F40" s="97">
        <f>AVERAGE(C40:E40)</f>
        <v>15.684193929036459</v>
      </c>
    </row>
    <row r="42" spans="2:12">
      <c r="B42" s="99" t="s">
        <v>214</v>
      </c>
      <c r="C42" s="83" t="s">
        <v>215</v>
      </c>
    </row>
    <row r="43" spans="2:12">
      <c r="B43" s="96" t="s">
        <v>216</v>
      </c>
      <c r="C43" s="83" t="s">
        <v>215</v>
      </c>
    </row>
    <row r="44" spans="2:12">
      <c r="C44" s="100" t="s">
        <v>217</v>
      </c>
      <c r="D44" s="98">
        <v>-3.6977000000000002</v>
      </c>
    </row>
    <row r="45" spans="2:12">
      <c r="C45" s="100" t="s">
        <v>218</v>
      </c>
      <c r="D45" s="98">
        <v>41.616</v>
      </c>
    </row>
    <row r="48" spans="2:12">
      <c r="B48" s="96" t="s">
        <v>219</v>
      </c>
      <c r="D48" s="83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3"/>
  <sheetViews>
    <sheetView topLeftCell="A55" workbookViewId="0">
      <selection activeCell="H74" sqref="H74"/>
    </sheetView>
  </sheetViews>
  <sheetFormatPr baseColWidth="10" defaultColWidth="8.83203125" defaultRowHeight="14" x14ac:dyDescent="0"/>
  <cols>
    <col min="1" max="1" width="13.33203125" style="83" bestFit="1" customWidth="1"/>
    <col min="2" max="4" width="8.83203125" style="83"/>
    <col min="5" max="6" width="13.33203125" style="83" bestFit="1" customWidth="1"/>
    <col min="7" max="10" width="13.6640625" style="83" customWidth="1"/>
    <col min="11" max="11" width="16.5" style="83" bestFit="1" customWidth="1"/>
    <col min="12" max="12" width="17" style="83" customWidth="1"/>
    <col min="13" max="13" width="19.1640625" style="83" customWidth="1"/>
    <col min="14" max="14" width="17" style="83" customWidth="1"/>
    <col min="15" max="15" width="18.83203125" style="83" customWidth="1"/>
    <col min="16" max="16" width="18" style="83" customWidth="1"/>
    <col min="17" max="17" width="23.5" style="83" customWidth="1"/>
    <col min="18" max="18" width="18.5" style="83" customWidth="1"/>
    <col min="19" max="19" width="23.5" style="83" customWidth="1"/>
    <col min="20" max="16384" width="8.83203125" style="83"/>
  </cols>
  <sheetData>
    <row r="1" spans="1:19">
      <c r="A1" s="101" t="s">
        <v>220</v>
      </c>
    </row>
    <row r="2" spans="1:19">
      <c r="A2" s="129" t="s">
        <v>4</v>
      </c>
      <c r="B2" s="129" t="s">
        <v>117</v>
      </c>
      <c r="C2" s="129" t="s">
        <v>117</v>
      </c>
      <c r="D2" s="129" t="s">
        <v>5</v>
      </c>
      <c r="E2" s="141" t="s">
        <v>221</v>
      </c>
      <c r="F2" s="141" t="s">
        <v>222</v>
      </c>
      <c r="G2" s="141" t="s">
        <v>223</v>
      </c>
      <c r="H2" s="143" t="s">
        <v>224</v>
      </c>
      <c r="I2" s="143" t="s">
        <v>225</v>
      </c>
      <c r="J2" s="143" t="s">
        <v>226</v>
      </c>
      <c r="K2" s="141" t="s">
        <v>227</v>
      </c>
      <c r="L2" s="141" t="s">
        <v>228</v>
      </c>
      <c r="M2" s="141" t="s">
        <v>229</v>
      </c>
      <c r="N2" s="141" t="s">
        <v>230</v>
      </c>
      <c r="O2" s="141" t="s">
        <v>231</v>
      </c>
      <c r="P2" s="143" t="s">
        <v>232</v>
      </c>
      <c r="Q2" s="143" t="s">
        <v>233</v>
      </c>
      <c r="R2" s="146" t="s">
        <v>234</v>
      </c>
      <c r="S2" s="143" t="s">
        <v>235</v>
      </c>
    </row>
    <row r="3" spans="1:19">
      <c r="A3" s="130"/>
      <c r="B3" s="130"/>
      <c r="C3" s="130"/>
      <c r="D3" s="130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7"/>
      <c r="S3" s="142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34.896526336669922</v>
      </c>
      <c r="F4" s="97">
        <v>35.699108123779297</v>
      </c>
      <c r="G4" s="97">
        <v>33.978900909423828</v>
      </c>
      <c r="H4" s="97">
        <f>E4-$H$60+$H$73</f>
        <v>34.695153518879053</v>
      </c>
      <c r="I4" s="97">
        <f>F4-$H$60+$H$73</f>
        <v>35.497735305988428</v>
      </c>
      <c r="J4" s="97">
        <f>G4-$H$60+$H$73</f>
        <v>33.777528091632959</v>
      </c>
      <c r="K4" s="102">
        <f>((H4-'Calibration R. intestinalis '!$D$45)/('Calibration R. intestinalis '!$D$44))+$C$24</f>
        <v>5.8036286295673829</v>
      </c>
      <c r="L4" s="102">
        <f>((I4-'Calibration R. intestinalis '!$D$45)/('Calibration R. intestinalis '!$D$44))+$C$24</f>
        <v>5.5865797107504491</v>
      </c>
      <c r="M4" s="102">
        <f>((J4-'Calibration R. intestinalis '!$D$45)/('Calibration R. intestinalis '!$D$44))+$C$24</f>
        <v>6.0517897641229421</v>
      </c>
      <c r="N4" s="103">
        <f>AVERAGE(K4:M4)</f>
        <v>5.8139993681469244</v>
      </c>
      <c r="O4" s="103">
        <f>STDEV(K4:M4)</f>
        <v>0.2327783551014212</v>
      </c>
      <c r="P4" s="98">
        <f>(AVERAGE(POWER(10,K4),POWER(10,L4),POWER(10,M4)))*Calculation!$I4/Calculation!$K3</f>
        <v>717653.85038197332</v>
      </c>
      <c r="Q4" s="104">
        <f>(STDEV(POWER(10,K4),POWER(10,L4),POWER(10,M4)))*Calculation!$I4/Calculation!$K3</f>
        <v>377474.63611964369</v>
      </c>
      <c r="R4" s="103">
        <f>LOG(P4)</f>
        <v>5.8559150192867024</v>
      </c>
      <c r="S4" s="103">
        <f>O4*Calculation!$I4/Calculation!$K3</f>
        <v>0.23321871094458474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5">
        <v>33.809139251708984</v>
      </c>
      <c r="F5" s="97">
        <v>33.113513946533203</v>
      </c>
      <c r="G5" s="97">
        <v>33.082035064697266</v>
      </c>
      <c r="H5" s="97">
        <f>E5-$H$60+$H$73</f>
        <v>33.607766433918115</v>
      </c>
      <c r="I5" s="97">
        <f>F5-$H$60+$H$73</f>
        <v>32.912141128742334</v>
      </c>
      <c r="J5" s="97">
        <f>G5-$H$60+$H$73</f>
        <v>32.880662246906397</v>
      </c>
      <c r="K5" s="102">
        <f>((H5-'Calibration R. intestinalis '!$D$45)/('Calibration R. intestinalis '!$D$44))+$C$24</f>
        <v>6.0976998319258584</v>
      </c>
      <c r="L5" s="102">
        <f>((I5-'Calibration R. intestinalis '!$D$45)/('Calibration R. intestinalis '!$D$44))+$C$24</f>
        <v>6.2858236129723961</v>
      </c>
      <c r="M5" s="102">
        <f>((J5-'Calibration R. intestinalis '!$D$45)/('Calibration R. intestinalis '!$D$44))+$C$24</f>
        <v>6.2943367107996773</v>
      </c>
      <c r="N5" s="103">
        <f t="shared" ref="N5:N20" si="1">AVERAGE(K5:M5)</f>
        <v>6.2259533852326436</v>
      </c>
      <c r="O5" s="103">
        <f t="shared" ref="O5:O20" si="2">STDEV(K5:M5)</f>
        <v>0.11115236686871122</v>
      </c>
      <c r="P5" s="98">
        <f>(AVERAGE(POWER(10,K5),POWER(10,L5),POWER(10,M5)))*Calculation!$I5/Calculation!$K4</f>
        <v>1720873.2153695987</v>
      </c>
      <c r="Q5" s="104">
        <f>(STDEV(POWER(10,K5),POWER(10,L5),POWER(10,M5)))*Calculation!$I5/Calculation!$K4</f>
        <v>404219.95895832434</v>
      </c>
      <c r="R5" s="103">
        <f t="shared" ref="R5:R20" si="3">LOG(P5)</f>
        <v>6.2357488750378138</v>
      </c>
      <c r="S5" s="103">
        <f>O5*Calculation!$I5/Calculation!$K4</f>
        <v>0.11136263811240468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35.151050567626953</v>
      </c>
      <c r="F6" s="97">
        <v>34.847793579101562</v>
      </c>
      <c r="G6" s="97">
        <v>35.336917877197266</v>
      </c>
      <c r="H6" s="97">
        <f>E6-$H$60+$H$73</f>
        <v>34.949677749836084</v>
      </c>
      <c r="I6" s="97">
        <f>F6-$H$60+$H$73</f>
        <v>34.646420761310694</v>
      </c>
      <c r="J6" s="97">
        <f>G6-$H$60+$H$73</f>
        <v>35.135545059406397</v>
      </c>
      <c r="K6" s="102">
        <f>((H6-'Calibration R. intestinalis '!$D$45)/('Calibration R. intestinalis '!$D$44))+$C$24</f>
        <v>5.734795508720091</v>
      </c>
      <c r="L6" s="102">
        <f>((I6-'Calibration R. intestinalis '!$D$45)/('Calibration R. intestinalis '!$D$44))+$C$24</f>
        <v>5.8168078376070724</v>
      </c>
      <c r="M6" s="102">
        <f>((J6-'Calibration R. intestinalis '!$D$45)/('Calibration R. intestinalis '!$D$44))+$C$24</f>
        <v>5.6845298545106324</v>
      </c>
      <c r="N6" s="103">
        <f t="shared" si="1"/>
        <v>5.7453777336125986</v>
      </c>
      <c r="O6" s="103">
        <f t="shared" si="2"/>
        <v>6.6770905458681806E-2</v>
      </c>
      <c r="P6" s="98">
        <f>(AVERAGE(POWER(10,K6),POWER(10,L6),POWER(10,M6)))*Calculation!$I6/Calculation!$K5</f>
        <v>561893.65357254166</v>
      </c>
      <c r="Q6" s="104">
        <f>(STDEV(POWER(10,K6),POWER(10,L6),POWER(10,M6)))*Calculation!$I6/Calculation!$K5</f>
        <v>87643.584723111824</v>
      </c>
      <c r="R6" s="103">
        <f t="shared" si="3"/>
        <v>5.7496541268911443</v>
      </c>
      <c r="S6" s="103">
        <f>O6*Calculation!$I6/Calculation!$K5</f>
        <v>6.6897218570393768E-2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37.066116333007812</v>
      </c>
      <c r="F7" s="97">
        <v>35.883922576904297</v>
      </c>
      <c r="G7" s="97">
        <v>37.286869049072266</v>
      </c>
      <c r="H7" s="97">
        <f>E7-$H$60+$H$73</f>
        <v>36.864743515216944</v>
      </c>
      <c r="I7" s="97">
        <f>F7-$H$60+$H$73</f>
        <v>35.682549759113428</v>
      </c>
      <c r="J7" s="97">
        <f>G7-$H$60+$H$73</f>
        <v>37.085496231281397</v>
      </c>
      <c r="K7" s="102">
        <f>((H7-'Calibration R. intestinalis '!$D$45)/('Calibration R. intestinalis '!$D$44))+$C$24</f>
        <v>5.2168882243593098</v>
      </c>
      <c r="L7" s="102">
        <f>((I7-'Calibration R. intestinalis '!$D$45)/('Calibration R. intestinalis '!$D$44))+$C$24</f>
        <v>5.5365987893330821</v>
      </c>
      <c r="M7" s="102">
        <f>((J7-'Calibration R. intestinalis '!$D$45)/('Calibration R. intestinalis '!$D$44))+$C$24</f>
        <v>5.1571882173104813</v>
      </c>
      <c r="N7" s="103">
        <f t="shared" si="1"/>
        <v>5.3035584103342908</v>
      </c>
      <c r="O7" s="103">
        <f t="shared" si="2"/>
        <v>0.20401442692450131</v>
      </c>
      <c r="P7" s="98">
        <f>(AVERAGE(POWER(10,K7),POWER(10,L7),POWER(10,M7)))*Calculation!$I7/Calculation!$K6</f>
        <v>217883.71884221255</v>
      </c>
      <c r="Q7" s="104">
        <f>(STDEV(POWER(10,K7),POWER(10,L7),POWER(10,M7)))*Calculation!$I7/Calculation!$K6</f>
        <v>110321.75504589187</v>
      </c>
      <c r="R7" s="103">
        <f t="shared" si="3"/>
        <v>5.3382247792083497</v>
      </c>
      <c r="S7" s="103">
        <f>O7*Calculation!$I7/Calculation!$K6</f>
        <v>0.20440036892906066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38.013633728027344</v>
      </c>
      <c r="F8" s="97">
        <v>36.939891815185547</v>
      </c>
      <c r="G8" s="97">
        <v>35.984962463378906</v>
      </c>
      <c r="H8" s="97">
        <f>E8-$H$60+$H$73</f>
        <v>37.812260910236475</v>
      </c>
      <c r="I8" s="97">
        <f>F8-$H$60+$H$73</f>
        <v>36.738518997394678</v>
      </c>
      <c r="J8" s="97">
        <f>G8-$H$60+$H$73</f>
        <v>35.783589645588037</v>
      </c>
      <c r="K8" s="102">
        <f>((H8-'Calibration R. intestinalis '!$D$45)/('Calibration R. intestinalis '!$D$44))+$C$24</f>
        <v>4.960643154445707</v>
      </c>
      <c r="L8" s="102">
        <f>((I8-'Calibration R. intestinalis '!$D$45)/('Calibration R. intestinalis '!$D$44))+$C$24</f>
        <v>5.2510241785530702</v>
      </c>
      <c r="M8" s="102">
        <f>((J8-'Calibration R. intestinalis '!$D$45)/('Calibration R. intestinalis '!$D$44))+$C$24</f>
        <v>5.5092737260573674</v>
      </c>
      <c r="N8" s="103">
        <f t="shared" si="1"/>
        <v>5.2403136863520485</v>
      </c>
      <c r="O8" s="103">
        <f t="shared" si="2"/>
        <v>0.27447206052552131</v>
      </c>
      <c r="P8" s="98">
        <f>(AVERAGE(POWER(10,K8),POWER(10,L8),POWER(10,M8)))*Calculation!$I8/Calculation!$K7</f>
        <v>197919.37361656802</v>
      </c>
      <c r="Q8" s="104">
        <f>(STDEV(POWER(10,K8),POWER(10,L8),POWER(10,M8)))*Calculation!$I8/Calculation!$K7</f>
        <v>117278.97039319261</v>
      </c>
      <c r="R8" s="103">
        <f t="shared" si="3"/>
        <v>5.2964883078140543</v>
      </c>
      <c r="S8" s="103">
        <f>O8*Calculation!$I8/Calculation!$K7</f>
        <v>0.27499128996841732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35.005104064941406</v>
      </c>
      <c r="F9" s="97">
        <v>35.827083587646484</v>
      </c>
      <c r="G9" s="97">
        <v>36.065258026123047</v>
      </c>
      <c r="H9" s="97">
        <f>E9-$H$60+$H$73</f>
        <v>34.803731247150537</v>
      </c>
      <c r="I9" s="97">
        <f>F9-$H$60+$H$73</f>
        <v>35.625710769855615</v>
      </c>
      <c r="J9" s="97">
        <f>G9-$H$60+$H$73</f>
        <v>35.863885208332178</v>
      </c>
      <c r="K9" s="102">
        <f>((H9-'Calibration R. intestinalis '!$D$45)/('Calibration R. intestinalis '!$D$44))+$C$24</f>
        <v>5.7742650445627897</v>
      </c>
      <c r="L9" s="102">
        <f>((I9-'Calibration R. intestinalis '!$D$45)/('Calibration R. intestinalis '!$D$44))+$C$24</f>
        <v>5.5519702335437566</v>
      </c>
      <c r="M9" s="102">
        <f>((J9-'Calibration R. intestinalis '!$D$45)/('Calibration R. intestinalis '!$D$44))+$C$24</f>
        <v>5.4875587240982737</v>
      </c>
      <c r="N9" s="103">
        <f t="shared" si="1"/>
        <v>5.6045980007349394</v>
      </c>
      <c r="O9" s="103">
        <f t="shared" si="2"/>
        <v>0.15042403384506903</v>
      </c>
      <c r="P9" s="98">
        <f>(AVERAGE(POWER(10,K9),POWER(10,L9),POWER(10,M9)))*Calculation!$I9/Calculation!$K8</f>
        <v>420587.34654410643</v>
      </c>
      <c r="Q9" s="104">
        <f>(STDEV(POWER(10,K9),POWER(10,L9),POWER(10,M9)))*Calculation!$I9/Calculation!$K8</f>
        <v>154112.504901212</v>
      </c>
      <c r="R9" s="103">
        <f t="shared" si="3"/>
        <v>5.6238562027089927</v>
      </c>
      <c r="S9" s="103">
        <f>O9*Calculation!$I9/Calculation!$K8</f>
        <v>0.1508284417560109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36.103702545166016</v>
      </c>
      <c r="F10" s="97">
        <v>37.753261566162109</v>
      </c>
      <c r="G10" s="97">
        <v>35.485054016113281</v>
      </c>
      <c r="H10" s="97">
        <f>E10-$H$60+$H$73</f>
        <v>35.902329727375147</v>
      </c>
      <c r="I10" s="97">
        <f>F10-$H$60+$H$73</f>
        <v>37.55188874837124</v>
      </c>
      <c r="J10" s="97">
        <f>G10-$H$60+$H$73</f>
        <v>35.283681198322412</v>
      </c>
      <c r="K10" s="102">
        <f>((H10-'Calibration R. intestinalis '!$D$45)/('Calibration R. intestinalis '!$D$44))+$B$24</f>
        <v>5.1984082496719424</v>
      </c>
      <c r="L10" s="102">
        <f>((I10-'Calibration R. intestinalis '!$D$45)/('Calibration R. intestinalis '!$D$44))+$B$24</f>
        <v>4.7523041793049323</v>
      </c>
      <c r="M10" s="102">
        <f>((J10-'Calibration R. intestinalis '!$D$45)/('Calibration R. intestinalis '!$D$44))+$B$24</f>
        <v>5.3657145560388013</v>
      </c>
      <c r="N10" s="103">
        <f t="shared" si="1"/>
        <v>5.1054756616718917</v>
      </c>
      <c r="O10" s="103">
        <f t="shared" si="2"/>
        <v>0.31708898121109019</v>
      </c>
      <c r="P10" s="98">
        <f>(AVERAGE(POWER(10,K10),POWER(10,L10),POWER(10,M10)))*Calculation!$I10/Calculation!$K9</f>
        <v>149503.24387729401</v>
      </c>
      <c r="Q10" s="104">
        <f>(STDEV(POWER(10,K10),POWER(10,L10),POWER(10,M10)))*Calculation!$I10/Calculation!$K9</f>
        <v>88527.49320430441</v>
      </c>
      <c r="R10" s="103">
        <f t="shared" si="3"/>
        <v>5.1746506159562662</v>
      </c>
      <c r="S10" s="103">
        <f>O10*Calculation!$I10/Calculation!$K9</f>
        <v>0.31847068762996139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35.427604675292969</v>
      </c>
      <c r="F11" s="97">
        <v>35.771610260009766</v>
      </c>
      <c r="G11" s="97">
        <v>35.577049255371094</v>
      </c>
      <c r="H11" s="97">
        <f>E11-$H$60+$H$73</f>
        <v>35.2262318575021</v>
      </c>
      <c r="I11" s="97">
        <f>F11-$H$60+$H$73</f>
        <v>35.570237442218897</v>
      </c>
      <c r="J11" s="97">
        <f>G11-$H$60+$H$73</f>
        <v>35.375676437580225</v>
      </c>
      <c r="K11" s="102">
        <f>((H11-'Calibration R. intestinalis '!$D$45)/('Calibration R. intestinalis '!$D$44))+$B$24</f>
        <v>5.3812510627376442</v>
      </c>
      <c r="L11" s="102">
        <f>((I11-'Calibration R. intestinalis '!$D$45)/('Calibration R. intestinalis '!$D$44))+$B$24</f>
        <v>5.2882187494843258</v>
      </c>
      <c r="M11" s="102">
        <f>((J11-'Calibration R. intestinalis '!$D$45)/('Calibration R. intestinalis '!$D$44))+$B$24</f>
        <v>5.3408355125096314</v>
      </c>
      <c r="N11" s="103">
        <f t="shared" si="1"/>
        <v>5.3367684415771999</v>
      </c>
      <c r="O11" s="103">
        <f t="shared" si="2"/>
        <v>4.6649315394686759E-2</v>
      </c>
      <c r="P11" s="98">
        <f>(AVERAGE(POWER(10,K11),POWER(10,L11),POWER(10,M11)))*Calculation!$I11/Calculation!$K10</f>
        <v>219699.40781161911</v>
      </c>
      <c r="Q11" s="104">
        <f>(STDEV(POWER(10,K11),POWER(10,L11),POWER(10,M11)))*Calculation!$I11/Calculation!$K10</f>
        <v>23400.629974906689</v>
      </c>
      <c r="R11" s="103">
        <f t="shared" si="3"/>
        <v>5.3418288863037935</v>
      </c>
      <c r="S11" s="103">
        <f>O11*Calculation!$I11/Calculation!$K10</f>
        <v>4.7015904789611186E-2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36.035743713378906</v>
      </c>
      <c r="F12" s="97">
        <v>34.902549743652344</v>
      </c>
      <c r="G12" s="97">
        <v>34.909931182861328</v>
      </c>
      <c r="H12" s="97">
        <f>E12-$H$60+$H$73</f>
        <v>35.834370895588037</v>
      </c>
      <c r="I12" s="97">
        <f>F12-$H$60+$H$73</f>
        <v>34.701176925861475</v>
      </c>
      <c r="J12" s="97">
        <f>G12-$H$60+$H$73</f>
        <v>34.708558365070459</v>
      </c>
      <c r="K12" s="102">
        <f>((H12-'Calibration R. intestinalis '!$D$45)/('Calibration R. intestinalis '!$D$44))+$B$24</f>
        <v>5.2167869260889335</v>
      </c>
      <c r="L12" s="102">
        <f>((I12-'Calibration R. intestinalis '!$D$45)/('Calibration R. intestinalis '!$D$44))+$B$24</f>
        <v>5.5232460681844424</v>
      </c>
      <c r="M12" s="102">
        <f>((J12-'Calibration R. intestinalis '!$D$45)/('Calibration R. intestinalis '!$D$44))+$B$24</f>
        <v>5.5212498437181567</v>
      </c>
      <c r="N12" s="103">
        <f t="shared" si="1"/>
        <v>5.4204276126638442</v>
      </c>
      <c r="O12" s="103">
        <f t="shared" si="2"/>
        <v>0.17636083224331792</v>
      </c>
      <c r="P12" s="98">
        <f>(AVERAGE(POWER(10,K12),POWER(10,L12),POWER(10,M12)))*Calculation!$I12/Calculation!$K11</f>
        <v>280256.04462582147</v>
      </c>
      <c r="Q12" s="104">
        <f>(STDEV(POWER(10,K12),POWER(10,L12),POWER(10,M12)))*Calculation!$I12/Calculation!$K11</f>
        <v>98271.894656137461</v>
      </c>
      <c r="R12" s="103">
        <f t="shared" si="3"/>
        <v>5.4475549883297383</v>
      </c>
      <c r="S12" s="103">
        <f>O12*Calculation!$I12/Calculation!$K11</f>
        <v>0.1785550328965039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35.196578979492188</v>
      </c>
      <c r="F13" s="97">
        <v>34.775230407714844</v>
      </c>
      <c r="G13" s="97">
        <v>34.793544769287109</v>
      </c>
      <c r="H13" s="97">
        <f>E13-$H$60+$H$73</f>
        <v>34.995206161701319</v>
      </c>
      <c r="I13" s="97">
        <f>F13-$H$60+$H$73</f>
        <v>34.573857589923975</v>
      </c>
      <c r="J13" s="97">
        <f>G13-$H$60+$H$73</f>
        <v>34.59217195149624</v>
      </c>
      <c r="K13" s="102">
        <f>((H13-'Calibration R. intestinalis '!$D$45)/('Calibration R. intestinalis '!$D$44))+$B$24</f>
        <v>5.4437292777904558</v>
      </c>
      <c r="L13" s="102">
        <f>((I13-'Calibration R. intestinalis '!$D$45)/('Calibration R. intestinalis '!$D$44))+$B$24</f>
        <v>5.5576781032163538</v>
      </c>
      <c r="M13" s="102">
        <f>((J13-'Calibration R. intestinalis '!$D$45)/('Calibration R. intestinalis '!$D$44))+$B$24</f>
        <v>5.5527251969307532</v>
      </c>
      <c r="N13" s="103">
        <f t="shared" si="1"/>
        <v>5.5180441926458554</v>
      </c>
      <c r="O13" s="103">
        <f t="shared" si="2"/>
        <v>6.4406232211194653E-2</v>
      </c>
      <c r="P13" s="98">
        <f>(AVERAGE(POWER(10,K13),POWER(10,L13),POWER(10,M13)))*Calculation!$I13/Calculation!$K12</f>
        <v>338029.66118889843</v>
      </c>
      <c r="Q13" s="104">
        <f>(STDEV(POWER(10,K13),POWER(10,L13),POWER(10,M13)))*Calculation!$I13/Calculation!$K12</f>
        <v>47834.994913692164</v>
      </c>
      <c r="R13" s="103">
        <f t="shared" si="3"/>
        <v>5.5289548101163586</v>
      </c>
      <c r="S13" s="103">
        <f>O13*Calculation!$I13/Calculation!$K12</f>
        <v>6.5576808078031582E-2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34.301887512207031</v>
      </c>
      <c r="F14" s="97">
        <v>34.305068969726562</v>
      </c>
      <c r="G14" s="97">
        <v>34.576431274414062</v>
      </c>
      <c r="H14" s="97">
        <f>E14-$H$60+$H$73</f>
        <v>34.100514694416162</v>
      </c>
      <c r="I14" s="97">
        <f>F14-$H$60+$H$73</f>
        <v>34.103696151935694</v>
      </c>
      <c r="J14" s="97">
        <f>G14-$H$60+$H$73</f>
        <v>34.375058456623194</v>
      </c>
      <c r="K14" s="102">
        <f>((H14-'Calibration R. intestinalis '!$D$45)/('Calibration R. intestinalis '!$D$44))+$B$24</f>
        <v>5.6856881893530904</v>
      </c>
      <c r="L14" s="102">
        <f>((I14-'Calibration R. intestinalis '!$D$45)/('Calibration R. intestinalis '!$D$44))+$B$24</f>
        <v>5.6848278011335136</v>
      </c>
      <c r="M14" s="102">
        <f>((J14-'Calibration R. intestinalis '!$D$45)/('Calibration R. intestinalis '!$D$44))+$B$24</f>
        <v>5.6114410188938777</v>
      </c>
      <c r="N14" s="103">
        <f t="shared" si="1"/>
        <v>5.66065233646016</v>
      </c>
      <c r="O14" s="103">
        <f t="shared" si="2"/>
        <v>4.2620422328142789E-2</v>
      </c>
      <c r="P14" s="98">
        <f>(AVERAGE(POWER(10,K14),POWER(10,L14),POWER(10,M14)))*Calculation!$I14/Calculation!$K13</f>
        <v>472196.03700002463</v>
      </c>
      <c r="Q14" s="104">
        <f>(STDEV(POWER(10,K14),POWER(10,L14),POWER(10,M14)))*Calculation!$I14/Calculation!$K13</f>
        <v>44958.74250238415</v>
      </c>
      <c r="R14" s="103">
        <f t="shared" si="3"/>
        <v>5.674122337854433</v>
      </c>
      <c r="S14" s="103">
        <f>O14*Calculation!$I14/Calculation!$K13</f>
        <v>4.3824897532781446E-2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33.524826049804688</v>
      </c>
      <c r="F15" s="97">
        <v>33.690303802490234</v>
      </c>
      <c r="G15" s="97">
        <v>33.6373291015625</v>
      </c>
      <c r="H15" s="97">
        <f>E15-$H$60+$H$73</f>
        <v>33.323453232013819</v>
      </c>
      <c r="I15" s="97">
        <f>F15-$H$60+$H$73</f>
        <v>33.488930984699365</v>
      </c>
      <c r="J15" s="97">
        <f>G15-$H$60+$H$73</f>
        <v>33.435956283771631</v>
      </c>
      <c r="K15" s="102">
        <f>((H15-'Calibration R. intestinalis '!$D$45)/('Calibration R. intestinalis '!$D$44))+$B$24</f>
        <v>5.8958354328834872</v>
      </c>
      <c r="L15" s="102">
        <f>((I15-'Calibration R. intestinalis '!$D$45)/('Calibration R. intestinalis '!$D$44))+$B$24</f>
        <v>5.8510838974194019</v>
      </c>
      <c r="M15" s="102">
        <f>((J15-'Calibration R. intestinalis '!$D$45)/('Calibration R. intestinalis '!$D$44))+$B$24</f>
        <v>5.8654102897518605</v>
      </c>
      <c r="N15" s="103">
        <f t="shared" si="1"/>
        <v>5.8707765400182508</v>
      </c>
      <c r="O15" s="103">
        <f t="shared" si="2"/>
        <v>2.2853281231356333E-2</v>
      </c>
      <c r="P15" s="98">
        <f>(AVERAGE(POWER(10,K15),POWER(10,L15),POWER(10,M15)))*Calculation!$I15/Calculation!$K14</f>
        <v>769880.43138071173</v>
      </c>
      <c r="Q15" s="104">
        <f>(STDEV(POWER(10,K15),POWER(10,L15),POWER(10,M15)))*Calculation!$I15/Calculation!$K14</f>
        <v>40851.089132784153</v>
      </c>
      <c r="R15" s="103">
        <f t="shared" si="3"/>
        <v>5.8864232809857624</v>
      </c>
      <c r="S15" s="103">
        <f>O15*Calculation!$I15/Calculation!$K14</f>
        <v>2.3669669842323427E-2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32.299697875976562</v>
      </c>
      <c r="F16" s="97">
        <v>32.232902526855469</v>
      </c>
      <c r="G16" s="97">
        <v>32.632770538330078</v>
      </c>
      <c r="H16" s="97">
        <f>E16-$H$60+$H$73</f>
        <v>32.098325058185694</v>
      </c>
      <c r="I16" s="97">
        <f>F16-$H$60+$H$73</f>
        <v>32.0315297090646</v>
      </c>
      <c r="J16" s="97">
        <f>G16-$H$60+$H$73</f>
        <v>32.431397720539209</v>
      </c>
      <c r="K16" s="102">
        <f>((H16-'Calibration R. intestinalis '!$D$45)/('Calibration R. intestinalis '!$D$44))+$B$24</f>
        <v>6.2271571122593485</v>
      </c>
      <c r="L16" s="102">
        <f>((I16-'Calibration R. intestinalis '!$D$45)/('Calibration R. intestinalis '!$D$44))+$B$24</f>
        <v>6.2452211383082687</v>
      </c>
      <c r="M16" s="102">
        <f>((J16-'Calibration R. intestinalis '!$D$45)/('Calibration R. intestinalis '!$D$44))+$B$24</f>
        <v>6.1370814808253442</v>
      </c>
      <c r="N16" s="103">
        <f t="shared" si="1"/>
        <v>6.2031532437976535</v>
      </c>
      <c r="O16" s="103">
        <f t="shared" si="2"/>
        <v>5.7928280278080196E-2</v>
      </c>
      <c r="P16" s="98">
        <f>(AVERAGE(POWER(10,K16),POWER(10,L16),POWER(10,M16)))*Calculation!$I16/Calculation!$K15</f>
        <v>1677536.6572350974</v>
      </c>
      <c r="Q16" s="104">
        <f>(STDEV(POWER(10,K16),POWER(10,L16),POWER(10,M16)))*Calculation!$I16/Calculation!$K15</f>
        <v>215504.7646979299</v>
      </c>
      <c r="R16" s="103">
        <f t="shared" si="3"/>
        <v>6.2246720190711233</v>
      </c>
      <c r="S16" s="103">
        <f>O16*Calculation!$I16/Calculation!$K15</f>
        <v>6.0519639777892903E-2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31.391000747680664</v>
      </c>
      <c r="F17" s="97">
        <v>31.175102233886719</v>
      </c>
      <c r="G17" s="97">
        <v>31.067115783691406</v>
      </c>
      <c r="H17" s="97">
        <f>E17-$H$60+$H$73</f>
        <v>31.189627929889795</v>
      </c>
      <c r="I17" s="97">
        <f>F17-$H$60+$H$73</f>
        <v>30.97372941609585</v>
      </c>
      <c r="J17" s="97">
        <f>G17-$H$60+$H$73</f>
        <v>30.865742965900537</v>
      </c>
      <c r="K17" s="102">
        <f>((H17-'Calibration R. intestinalis '!$D$45)/('Calibration R. intestinalis '!$D$44))+$B$24</f>
        <v>6.472903692105171</v>
      </c>
      <c r="L17" s="102">
        <f>((I17-'Calibration R. intestinalis '!$D$45)/('Calibration R. intestinalis '!$D$44))+$B$24</f>
        <v>6.5312909365527858</v>
      </c>
      <c r="M17" s="102">
        <f>((J17-'Calibration R. intestinalis '!$D$45)/('Calibration R. intestinalis '!$D$44))+$B$24</f>
        <v>6.5604946172719663</v>
      </c>
      <c r="N17" s="103">
        <f t="shared" si="1"/>
        <v>6.521563081976641</v>
      </c>
      <c r="O17" s="103">
        <f t="shared" si="2"/>
        <v>4.4598384599498067E-2</v>
      </c>
      <c r="P17" s="98">
        <f>(AVERAGE(POWER(10,K17),POWER(10,L17),POWER(10,M17)))*Calculation!$I17/Calculation!$K16</f>
        <v>3504008.2099236678</v>
      </c>
      <c r="Q17" s="104">
        <f>(STDEV(POWER(10,K17),POWER(10,L17),POWER(10,M17)))*Calculation!$I17/Calculation!$K16</f>
        <v>353582.23600455304</v>
      </c>
      <c r="R17" s="103">
        <f t="shared" si="3"/>
        <v>6.544565115053226</v>
      </c>
      <c r="S17" s="103">
        <f>O17*Calculation!$I17/Calculation!$K16</f>
        <v>4.6861060902627073E-2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27.263015747070312</v>
      </c>
      <c r="F18" s="97">
        <v>27.200656890869141</v>
      </c>
      <c r="G18" s="97">
        <v>27.2801513671875</v>
      </c>
      <c r="H18" s="97">
        <f>E18-$H$60+$H$73</f>
        <v>27.061642929279444</v>
      </c>
      <c r="I18" s="97">
        <f>F18-$H$60+$H$73</f>
        <v>26.999284073078272</v>
      </c>
      <c r="J18" s="97">
        <f>G18-$H$60+$H$73</f>
        <v>27.078778549396631</v>
      </c>
      <c r="K18" s="102">
        <f>((H18-'Calibration R. intestinalis '!$D$45)/('Calibration R. intestinalis '!$D$44))+$B$24</f>
        <v>7.5892692708731495</v>
      </c>
      <c r="L18" s="102">
        <f>((I18-'Calibration R. intestinalis '!$D$45)/('Calibration R. intestinalis '!$D$44))+$B$24</f>
        <v>7.6061334989611957</v>
      </c>
      <c r="M18" s="102">
        <f>((J18-'Calibration R. intestinalis '!$D$45)/('Calibration R. intestinalis '!$D$44))+$B$24</f>
        <v>7.5846351415178237</v>
      </c>
      <c r="N18" s="103">
        <f t="shared" si="1"/>
        <v>7.5933459704507227</v>
      </c>
      <c r="O18" s="103">
        <f t="shared" si="2"/>
        <v>1.1314126248857583E-2</v>
      </c>
      <c r="P18" s="98">
        <f>(AVERAGE(POWER(10,K18),POWER(10,L18),POWER(10,M18)))*Calculation!$I18/Calculation!$K17</f>
        <v>41554916.701027848</v>
      </c>
      <c r="Q18" s="104">
        <f>(STDEV(POWER(10,K18),POWER(10,L18),POWER(10,M18)))*Calculation!$I18/Calculation!$K17</f>
        <v>1089095.8023855337</v>
      </c>
      <c r="R18" s="103">
        <f t="shared" si="3"/>
        <v>7.6186224160815845</v>
      </c>
      <c r="S18" s="103">
        <f>O18*Calculation!$I18/Calculation!$K17</f>
        <v>1.1989437818198639E-2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24.979434967041016</v>
      </c>
      <c r="F19" s="97">
        <v>25.336872100830078</v>
      </c>
      <c r="G19" s="97">
        <v>25.149358749389648</v>
      </c>
      <c r="H19" s="97">
        <f>E19-$H$60+$H$73</f>
        <v>24.778062149250147</v>
      </c>
      <c r="I19" s="97">
        <f>F19-$H$60+$H$73</f>
        <v>25.135499283039209</v>
      </c>
      <c r="J19" s="97">
        <f>G19-$H$60+$H$73</f>
        <v>24.94798593159878</v>
      </c>
      <c r="K19" s="102">
        <f>((H19-'Calibration R. intestinalis '!$D$45)/('Calibration R. intestinalis '!$D$44))+$B$24</f>
        <v>8.2068371590277582</v>
      </c>
      <c r="L19" s="102">
        <f>((I19-'Calibration R. intestinalis '!$D$45)/('Calibration R. intestinalis '!$D$44))+$B$24</f>
        <v>8.1101724393941854</v>
      </c>
      <c r="M19" s="102">
        <f>((J19-'Calibration R. intestinalis '!$D$45)/('Calibration R. intestinalis '!$D$44))+$B$24</f>
        <v>8.1608832465014221</v>
      </c>
      <c r="N19" s="103">
        <f t="shared" si="1"/>
        <v>8.1592976149744558</v>
      </c>
      <c r="O19" s="103">
        <f t="shared" si="2"/>
        <v>4.8351863210881467E-2</v>
      </c>
      <c r="P19" s="98">
        <f>(AVERAGE(POWER(10,K19),POWER(10,L19),POWER(10,M19)))*Calculation!$I19/Calculation!$K18</f>
        <v>154156239.32984683</v>
      </c>
      <c r="Q19" s="104">
        <f>(STDEV(POWER(10,K19),POWER(10,L19),POWER(10,M19)))*Calculation!$I19/Calculation!$K18</f>
        <v>17089592.552873876</v>
      </c>
      <c r="R19" s="103">
        <f t="shared" si="3"/>
        <v>8.1879611070818985</v>
      </c>
      <c r="S19" s="103">
        <f>O19*Calculation!$I19/Calculation!$K18</f>
        <v>5.1438395323316871E-2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26.930477142333984</v>
      </c>
      <c r="F20" s="97">
        <v>27.137178421020508</v>
      </c>
      <c r="G20" s="97">
        <v>27.010251998901367</v>
      </c>
      <c r="H20" s="97">
        <f>E20-$H$60+$H$73</f>
        <v>26.729104324543115</v>
      </c>
      <c r="I20" s="97">
        <f>F20-$H$60+$H$73</f>
        <v>26.935805603229639</v>
      </c>
      <c r="J20" s="97">
        <f>G20-$H$60+$H$73</f>
        <v>26.808879181110498</v>
      </c>
      <c r="K20" s="102">
        <f>((H20-'Calibration R. intestinalis '!$D$45)/('Calibration R. intestinalis '!$D$44))+$B$24</f>
        <v>7.679200472630006</v>
      </c>
      <c r="L20" s="102">
        <f>((I20-'Calibration R. intestinalis '!$D$45)/('Calibration R. intestinalis '!$D$44))+$B$24</f>
        <v>7.6233005135509764</v>
      </c>
      <c r="M20" s="102">
        <f>((J20-'Calibration R. intestinalis '!$D$45)/('Calibration R. intestinalis '!$D$44))+$B$24</f>
        <v>7.6576262896061298</v>
      </c>
      <c r="N20" s="103">
        <f t="shared" si="1"/>
        <v>7.6533757585957041</v>
      </c>
      <c r="O20" s="103">
        <f t="shared" si="2"/>
        <v>2.8191339391065492E-2</v>
      </c>
      <c r="P20" s="98">
        <f>(AVERAGE(POWER(10,K20),POWER(10,L20),POWER(10,M20)))*Calculation!$I20/Calculation!$K19</f>
        <v>47957531.70721329</v>
      </c>
      <c r="Q20" s="104">
        <f>(STDEV(POWER(10,K20),POWER(10,L20),POWER(10,M20)))*Calculation!$I20/Calculation!$K19</f>
        <v>3089057.4462544383</v>
      </c>
      <c r="R20" s="103">
        <f t="shared" si="3"/>
        <v>7.6808568226019016</v>
      </c>
      <c r="S20" s="103">
        <f>O20*Calculation!$I20/Calculation!$K19</f>
        <v>2.9990928249587628E-2</v>
      </c>
    </row>
    <row r="21" spans="1:19">
      <c r="A21" s="10"/>
      <c r="B21" s="10"/>
      <c r="C21" s="10"/>
      <c r="D21" s="106"/>
    </row>
    <row r="24" spans="1:19">
      <c r="A24" s="100" t="s">
        <v>236</v>
      </c>
      <c r="B24" s="107">
        <f>LOG(B25)</f>
        <v>3.6532125137753435</v>
      </c>
      <c r="C24" s="107">
        <f>LOG(C25)</f>
        <v>3.9319661147281728</v>
      </c>
    </row>
    <row r="25" spans="1:19">
      <c r="A25" s="83" t="s">
        <v>237</v>
      </c>
      <c r="B25" s="83">
        <f>20*1800/4/2</f>
        <v>4500</v>
      </c>
      <c r="C25" s="83">
        <f>2*19*1800/4/2</f>
        <v>8550</v>
      </c>
    </row>
    <row r="26" spans="1:19">
      <c r="E26" s="145" t="s">
        <v>220</v>
      </c>
      <c r="F26" s="145"/>
      <c r="G26" s="145"/>
      <c r="H26" s="145"/>
    </row>
    <row r="27" spans="1:19">
      <c r="A27" s="96" t="s">
        <v>238</v>
      </c>
      <c r="B27" s="96" t="s">
        <v>239</v>
      </c>
      <c r="E27" s="97">
        <v>15.713388442993164</v>
      </c>
      <c r="F27" s="97">
        <v>15.726656913757324</v>
      </c>
      <c r="G27" s="97">
        <v>15.612536430358887</v>
      </c>
      <c r="H27" s="108">
        <f>AVERAGE(E27:G27)</f>
        <v>15.684193929036459</v>
      </c>
    </row>
    <row r="28" spans="1:19">
      <c r="A28" s="96" t="s">
        <v>238</v>
      </c>
      <c r="B28" s="96" t="s">
        <v>240</v>
      </c>
      <c r="E28" s="109">
        <v>15.18875789642334</v>
      </c>
      <c r="F28" s="108">
        <v>15.280285835266113</v>
      </c>
      <c r="G28" s="108">
        <v>15.261421203613281</v>
      </c>
      <c r="H28" s="108">
        <f t="shared" ref="H28:H68" si="5">AVERAGE(E28:G28)</f>
        <v>15.243488311767578</v>
      </c>
    </row>
    <row r="29" spans="1:19">
      <c r="A29" s="96" t="s">
        <v>238</v>
      </c>
      <c r="B29" s="96" t="s">
        <v>241</v>
      </c>
      <c r="E29" s="109">
        <v>15.903929710388184</v>
      </c>
      <c r="F29" s="108">
        <v>15.71695613861084</v>
      </c>
      <c r="G29" s="108">
        <v>15.745060920715332</v>
      </c>
      <c r="H29" s="108">
        <f t="shared" si="5"/>
        <v>15.788648923238119</v>
      </c>
    </row>
    <row r="30" spans="1:19">
      <c r="A30" s="96" t="s">
        <v>238</v>
      </c>
      <c r="B30" s="96" t="s">
        <v>242</v>
      </c>
      <c r="E30" s="109">
        <v>15.95374870300293</v>
      </c>
      <c r="F30" s="108">
        <v>15.781205177307129</v>
      </c>
      <c r="G30" s="108">
        <v>15.694306373596191</v>
      </c>
      <c r="H30" s="108">
        <f t="shared" si="5"/>
        <v>15.80975341796875</v>
      </c>
    </row>
    <row r="31" spans="1:19">
      <c r="A31" s="96" t="s">
        <v>243</v>
      </c>
      <c r="B31" s="96" t="s">
        <v>244</v>
      </c>
      <c r="E31" s="109">
        <v>15.793012619018555</v>
      </c>
      <c r="F31" s="108">
        <v>15.662893295288086</v>
      </c>
      <c r="G31" s="108">
        <v>15.729142189025879</v>
      </c>
      <c r="H31" s="108">
        <f t="shared" si="5"/>
        <v>15.728349367777506</v>
      </c>
    </row>
    <row r="32" spans="1:19">
      <c r="A32" s="96" t="s">
        <v>243</v>
      </c>
      <c r="B32" s="96" t="s">
        <v>245</v>
      </c>
      <c r="E32" s="109">
        <v>15.790358543395996</v>
      </c>
      <c r="F32" s="108">
        <v>15.747311592102051</v>
      </c>
      <c r="G32" s="108">
        <v>15.724276542663574</v>
      </c>
      <c r="H32" s="108">
        <f t="shared" si="5"/>
        <v>15.753982226053873</v>
      </c>
    </row>
    <row r="33" spans="1:8">
      <c r="A33" s="96" t="s">
        <v>243</v>
      </c>
      <c r="B33" s="96" t="s">
        <v>245</v>
      </c>
      <c r="E33" s="109">
        <v>15.449001312255859</v>
      </c>
      <c r="F33" s="108">
        <v>15.556774139404297</v>
      </c>
      <c r="G33" s="108">
        <v>15.49962043762207</v>
      </c>
      <c r="H33" s="108">
        <f t="shared" si="5"/>
        <v>15.501798629760742</v>
      </c>
    </row>
    <row r="34" spans="1:8">
      <c r="A34" s="96" t="s">
        <v>243</v>
      </c>
      <c r="B34" s="96" t="s">
        <v>246</v>
      </c>
      <c r="E34" s="109">
        <v>15.347023010253906</v>
      </c>
      <c r="F34" s="108">
        <v>15.780600547790527</v>
      </c>
      <c r="G34" s="108">
        <v>15.718053817749023</v>
      </c>
      <c r="H34" s="108">
        <f t="shared" si="5"/>
        <v>15.615225791931152</v>
      </c>
    </row>
    <row r="35" spans="1:8">
      <c r="A35" s="96" t="s">
        <v>247</v>
      </c>
      <c r="B35" s="96" t="s">
        <v>246</v>
      </c>
      <c r="E35" s="109">
        <v>15.825298309326172</v>
      </c>
      <c r="F35" s="108">
        <v>15.804603576660156</v>
      </c>
      <c r="G35" s="108">
        <v>15.760408401489258</v>
      </c>
      <c r="H35" s="108">
        <f t="shared" si="5"/>
        <v>15.796770095825195</v>
      </c>
    </row>
    <row r="36" spans="1:8">
      <c r="A36" s="96" t="s">
        <v>247</v>
      </c>
      <c r="B36" s="96" t="s">
        <v>248</v>
      </c>
      <c r="E36" s="109">
        <v>15.800871849060059</v>
      </c>
      <c r="F36" s="108">
        <v>15.699575424194336</v>
      </c>
      <c r="G36" s="108">
        <v>15.968178749084473</v>
      </c>
      <c r="H36" s="108">
        <f t="shared" si="5"/>
        <v>15.822875340779623</v>
      </c>
    </row>
    <row r="37" spans="1:8">
      <c r="A37" s="96" t="s">
        <v>247</v>
      </c>
      <c r="B37" s="96" t="s">
        <v>248</v>
      </c>
      <c r="E37" s="109">
        <v>15.717584609985352</v>
      </c>
      <c r="F37" s="108">
        <v>15.693602561950684</v>
      </c>
      <c r="G37" s="108">
        <v>15.63984489440918</v>
      </c>
      <c r="H37" s="108">
        <f t="shared" si="5"/>
        <v>15.683677355448404</v>
      </c>
    </row>
    <row r="38" spans="1:8">
      <c r="A38" s="96" t="s">
        <v>247</v>
      </c>
      <c r="B38" s="96" t="s">
        <v>248</v>
      </c>
      <c r="E38" s="109">
        <v>15.61665153503418</v>
      </c>
      <c r="F38" s="108">
        <v>15.740999221801758</v>
      </c>
      <c r="G38" s="108">
        <v>15.586724281311035</v>
      </c>
      <c r="H38" s="108">
        <f t="shared" si="5"/>
        <v>15.648125012715658</v>
      </c>
    </row>
    <row r="39" spans="1:8">
      <c r="A39" s="96" t="s">
        <v>249</v>
      </c>
      <c r="B39" s="96" t="s">
        <v>250</v>
      </c>
      <c r="E39" s="109">
        <v>15.755837440490723</v>
      </c>
      <c r="F39" s="108">
        <v>15.457893371582031</v>
      </c>
      <c r="G39" s="108">
        <v>15.691001892089844</v>
      </c>
      <c r="H39" s="108">
        <f t="shared" si="5"/>
        <v>15.634910901387533</v>
      </c>
    </row>
    <row r="40" spans="1:8">
      <c r="A40" s="96" t="s">
        <v>249</v>
      </c>
      <c r="B40" s="96" t="s">
        <v>250</v>
      </c>
      <c r="E40" s="109">
        <v>15.560844421386719</v>
      </c>
      <c r="F40" s="108">
        <v>15.738679885864258</v>
      </c>
      <c r="G40" s="108">
        <v>15.730792999267578</v>
      </c>
      <c r="H40" s="108">
        <f t="shared" si="5"/>
        <v>15.676772435506185</v>
      </c>
    </row>
    <row r="41" spans="1:8">
      <c r="A41" s="96" t="s">
        <v>249</v>
      </c>
      <c r="B41" s="96" t="s">
        <v>251</v>
      </c>
      <c r="E41" s="109">
        <v>15.789995193481445</v>
      </c>
      <c r="F41" s="108">
        <v>15.670146942138672</v>
      </c>
      <c r="G41" s="108">
        <v>15.804409980773926</v>
      </c>
      <c r="H41" s="108">
        <f t="shared" si="5"/>
        <v>15.754850705464682</v>
      </c>
    </row>
    <row r="42" spans="1:8">
      <c r="A42" s="96" t="s">
        <v>249</v>
      </c>
      <c r="B42" s="96" t="s">
        <v>252</v>
      </c>
      <c r="E42" s="109">
        <v>15.759750366210938</v>
      </c>
      <c r="F42" s="108">
        <v>15.668698310852051</v>
      </c>
      <c r="G42" s="108">
        <v>15.640106201171875</v>
      </c>
      <c r="H42" s="108">
        <f t="shared" si="5"/>
        <v>15.689518292744955</v>
      </c>
    </row>
    <row r="43" spans="1:8">
      <c r="A43" s="96" t="s">
        <v>253</v>
      </c>
      <c r="B43" s="96" t="s">
        <v>254</v>
      </c>
      <c r="E43" s="109">
        <v>15.258575439453125</v>
      </c>
      <c r="F43" s="108">
        <v>15.478802680969238</v>
      </c>
      <c r="G43" s="108">
        <v>15.974754333496094</v>
      </c>
      <c r="H43" s="108">
        <f t="shared" si="5"/>
        <v>15.570710817972818</v>
      </c>
    </row>
    <row r="44" spans="1:8">
      <c r="A44" s="96" t="s">
        <v>253</v>
      </c>
      <c r="B44" s="96" t="s">
        <v>255</v>
      </c>
      <c r="E44" s="109">
        <v>15.35291576385498</v>
      </c>
      <c r="F44" s="108">
        <v>15.170954704284668</v>
      </c>
      <c r="G44" s="108">
        <v>15.236812591552734</v>
      </c>
      <c r="H44" s="108">
        <f t="shared" si="5"/>
        <v>15.253561019897461</v>
      </c>
    </row>
    <row r="45" spans="1:8">
      <c r="A45" s="96" t="s">
        <v>253</v>
      </c>
      <c r="B45" s="96" t="s">
        <v>256</v>
      </c>
      <c r="E45" s="109">
        <v>15.810567855834961</v>
      </c>
      <c r="F45" s="108">
        <v>15.790656089782715</v>
      </c>
      <c r="G45" s="108">
        <v>15.956247329711914</v>
      </c>
      <c r="H45" s="108">
        <f t="shared" si="5"/>
        <v>15.852490425109863</v>
      </c>
    </row>
    <row r="46" spans="1:8">
      <c r="A46" s="96" t="s">
        <v>253</v>
      </c>
      <c r="B46" s="96" t="s">
        <v>300</v>
      </c>
      <c r="E46" s="109">
        <v>15.760116577148438</v>
      </c>
      <c r="F46" s="108">
        <v>15.89314079284668</v>
      </c>
      <c r="G46" s="108">
        <v>15.903885841369629</v>
      </c>
      <c r="H46" s="108">
        <f t="shared" si="5"/>
        <v>15.852381070454916</v>
      </c>
    </row>
    <row r="47" spans="1:8">
      <c r="A47" s="96" t="s">
        <v>304</v>
      </c>
      <c r="B47" s="96" t="s">
        <v>305</v>
      </c>
      <c r="E47" s="109">
        <v>15.956473350524902</v>
      </c>
      <c r="F47" s="108">
        <v>15.595272064208984</v>
      </c>
      <c r="G47" s="108">
        <v>15.919502258300781</v>
      </c>
      <c r="H47" s="108">
        <f t="shared" si="5"/>
        <v>15.823749224344889</v>
      </c>
    </row>
    <row r="48" spans="1:8">
      <c r="A48" s="96" t="s">
        <v>304</v>
      </c>
      <c r="B48" s="96" t="s">
        <v>307</v>
      </c>
      <c r="E48" s="109">
        <v>15.711461067199707</v>
      </c>
      <c r="F48" s="108">
        <v>15.73438835144043</v>
      </c>
      <c r="G48" s="108">
        <v>15.689187049865723</v>
      </c>
      <c r="H48" s="108">
        <f t="shared" si="5"/>
        <v>15.711678822835287</v>
      </c>
    </row>
    <row r="49" spans="1:8">
      <c r="A49" s="96" t="s">
        <v>304</v>
      </c>
      <c r="B49" s="96" t="s">
        <v>308</v>
      </c>
      <c r="E49" s="109">
        <v>15.574808120727539</v>
      </c>
      <c r="F49" s="108">
        <v>15.501856803894043</v>
      </c>
      <c r="G49" s="108">
        <v>15.596255302429199</v>
      </c>
      <c r="H49" s="108">
        <f t="shared" si="5"/>
        <v>15.557640075683594</v>
      </c>
    </row>
    <row r="50" spans="1:8">
      <c r="A50" s="96" t="s">
        <v>304</v>
      </c>
      <c r="B50" s="96" t="s">
        <v>309</v>
      </c>
      <c r="E50" s="109">
        <v>15.60640811920166</v>
      </c>
      <c r="F50" s="108">
        <v>15.595258712768555</v>
      </c>
      <c r="G50" s="108">
        <v>15.58064079284668</v>
      </c>
      <c r="H50" s="108">
        <f t="shared" si="5"/>
        <v>15.594102541605631</v>
      </c>
    </row>
    <row r="51" spans="1:8">
      <c r="A51" s="96" t="s">
        <v>310</v>
      </c>
      <c r="B51" s="96" t="s">
        <v>311</v>
      </c>
      <c r="E51" s="109">
        <v>15.40764331817627</v>
      </c>
      <c r="F51" s="108">
        <v>15.702505111694336</v>
      </c>
      <c r="G51" s="108">
        <v>15.805522918701172</v>
      </c>
      <c r="H51" s="108">
        <f t="shared" si="5"/>
        <v>15.638557116190592</v>
      </c>
    </row>
    <row r="52" spans="1:8">
      <c r="A52" s="59" t="s">
        <v>310</v>
      </c>
      <c r="B52" s="59" t="s">
        <v>312</v>
      </c>
      <c r="C52" s="59"/>
      <c r="D52" s="59"/>
      <c r="E52" s="109">
        <v>15.5</v>
      </c>
      <c r="F52" s="108">
        <v>15.5</v>
      </c>
      <c r="G52" s="108">
        <v>15.4</v>
      </c>
      <c r="H52" s="108">
        <f t="shared" si="5"/>
        <v>15.466666666666667</v>
      </c>
    </row>
    <row r="53" spans="1:8">
      <c r="A53" s="59" t="s">
        <v>310</v>
      </c>
      <c r="B53" s="59" t="s">
        <v>312</v>
      </c>
      <c r="C53" s="59"/>
      <c r="D53" s="59"/>
      <c r="E53" s="123">
        <v>15.8</v>
      </c>
      <c r="F53" s="124">
        <v>15.4</v>
      </c>
      <c r="G53" s="124">
        <v>15.4</v>
      </c>
      <c r="H53" s="108">
        <f t="shared" si="5"/>
        <v>15.533333333333333</v>
      </c>
    </row>
    <row r="54" spans="1:8">
      <c r="A54" s="59" t="s">
        <v>310</v>
      </c>
      <c r="B54" s="59" t="s">
        <v>313</v>
      </c>
      <c r="C54" s="59"/>
      <c r="D54" s="59"/>
      <c r="E54" s="123">
        <v>15.6</v>
      </c>
      <c r="F54" s="124">
        <v>15.5</v>
      </c>
      <c r="G54" s="124">
        <v>15.6</v>
      </c>
      <c r="H54" s="108">
        <f t="shared" si="5"/>
        <v>15.566666666666668</v>
      </c>
    </row>
    <row r="55" spans="1:8">
      <c r="A55" s="59" t="s">
        <v>327</v>
      </c>
      <c r="B55" s="59" t="s">
        <v>328</v>
      </c>
      <c r="C55" s="59"/>
      <c r="D55" s="59"/>
      <c r="E55" s="123">
        <v>15.6</v>
      </c>
      <c r="F55" s="124">
        <v>15.6</v>
      </c>
      <c r="G55" s="124">
        <v>15.8</v>
      </c>
      <c r="H55" s="108">
        <f t="shared" si="5"/>
        <v>15.666666666666666</v>
      </c>
    </row>
    <row r="56" spans="1:8">
      <c r="A56" s="59" t="s">
        <v>327</v>
      </c>
      <c r="B56" s="59" t="s">
        <v>328</v>
      </c>
      <c r="C56" s="59"/>
      <c r="D56" s="59"/>
      <c r="E56" s="123">
        <v>15.577789306640625</v>
      </c>
      <c r="F56" s="124">
        <v>15.603015899658203</v>
      </c>
      <c r="G56" s="124">
        <v>15.626909255981445</v>
      </c>
      <c r="H56" s="108">
        <f t="shared" si="5"/>
        <v>15.602571487426758</v>
      </c>
    </row>
    <row r="57" spans="1:8">
      <c r="A57" s="96" t="s">
        <v>327</v>
      </c>
      <c r="B57" s="96" t="s">
        <v>329</v>
      </c>
      <c r="E57" s="123">
        <v>15.925136566162109</v>
      </c>
      <c r="F57" s="124"/>
      <c r="G57" s="124">
        <v>15.940312385559082</v>
      </c>
      <c r="H57" s="108">
        <f t="shared" si="5"/>
        <v>15.932724475860596</v>
      </c>
    </row>
    <row r="58" spans="1:8">
      <c r="A58" s="96" t="s">
        <v>327</v>
      </c>
      <c r="B58" s="96" t="s">
        <v>329</v>
      </c>
      <c r="E58" s="109">
        <v>15.2</v>
      </c>
      <c r="F58" s="108">
        <v>15.3</v>
      </c>
      <c r="G58" s="108">
        <v>15.4</v>
      </c>
      <c r="H58" s="108">
        <f t="shared" si="5"/>
        <v>15.299999999999999</v>
      </c>
    </row>
    <row r="59" spans="1:8">
      <c r="A59" s="96" t="s">
        <v>330</v>
      </c>
      <c r="B59" s="96" t="s">
        <v>331</v>
      </c>
      <c r="E59" s="109">
        <v>15.989936828613281</v>
      </c>
      <c r="F59" s="108">
        <v>15.856328964233398</v>
      </c>
      <c r="G59" s="108">
        <v>15.836997985839844</v>
      </c>
      <c r="H59" s="108">
        <f t="shared" si="5"/>
        <v>15.894421259562174</v>
      </c>
    </row>
    <row r="60" spans="1:8">
      <c r="A60" s="96" t="s">
        <v>330</v>
      </c>
      <c r="B60" s="96" t="s">
        <v>337</v>
      </c>
      <c r="E60" s="109">
        <v>15.699069023132324</v>
      </c>
      <c r="F60" s="108">
        <v>15.817172050476074</v>
      </c>
      <c r="G60" s="108">
        <v>16.075807571411133</v>
      </c>
      <c r="H60" s="108">
        <f t="shared" si="5"/>
        <v>15.86401621500651</v>
      </c>
    </row>
    <row r="61" spans="1:8">
      <c r="A61" s="96" t="s">
        <v>330</v>
      </c>
      <c r="B61" s="96" t="s">
        <v>345</v>
      </c>
      <c r="E61" s="109">
        <v>14.193151473999023</v>
      </c>
      <c r="F61" s="108">
        <v>14.592436790466309</v>
      </c>
      <c r="G61" s="108">
        <v>14.826726913452148</v>
      </c>
      <c r="H61" s="108">
        <f t="shared" si="5"/>
        <v>14.53743839263916</v>
      </c>
    </row>
    <row r="62" spans="1:8">
      <c r="A62" s="96" t="s">
        <v>343</v>
      </c>
      <c r="B62" s="96" t="s">
        <v>345</v>
      </c>
      <c r="E62" s="109">
        <v>15.753643035888672</v>
      </c>
      <c r="F62" s="108">
        <v>15.53950309753418</v>
      </c>
      <c r="G62" s="108">
        <v>16.160148620605469</v>
      </c>
      <c r="H62" s="108">
        <f t="shared" si="5"/>
        <v>15.81776491800944</v>
      </c>
    </row>
    <row r="63" spans="1:8">
      <c r="A63" s="96" t="s">
        <v>343</v>
      </c>
      <c r="B63" s="96" t="s">
        <v>344</v>
      </c>
      <c r="E63" s="109">
        <v>16.152790069580078</v>
      </c>
      <c r="F63" s="108">
        <v>15.918967247009277</v>
      </c>
      <c r="G63" s="108">
        <v>16.004350662231445</v>
      </c>
      <c r="H63" s="108">
        <f t="shared" si="5"/>
        <v>16.025369326273601</v>
      </c>
    </row>
    <row r="64" spans="1:8">
      <c r="A64" s="96" t="s">
        <v>343</v>
      </c>
      <c r="B64" s="96" t="s">
        <v>351</v>
      </c>
      <c r="E64" s="109">
        <v>15.725796699523926</v>
      </c>
      <c r="F64" s="108">
        <v>15.72511100769043</v>
      </c>
      <c r="G64" s="108">
        <v>15.700724601745605</v>
      </c>
      <c r="H64" s="108">
        <f t="shared" si="5"/>
        <v>15.71721076965332</v>
      </c>
    </row>
    <row r="65" spans="1:8">
      <c r="A65" s="96" t="s">
        <v>343</v>
      </c>
      <c r="B65" s="96" t="s">
        <v>352</v>
      </c>
      <c r="E65" s="109">
        <v>15.868610382080078</v>
      </c>
      <c r="F65" s="108">
        <v>15.950244903564453</v>
      </c>
      <c r="G65" s="108">
        <v>15.73750114440918</v>
      </c>
      <c r="H65" s="108">
        <f t="shared" si="5"/>
        <v>15.852118810017904</v>
      </c>
    </row>
    <row r="66" spans="1:8">
      <c r="A66" s="96" t="s">
        <v>343</v>
      </c>
      <c r="B66" s="96" t="s">
        <v>352</v>
      </c>
      <c r="E66" s="109">
        <v>15.411773681640625</v>
      </c>
      <c r="F66" s="108">
        <v>15.347482681274414</v>
      </c>
      <c r="G66" s="108">
        <v>15.357060432434082</v>
      </c>
      <c r="H66" s="108">
        <f t="shared" si="5"/>
        <v>15.372105598449707</v>
      </c>
    </row>
    <row r="67" spans="1:8">
      <c r="A67" s="96" t="s">
        <v>238</v>
      </c>
      <c r="B67" s="96" t="s">
        <v>353</v>
      </c>
      <c r="E67" s="109">
        <v>15.701089859008789</v>
      </c>
      <c r="F67" s="108">
        <v>15.69521427154541</v>
      </c>
      <c r="G67" s="108">
        <v>15.858868598937988</v>
      </c>
      <c r="H67" s="108">
        <f t="shared" si="5"/>
        <v>15.751724243164062</v>
      </c>
    </row>
    <row r="68" spans="1:8">
      <c r="A68" s="96" t="s">
        <v>238</v>
      </c>
      <c r="B68" s="96" t="s">
        <v>354</v>
      </c>
      <c r="E68" s="109">
        <v>15.664003372192383</v>
      </c>
      <c r="F68" s="108">
        <v>15.706714630126953</v>
      </c>
      <c r="G68" s="108">
        <v>15.883712768554688</v>
      </c>
      <c r="H68" s="108">
        <f t="shared" si="5"/>
        <v>15.751476923624674</v>
      </c>
    </row>
    <row r="69" spans="1:8">
      <c r="A69" s="96" t="s">
        <v>238</v>
      </c>
      <c r="B69" s="96" t="s">
        <v>354</v>
      </c>
      <c r="E69" s="109">
        <v>15.815454483032227</v>
      </c>
      <c r="F69" s="108">
        <v>15.873584747314453</v>
      </c>
      <c r="G69" s="108">
        <v>15.955685615539551</v>
      </c>
      <c r="H69" s="108">
        <f>AVERAGE(E69:G69)</f>
        <v>15.881574948628744</v>
      </c>
    </row>
    <row r="70" spans="1:8">
      <c r="A70" s="96" t="s">
        <v>238</v>
      </c>
      <c r="B70" s="96" t="s">
        <v>355</v>
      </c>
      <c r="E70" s="109">
        <v>15.894612312316895</v>
      </c>
      <c r="F70" s="108">
        <v>15.946266174316406</v>
      </c>
      <c r="G70" s="108">
        <v>15.963062286376953</v>
      </c>
      <c r="H70" s="108">
        <f>AVERAGE(E70:G70)</f>
        <v>15.934646924336752</v>
      </c>
    </row>
    <row r="71" spans="1:8">
      <c r="A71" s="96"/>
      <c r="B71" s="96"/>
      <c r="E71"/>
    </row>
    <row r="72" spans="1:8">
      <c r="A72" s="96"/>
      <c r="B72" s="96"/>
      <c r="E72"/>
    </row>
    <row r="73" spans="1:8">
      <c r="F73" s="96" t="s">
        <v>257</v>
      </c>
      <c r="H73" s="111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2" workbookViewId="0">
      <selection activeCell="O47" sqref="O47"/>
    </sheetView>
  </sheetViews>
  <sheetFormatPr baseColWidth="10" defaultRowHeight="14" x14ac:dyDescent="0"/>
  <sheetData>
    <row r="1" spans="1:21">
      <c r="A1" s="83"/>
      <c r="B1" s="141" t="s">
        <v>4</v>
      </c>
      <c r="C1" s="143" t="s">
        <v>185</v>
      </c>
      <c r="D1" s="144" t="s">
        <v>18</v>
      </c>
      <c r="E1" s="144"/>
      <c r="F1" s="144"/>
      <c r="G1" s="144"/>
      <c r="H1" s="144" t="s">
        <v>20</v>
      </c>
      <c r="I1" s="144"/>
      <c r="J1" s="144"/>
      <c r="K1" s="144"/>
      <c r="L1" s="144" t="s">
        <v>21</v>
      </c>
      <c r="M1" s="144"/>
      <c r="N1" s="144"/>
      <c r="O1" s="144"/>
      <c r="P1" s="82" t="s">
        <v>22</v>
      </c>
      <c r="Q1" s="82" t="s">
        <v>22</v>
      </c>
      <c r="R1" s="82" t="s">
        <v>22</v>
      </c>
      <c r="S1" s="148" t="s">
        <v>258</v>
      </c>
      <c r="T1" s="83"/>
      <c r="U1" s="83"/>
    </row>
    <row r="2" spans="1:21">
      <c r="A2" s="83"/>
      <c r="B2" s="142"/>
      <c r="C2" s="142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  <c r="S2" s="149"/>
      <c r="T2" s="83"/>
      <c r="U2" s="83"/>
    </row>
    <row r="3" spans="1:21">
      <c r="A3" s="83"/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38"/>
      <c r="Q3" s="139"/>
      <c r="R3" s="140"/>
      <c r="S3" s="83"/>
      <c r="T3" s="83"/>
      <c r="U3" s="83"/>
    </row>
    <row r="4" spans="1:21">
      <c r="A4" s="83"/>
      <c r="B4" s="89" t="s">
        <v>186</v>
      </c>
      <c r="C4" s="90">
        <v>500</v>
      </c>
      <c r="D4" s="90">
        <v>2</v>
      </c>
      <c r="E4" s="90">
        <v>26960</v>
      </c>
      <c r="F4" s="90">
        <v>7</v>
      </c>
      <c r="G4" s="88">
        <f t="shared" ref="G4:G19" si="0">(E4/F4)*(10.2)*POWER(10,D4+2)</f>
        <v>392845714.28571427</v>
      </c>
      <c r="H4" s="90">
        <v>2</v>
      </c>
      <c r="I4" s="90">
        <v>28998</v>
      </c>
      <c r="J4" s="90">
        <v>7</v>
      </c>
      <c r="K4" s="88">
        <f t="shared" ref="K4:K19" si="1">(I4/J4)*(10.2)*POWER(10,H4+2)</f>
        <v>422542285.71428567</v>
      </c>
      <c r="L4" s="90">
        <v>2</v>
      </c>
      <c r="M4" s="90">
        <v>29053</v>
      </c>
      <c r="N4" s="90">
        <v>7</v>
      </c>
      <c r="O4" s="88">
        <f t="shared" ref="O4:O19" si="2">(M4/N4)*(10.2)*POWER(10,L4+2)</f>
        <v>423343714.28571433</v>
      </c>
      <c r="P4" s="91">
        <f t="shared" ref="P4:P19" si="3">AVERAGE(O4,K4,G4)</f>
        <v>412910571.4285714</v>
      </c>
      <c r="Q4" s="91">
        <f t="shared" ref="Q4:Q19" si="4">STDEV(O4,K4,G4)</f>
        <v>17381295.724462688</v>
      </c>
      <c r="R4" s="92">
        <f>LOG(P4)</f>
        <v>8.6158560019212569</v>
      </c>
      <c r="S4" s="83"/>
      <c r="T4" s="83"/>
      <c r="U4" s="83"/>
    </row>
    <row r="5" spans="1:21">
      <c r="A5" s="83"/>
      <c r="B5" s="89" t="s">
        <v>187</v>
      </c>
      <c r="C5" s="90">
        <v>500</v>
      </c>
      <c r="D5" s="90">
        <v>1</v>
      </c>
      <c r="E5" s="90">
        <v>25770</v>
      </c>
      <c r="F5" s="90">
        <v>7</v>
      </c>
      <c r="G5" s="88">
        <f t="shared" si="0"/>
        <v>37550571.428571425</v>
      </c>
      <c r="H5" s="90">
        <v>1</v>
      </c>
      <c r="I5" s="90">
        <v>24760</v>
      </c>
      <c r="J5" s="90">
        <v>7</v>
      </c>
      <c r="K5" s="88">
        <f t="shared" si="1"/>
        <v>36078857.142857142</v>
      </c>
      <c r="L5" s="90">
        <v>1</v>
      </c>
      <c r="M5" s="90">
        <v>27526</v>
      </c>
      <c r="N5" s="90">
        <v>7</v>
      </c>
      <c r="O5" s="88">
        <f t="shared" si="2"/>
        <v>40109314.285714284</v>
      </c>
      <c r="P5" s="91">
        <f t="shared" si="3"/>
        <v>37912914.285714291</v>
      </c>
      <c r="Q5" s="91">
        <f t="shared" si="4"/>
        <v>2039513.5338344474</v>
      </c>
      <c r="R5" s="92">
        <f t="shared" ref="R5:R19" si="5">LOG(P5)</f>
        <v>7.5787871690098934</v>
      </c>
      <c r="S5" s="83"/>
      <c r="T5" s="83"/>
      <c r="U5" s="83"/>
    </row>
    <row r="6" spans="1:21">
      <c r="A6" s="83"/>
      <c r="B6" s="89" t="s">
        <v>188</v>
      </c>
      <c r="C6" s="90">
        <v>500</v>
      </c>
      <c r="D6" s="90">
        <v>0</v>
      </c>
      <c r="E6" s="90">
        <v>2493</v>
      </c>
      <c r="F6" s="90">
        <v>7</v>
      </c>
      <c r="G6" s="88">
        <f t="shared" si="0"/>
        <v>363265.71428571426</v>
      </c>
      <c r="H6" s="90">
        <v>0</v>
      </c>
      <c r="I6" s="90">
        <v>2459</v>
      </c>
      <c r="J6" s="90">
        <v>7</v>
      </c>
      <c r="K6" s="88">
        <f t="shared" si="1"/>
        <v>358311.42857142852</v>
      </c>
      <c r="L6" s="90">
        <v>0</v>
      </c>
      <c r="M6" s="90">
        <v>2550</v>
      </c>
      <c r="N6" s="90">
        <v>7</v>
      </c>
      <c r="O6" s="88">
        <f t="shared" si="2"/>
        <v>371571.42857142852</v>
      </c>
      <c r="P6" s="91">
        <f t="shared" si="3"/>
        <v>364382.8571428571</v>
      </c>
      <c r="Q6" s="91">
        <f t="shared" si="4"/>
        <v>6700.2168712996863</v>
      </c>
      <c r="R6" s="92">
        <f t="shared" si="5"/>
        <v>5.5615579368427026</v>
      </c>
      <c r="S6" s="96" t="s">
        <v>129</v>
      </c>
      <c r="T6" s="83"/>
      <c r="U6" s="83"/>
    </row>
    <row r="7" spans="1:21">
      <c r="A7" s="83"/>
      <c r="B7" s="89" t="s">
        <v>189</v>
      </c>
      <c r="C7" s="90">
        <v>500</v>
      </c>
      <c r="D7" s="90">
        <f>LOG(705/250)</f>
        <v>0.45024910831936105</v>
      </c>
      <c r="E7" s="90">
        <v>946</v>
      </c>
      <c r="F7" s="90">
        <v>7</v>
      </c>
      <c r="G7" s="88">
        <f>(E7/F7)*(1)*POWER(10,D7+2)</f>
        <v>38110.285714285717</v>
      </c>
      <c r="H7" s="90">
        <f>LOG(705/250)</f>
        <v>0.45024910831936105</v>
      </c>
      <c r="I7" s="90">
        <v>885</v>
      </c>
      <c r="J7" s="90">
        <v>7</v>
      </c>
      <c r="K7" s="88">
        <f t="shared" si="1"/>
        <v>363659.1428571429</v>
      </c>
      <c r="L7" s="90">
        <f>LOG(705/250)</f>
        <v>0.45024910831936105</v>
      </c>
      <c r="M7" s="90">
        <v>947</v>
      </c>
      <c r="N7" s="90">
        <v>7</v>
      </c>
      <c r="O7" s="88">
        <f>(M7/N7)*(1)*POWER(10,L7+2)</f>
        <v>38150.571428571435</v>
      </c>
      <c r="P7" s="91">
        <f t="shared" si="3"/>
        <v>146640.00000000003</v>
      </c>
      <c r="Q7" s="91">
        <f t="shared" si="4"/>
        <v>187944.09190121258</v>
      </c>
      <c r="R7" s="92">
        <f t="shared" si="5"/>
        <v>5.1662524519541604</v>
      </c>
      <c r="S7" s="83"/>
      <c r="T7" s="83"/>
      <c r="U7" s="83"/>
    </row>
    <row r="8" spans="1:21">
      <c r="A8" s="83"/>
      <c r="B8" s="89" t="s">
        <v>190</v>
      </c>
      <c r="C8" s="90">
        <v>500</v>
      </c>
      <c r="D8" s="90">
        <f>LOG(705/250)</f>
        <v>0.45024910831936105</v>
      </c>
      <c r="E8" s="90">
        <v>1248</v>
      </c>
      <c r="F8" s="90">
        <v>70</v>
      </c>
      <c r="G8" s="88">
        <f>(E8/F8)*(1)*POWER(10,D8+2)</f>
        <v>5027.6571428571442</v>
      </c>
      <c r="H8" s="90">
        <f>LOG(705/250)</f>
        <v>0.45024910831936105</v>
      </c>
      <c r="I8" s="90">
        <v>1303</v>
      </c>
      <c r="J8" s="90">
        <v>70</v>
      </c>
      <c r="K8" s="88">
        <f t="shared" si="1"/>
        <v>53542.131428571432</v>
      </c>
      <c r="L8" s="90">
        <f>LOG(705/250)</f>
        <v>0.45024910831936105</v>
      </c>
      <c r="M8" s="90">
        <v>1278</v>
      </c>
      <c r="N8" s="90">
        <v>70</v>
      </c>
      <c r="O8" s="88">
        <f>(M8/N8)*(1)*POWER(10,L8+2)</f>
        <v>5148.5142857142864</v>
      </c>
      <c r="P8" s="91">
        <f t="shared" si="3"/>
        <v>21239.434285714287</v>
      </c>
      <c r="Q8" s="91">
        <f t="shared" si="4"/>
        <v>27975.021602129429</v>
      </c>
      <c r="R8" s="92">
        <f t="shared" si="5"/>
        <v>4.3271429450900092</v>
      </c>
      <c r="S8" s="83"/>
      <c r="T8" s="83"/>
      <c r="U8" s="83"/>
    </row>
    <row r="9" spans="1:21">
      <c r="A9" s="83"/>
      <c r="B9" s="89" t="s">
        <v>191</v>
      </c>
      <c r="C9" s="90">
        <v>900</v>
      </c>
      <c r="D9" s="90">
        <v>2</v>
      </c>
      <c r="E9" s="90">
        <v>26822</v>
      </c>
      <c r="F9" s="90">
        <v>7</v>
      </c>
      <c r="G9" s="88">
        <f t="shared" si="0"/>
        <v>390834857.14285713</v>
      </c>
      <c r="H9" s="90">
        <v>2</v>
      </c>
      <c r="I9" s="90">
        <v>25452</v>
      </c>
      <c r="J9" s="90">
        <v>7</v>
      </c>
      <c r="K9" s="88">
        <f t="shared" si="1"/>
        <v>370872000</v>
      </c>
      <c r="L9" s="90">
        <v>2</v>
      </c>
      <c r="M9" s="90">
        <v>29126</v>
      </c>
      <c r="N9" s="90">
        <v>7</v>
      </c>
      <c r="O9" s="88">
        <f t="shared" si="2"/>
        <v>424407428.57142854</v>
      </c>
      <c r="P9" s="91">
        <f t="shared" si="3"/>
        <v>395371428.57142854</v>
      </c>
      <c r="Q9" s="91">
        <f t="shared" si="4"/>
        <v>27054498.485954784</v>
      </c>
      <c r="R9" s="92">
        <f t="shared" si="5"/>
        <v>8.5970052819172</v>
      </c>
      <c r="S9" s="83"/>
      <c r="T9" s="83"/>
      <c r="U9" s="83"/>
    </row>
    <row r="10" spans="1:21">
      <c r="A10" s="83"/>
      <c r="B10" s="89" t="s">
        <v>192</v>
      </c>
      <c r="C10" s="90">
        <v>900</v>
      </c>
      <c r="D10" s="90">
        <v>1</v>
      </c>
      <c r="E10" s="90">
        <v>11669</v>
      </c>
      <c r="F10" s="90">
        <v>7</v>
      </c>
      <c r="G10" s="88">
        <f t="shared" si="0"/>
        <v>17003399.999999996</v>
      </c>
      <c r="H10" s="90">
        <v>1</v>
      </c>
      <c r="I10" s="90">
        <v>13970</v>
      </c>
      <c r="J10" s="90">
        <v>20</v>
      </c>
      <c r="K10" s="88">
        <f t="shared" si="1"/>
        <v>7124700</v>
      </c>
      <c r="L10" s="90">
        <v>1</v>
      </c>
      <c r="M10" s="90">
        <v>12995</v>
      </c>
      <c r="N10" s="90">
        <v>7</v>
      </c>
      <c r="O10" s="88">
        <f t="shared" si="2"/>
        <v>18935571.428571429</v>
      </c>
      <c r="P10" s="91">
        <f t="shared" si="3"/>
        <v>14354557.142857142</v>
      </c>
      <c r="Q10" s="91">
        <f t="shared" si="4"/>
        <v>6335333.2459262749</v>
      </c>
      <c r="R10" s="92">
        <f t="shared" si="5"/>
        <v>7.1569897984779303</v>
      </c>
      <c r="S10" s="96" t="s">
        <v>129</v>
      </c>
      <c r="T10" s="83"/>
      <c r="U10" s="83"/>
    </row>
    <row r="11" spans="1:21">
      <c r="A11" s="83"/>
      <c r="B11" s="89" t="s">
        <v>193</v>
      </c>
      <c r="C11" s="90">
        <v>900</v>
      </c>
      <c r="D11" s="90">
        <v>1</v>
      </c>
      <c r="E11" s="90">
        <v>6123</v>
      </c>
      <c r="F11" s="90">
        <v>7</v>
      </c>
      <c r="G11" s="88">
        <f t="shared" si="0"/>
        <v>8922085.7142857127</v>
      </c>
      <c r="H11" s="90">
        <v>1</v>
      </c>
      <c r="I11" s="90">
        <v>6639</v>
      </c>
      <c r="J11" s="90">
        <v>7</v>
      </c>
      <c r="K11" s="88">
        <f t="shared" si="1"/>
        <v>9673971.4285714272</v>
      </c>
      <c r="L11" s="90">
        <v>1</v>
      </c>
      <c r="M11" s="90">
        <v>7021</v>
      </c>
      <c r="N11" s="90">
        <v>7</v>
      </c>
      <c r="O11" s="88">
        <f t="shared" si="2"/>
        <v>10230599.999999998</v>
      </c>
      <c r="P11" s="91">
        <f t="shared" si="3"/>
        <v>9608885.7142857127</v>
      </c>
      <c r="Q11" s="91">
        <f t="shared" si="4"/>
        <v>656680.68468065432</v>
      </c>
      <c r="R11" s="92">
        <f t="shared" si="5"/>
        <v>6.9826730280228597</v>
      </c>
      <c r="S11" s="96" t="s">
        <v>129</v>
      </c>
      <c r="T11" s="83"/>
      <c r="U11" s="83"/>
    </row>
    <row r="12" spans="1:21">
      <c r="A12" s="83"/>
      <c r="B12" s="89" t="s">
        <v>194</v>
      </c>
      <c r="C12" s="90">
        <v>900</v>
      </c>
      <c r="D12" s="90">
        <v>1</v>
      </c>
      <c r="E12" s="90">
        <v>29009</v>
      </c>
      <c r="F12" s="90">
        <v>7</v>
      </c>
      <c r="G12" s="88">
        <f t="shared" si="0"/>
        <v>42270257.142857142</v>
      </c>
      <c r="H12" s="90">
        <v>1</v>
      </c>
      <c r="I12" s="90">
        <v>29016</v>
      </c>
      <c r="J12" s="90">
        <v>7</v>
      </c>
      <c r="K12" s="88">
        <f t="shared" si="1"/>
        <v>42280457.142857134</v>
      </c>
      <c r="L12" s="90">
        <v>1</v>
      </c>
      <c r="M12" s="90">
        <v>31568</v>
      </c>
      <c r="N12" s="90">
        <v>7</v>
      </c>
      <c r="O12" s="88">
        <f t="shared" si="2"/>
        <v>45999085.714285709</v>
      </c>
      <c r="P12" s="91">
        <f t="shared" si="3"/>
        <v>43516599.999999993</v>
      </c>
      <c r="Q12" s="91">
        <f t="shared" si="4"/>
        <v>2149901.7422255576</v>
      </c>
      <c r="R12" s="92">
        <f t="shared" si="5"/>
        <v>7.6386549561082937</v>
      </c>
      <c r="S12" s="83"/>
      <c r="T12" s="83"/>
      <c r="U12" s="83"/>
    </row>
    <row r="13" spans="1:21">
      <c r="A13" s="83"/>
      <c r="B13" s="89" t="s">
        <v>195</v>
      </c>
      <c r="C13" s="90">
        <v>900</v>
      </c>
      <c r="D13" s="90">
        <v>1</v>
      </c>
      <c r="E13" s="90">
        <v>13542</v>
      </c>
      <c r="F13" s="90">
        <v>7</v>
      </c>
      <c r="G13" s="88">
        <f t="shared" si="0"/>
        <v>19732628.571428571</v>
      </c>
      <c r="H13" s="90">
        <v>1</v>
      </c>
      <c r="I13" s="90">
        <v>14070</v>
      </c>
      <c r="J13" s="90">
        <v>7</v>
      </c>
      <c r="K13" s="88">
        <f t="shared" si="1"/>
        <v>20502000</v>
      </c>
      <c r="L13" s="90">
        <v>1</v>
      </c>
      <c r="M13" s="90">
        <v>15197</v>
      </c>
      <c r="N13" s="90">
        <v>7</v>
      </c>
      <c r="O13" s="88">
        <f t="shared" si="2"/>
        <v>22144199.999999996</v>
      </c>
      <c r="P13" s="91">
        <f t="shared" si="3"/>
        <v>20792942.857142854</v>
      </c>
      <c r="Q13" s="91">
        <f t="shared" si="4"/>
        <v>1231829.938898768</v>
      </c>
      <c r="R13" s="92">
        <f t="shared" si="5"/>
        <v>7.3179159600467427</v>
      </c>
      <c r="S13" s="83"/>
      <c r="T13" s="83"/>
      <c r="U13" s="83"/>
    </row>
    <row r="14" spans="1:21">
      <c r="A14" s="83"/>
      <c r="B14" s="89" t="s">
        <v>196</v>
      </c>
      <c r="C14" s="90">
        <v>900</v>
      </c>
      <c r="D14" s="90">
        <v>1</v>
      </c>
      <c r="E14" s="90">
        <v>6282</v>
      </c>
      <c r="F14" s="90">
        <v>7</v>
      </c>
      <c r="G14" s="88">
        <f t="shared" si="0"/>
        <v>9153771.4285714291</v>
      </c>
      <c r="H14" s="90">
        <v>1</v>
      </c>
      <c r="I14" s="90">
        <v>6343</v>
      </c>
      <c r="J14" s="90">
        <v>7</v>
      </c>
      <c r="K14" s="88">
        <f t="shared" si="1"/>
        <v>9242657.1428571418</v>
      </c>
      <c r="L14" s="90">
        <v>1</v>
      </c>
      <c r="M14" s="90">
        <v>7014</v>
      </c>
      <c r="N14" s="90">
        <v>7</v>
      </c>
      <c r="O14" s="88">
        <f t="shared" si="2"/>
        <v>10220400</v>
      </c>
      <c r="P14" s="91">
        <f t="shared" si="3"/>
        <v>9538942.8571428563</v>
      </c>
      <c r="Q14" s="91">
        <f t="shared" si="4"/>
        <v>591830.25075969705</v>
      </c>
      <c r="R14" s="92">
        <f t="shared" si="5"/>
        <v>6.9795002471622967</v>
      </c>
      <c r="S14" s="83"/>
      <c r="T14" s="83"/>
      <c r="U14" s="83"/>
    </row>
    <row r="15" spans="1:21">
      <c r="A15" s="83"/>
      <c r="B15" s="89" t="s">
        <v>197</v>
      </c>
      <c r="C15" s="90">
        <v>900</v>
      </c>
      <c r="D15" s="90">
        <v>1</v>
      </c>
      <c r="E15" s="90">
        <v>3249</v>
      </c>
      <c r="F15" s="90">
        <v>7</v>
      </c>
      <c r="G15" s="88">
        <f t="shared" si="0"/>
        <v>4734257.1428571427</v>
      </c>
      <c r="H15" s="90">
        <v>1</v>
      </c>
      <c r="I15" s="90">
        <v>3902</v>
      </c>
      <c r="J15" s="90">
        <v>7</v>
      </c>
      <c r="K15" s="88">
        <f t="shared" si="1"/>
        <v>5685771.4285714282</v>
      </c>
      <c r="L15" s="90">
        <v>1</v>
      </c>
      <c r="M15" s="90">
        <v>3833</v>
      </c>
      <c r="N15" s="90">
        <v>7</v>
      </c>
      <c r="O15" s="88">
        <f t="shared" si="2"/>
        <v>5585228.5714285709</v>
      </c>
      <c r="P15" s="91">
        <f t="shared" si="3"/>
        <v>5335085.7142857136</v>
      </c>
      <c r="Q15" s="91">
        <f t="shared" si="4"/>
        <v>522755.62714741344</v>
      </c>
      <c r="R15" s="92">
        <f t="shared" si="5"/>
        <v>6.7271414012566968</v>
      </c>
      <c r="S15" s="83"/>
      <c r="T15" s="83"/>
      <c r="U15" s="83"/>
    </row>
    <row r="16" spans="1:21">
      <c r="A16" s="83"/>
      <c r="B16" s="89" t="s">
        <v>198</v>
      </c>
      <c r="C16" s="90">
        <v>900</v>
      </c>
      <c r="D16" s="90">
        <v>0</v>
      </c>
      <c r="E16" s="90">
        <v>12331</v>
      </c>
      <c r="F16" s="90">
        <v>7</v>
      </c>
      <c r="G16" s="88">
        <f t="shared" si="0"/>
        <v>1796802.857142857</v>
      </c>
      <c r="H16" s="90">
        <v>0</v>
      </c>
      <c r="I16" s="90">
        <v>13246</v>
      </c>
      <c r="J16" s="90">
        <v>7</v>
      </c>
      <c r="K16" s="88">
        <f t="shared" si="1"/>
        <v>1930131.4285714284</v>
      </c>
      <c r="L16" s="90">
        <v>0</v>
      </c>
      <c r="M16" s="90">
        <v>11745</v>
      </c>
      <c r="N16" s="90">
        <v>7</v>
      </c>
      <c r="O16" s="88">
        <f t="shared" si="2"/>
        <v>1711414.2857142854</v>
      </c>
      <c r="P16" s="91">
        <f t="shared" si="3"/>
        <v>1812782.857142857</v>
      </c>
      <c r="Q16" s="91">
        <f t="shared" si="4"/>
        <v>110230.74636823416</v>
      </c>
      <c r="R16" s="92">
        <f t="shared" si="5"/>
        <v>6.2583457855668376</v>
      </c>
      <c r="S16" s="83"/>
      <c r="T16" s="83"/>
      <c r="U16" s="83"/>
    </row>
    <row r="17" spans="1:21">
      <c r="A17" s="83"/>
      <c r="B17" s="89" t="s">
        <v>199</v>
      </c>
      <c r="C17" s="90">
        <v>900</v>
      </c>
      <c r="D17" s="90">
        <v>0</v>
      </c>
      <c r="E17" s="90">
        <v>6389</v>
      </c>
      <c r="F17" s="90">
        <v>7</v>
      </c>
      <c r="G17" s="88">
        <f t="shared" si="0"/>
        <v>930968.57142857136</v>
      </c>
      <c r="H17" s="90">
        <v>0</v>
      </c>
      <c r="I17" s="90">
        <v>4586</v>
      </c>
      <c r="J17" s="90">
        <v>7</v>
      </c>
      <c r="K17" s="88">
        <f t="shared" si="1"/>
        <v>668245.7142857142</v>
      </c>
      <c r="L17" s="90">
        <v>0</v>
      </c>
      <c r="M17" s="90">
        <v>5332</v>
      </c>
      <c r="N17" s="90">
        <v>7</v>
      </c>
      <c r="O17" s="88">
        <f t="shared" si="2"/>
        <v>776948.57142857136</v>
      </c>
      <c r="P17" s="91">
        <f t="shared" si="3"/>
        <v>792054.28571428556</v>
      </c>
      <c r="Q17" s="91">
        <f t="shared" si="4"/>
        <v>132011.21872548491</v>
      </c>
      <c r="R17" s="92">
        <f t="shared" si="5"/>
        <v>5.8987549482286576</v>
      </c>
      <c r="S17" s="83"/>
      <c r="T17" s="83"/>
      <c r="U17" s="83"/>
    </row>
    <row r="18" spans="1:21">
      <c r="A18" s="83"/>
      <c r="B18" s="89" t="s">
        <v>200</v>
      </c>
      <c r="C18" s="90">
        <v>900</v>
      </c>
      <c r="D18" s="90">
        <v>0</v>
      </c>
      <c r="E18" s="90">
        <v>2453</v>
      </c>
      <c r="F18" s="90">
        <v>7</v>
      </c>
      <c r="G18" s="88">
        <f t="shared" si="0"/>
        <v>357437.14285714284</v>
      </c>
      <c r="H18" s="90">
        <v>0</v>
      </c>
      <c r="I18" s="90">
        <v>2433</v>
      </c>
      <c r="J18" s="90">
        <v>7</v>
      </c>
      <c r="K18" s="88">
        <f t="shared" si="1"/>
        <v>354522.8571428571</v>
      </c>
      <c r="L18" s="90">
        <v>0</v>
      </c>
      <c r="M18" s="90">
        <v>1833</v>
      </c>
      <c r="N18" s="90">
        <v>7</v>
      </c>
      <c r="O18" s="88">
        <f t="shared" si="2"/>
        <v>267094.28571428568</v>
      </c>
      <c r="P18" s="91">
        <f t="shared" si="3"/>
        <v>326351.42857142852</v>
      </c>
      <c r="Q18" s="91">
        <f t="shared" si="4"/>
        <v>51338.874159841398</v>
      </c>
      <c r="R18" s="92">
        <f t="shared" si="5"/>
        <v>5.5136855181177333</v>
      </c>
      <c r="S18" s="83"/>
      <c r="T18" s="83"/>
      <c r="U18" s="83"/>
    </row>
    <row r="19" spans="1:21">
      <c r="A19" s="83"/>
      <c r="B19" s="89" t="s">
        <v>201</v>
      </c>
      <c r="C19" s="90">
        <v>900</v>
      </c>
      <c r="D19" s="90">
        <v>0</v>
      </c>
      <c r="E19" s="90">
        <v>2574</v>
      </c>
      <c r="F19" s="90">
        <v>14</v>
      </c>
      <c r="G19" s="88">
        <f t="shared" si="0"/>
        <v>187534.28571428571</v>
      </c>
      <c r="H19" s="90">
        <v>0</v>
      </c>
      <c r="I19" s="90">
        <v>1997</v>
      </c>
      <c r="J19" s="90">
        <v>14</v>
      </c>
      <c r="K19" s="88">
        <f t="shared" si="1"/>
        <v>145495.71428571429</v>
      </c>
      <c r="L19" s="90">
        <v>0</v>
      </c>
      <c r="M19" s="90">
        <v>1974</v>
      </c>
      <c r="N19" s="90">
        <v>14</v>
      </c>
      <c r="O19" s="88">
        <f t="shared" si="2"/>
        <v>143819.99999999997</v>
      </c>
      <c r="P19" s="91">
        <f t="shared" si="3"/>
        <v>158950</v>
      </c>
      <c r="Q19" s="91">
        <f t="shared" si="4"/>
        <v>24768.892727345858</v>
      </c>
      <c r="R19" s="92">
        <f t="shared" si="5"/>
        <v>5.2012605322507914</v>
      </c>
      <c r="S19" s="83"/>
      <c r="T19" s="83"/>
      <c r="U19" s="83"/>
    </row>
    <row r="20" spans="1:21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</row>
    <row r="21" spans="1:21" ht="43" thickBot="1">
      <c r="A21" s="83"/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259</v>
      </c>
      <c r="J21" s="95" t="s">
        <v>260</v>
      </c>
      <c r="K21" s="95" t="s">
        <v>261</v>
      </c>
      <c r="L21" s="95" t="s">
        <v>262</v>
      </c>
      <c r="M21" s="96" t="s">
        <v>212</v>
      </c>
      <c r="N21" s="83"/>
      <c r="O21" s="83"/>
      <c r="P21" s="83"/>
      <c r="Q21" s="83"/>
      <c r="R21" s="83"/>
      <c r="S21" s="83"/>
      <c r="T21" s="83"/>
      <c r="U21" s="83"/>
    </row>
    <row r="22" spans="1:2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</row>
    <row r="23" spans="1:21">
      <c r="A23" s="83"/>
      <c r="B23" s="89" t="s">
        <v>186</v>
      </c>
      <c r="C23" s="97">
        <v>13.733217239379883</v>
      </c>
      <c r="D23" s="97">
        <v>13.964070320129395</v>
      </c>
      <c r="E23" s="97">
        <v>13.836982727050781</v>
      </c>
      <c r="F23" s="102">
        <f>AVERAGE(C23:E23)</f>
        <v>13.844756762186686</v>
      </c>
      <c r="G23" s="83">
        <f>150/100*180/4*1000/900</f>
        <v>75</v>
      </c>
      <c r="H23" s="111">
        <f>LOG(G23)/LOG(2)</f>
        <v>6.2288186904958813</v>
      </c>
      <c r="I23" s="97">
        <f>C23-H23</f>
        <v>7.5043985488840015</v>
      </c>
      <c r="J23" s="97">
        <f>D23-H23</f>
        <v>7.7352516296335132</v>
      </c>
      <c r="K23" s="97">
        <f>E23-H23</f>
        <v>7.6081640365548999</v>
      </c>
      <c r="L23" s="102">
        <f>AVERAGE(I23:K23)</f>
        <v>7.6159380716908052</v>
      </c>
      <c r="M23" s="83"/>
      <c r="N23" s="83"/>
      <c r="O23" s="83"/>
      <c r="P23" s="83"/>
      <c r="Q23" s="83"/>
      <c r="R23" s="83"/>
      <c r="S23" s="83"/>
      <c r="T23" s="83"/>
      <c r="U23" s="83"/>
    </row>
    <row r="24" spans="1:21">
      <c r="A24" s="83"/>
      <c r="B24" s="89" t="s">
        <v>187</v>
      </c>
      <c r="C24" s="97">
        <v>17.19072151184082</v>
      </c>
      <c r="D24" s="97">
        <v>17.22271728515625</v>
      </c>
      <c r="E24" s="97">
        <v>17.264667510986328</v>
      </c>
      <c r="F24" s="102">
        <f t="shared" ref="F24:F38" si="6">AVERAGE(C24:E24)</f>
        <v>17.226035435994465</v>
      </c>
      <c r="G24" s="83">
        <f t="shared" ref="G24:G27" si="7">150/100*180/4*1000/900</f>
        <v>75</v>
      </c>
      <c r="H24" s="111">
        <f t="shared" ref="H24:H37" si="8">LOG(G24)/LOG(2)</f>
        <v>6.2288186904958813</v>
      </c>
      <c r="I24" s="97">
        <f t="shared" ref="I24:I38" si="9">C24-H24</f>
        <v>10.961902821344939</v>
      </c>
      <c r="J24" s="97">
        <f t="shared" ref="J24:J38" si="10">D24-H24</f>
        <v>10.993898594660369</v>
      </c>
      <c r="K24" s="97">
        <f t="shared" ref="K24:K38" si="11">E24-H24</f>
        <v>11.035848820490447</v>
      </c>
      <c r="L24" s="102">
        <f t="shared" ref="L24:L38" si="12">AVERAGE(I24:K24)</f>
        <v>10.997216745498585</v>
      </c>
      <c r="M24" s="83"/>
      <c r="N24" s="83"/>
      <c r="O24" s="83"/>
      <c r="P24" s="83"/>
      <c r="Q24" s="83"/>
      <c r="R24" s="83"/>
      <c r="S24" s="83"/>
      <c r="T24" s="83"/>
      <c r="U24" s="83"/>
    </row>
    <row r="25" spans="1:21">
      <c r="A25" s="83"/>
      <c r="B25" s="89" t="s">
        <v>188</v>
      </c>
      <c r="C25" s="97">
        <v>20.897546768188477</v>
      </c>
      <c r="D25" s="97">
        <v>20.622665405273438</v>
      </c>
      <c r="E25" s="97">
        <v>20.75037956237793</v>
      </c>
      <c r="F25" s="102">
        <f t="shared" si="6"/>
        <v>20.756863911946613</v>
      </c>
      <c r="G25" s="83">
        <f t="shared" si="7"/>
        <v>75</v>
      </c>
      <c r="H25" s="111">
        <f t="shared" si="8"/>
        <v>6.2288186904958813</v>
      </c>
      <c r="I25" s="97">
        <f t="shared" si="9"/>
        <v>14.668728077692595</v>
      </c>
      <c r="J25" s="97">
        <f t="shared" si="10"/>
        <v>14.393846714777556</v>
      </c>
      <c r="K25" s="97">
        <f t="shared" si="11"/>
        <v>14.521560871882048</v>
      </c>
      <c r="L25" s="102">
        <f t="shared" si="12"/>
        <v>14.528045221450734</v>
      </c>
      <c r="M25" s="96" t="s">
        <v>129</v>
      </c>
      <c r="N25" s="83"/>
      <c r="O25" s="83"/>
      <c r="P25" s="83"/>
      <c r="Q25" s="83"/>
      <c r="R25" s="83"/>
      <c r="S25" s="83"/>
      <c r="T25" s="83"/>
      <c r="U25" s="83"/>
    </row>
    <row r="26" spans="1:21">
      <c r="A26" s="83"/>
      <c r="B26" s="89" t="s">
        <v>189</v>
      </c>
      <c r="C26" s="97">
        <v>25.132444381713867</v>
      </c>
      <c r="D26" s="97">
        <v>25.147838592529297</v>
      </c>
      <c r="E26" s="97">
        <v>25.181661605834961</v>
      </c>
      <c r="F26" s="102">
        <f t="shared" si="6"/>
        <v>25.153981526692707</v>
      </c>
      <c r="G26" s="83">
        <f t="shared" si="7"/>
        <v>75</v>
      </c>
      <c r="H26" s="111">
        <f t="shared" si="8"/>
        <v>6.2288186904958813</v>
      </c>
      <c r="I26" s="97">
        <f t="shared" si="9"/>
        <v>18.903625691217986</v>
      </c>
      <c r="J26" s="97">
        <f t="shared" si="10"/>
        <v>18.919019902033416</v>
      </c>
      <c r="K26" s="97">
        <f t="shared" si="11"/>
        <v>18.95284291533908</v>
      </c>
      <c r="L26" s="102">
        <f t="shared" si="12"/>
        <v>18.925162836196829</v>
      </c>
      <c r="M26" s="83"/>
      <c r="N26" s="83"/>
      <c r="O26" s="83"/>
      <c r="P26" s="83"/>
      <c r="Q26" s="83"/>
      <c r="R26" s="83"/>
      <c r="S26" s="83"/>
      <c r="T26" s="83"/>
      <c r="U26" s="83"/>
    </row>
    <row r="27" spans="1:21">
      <c r="A27" s="83"/>
      <c r="B27" s="89" t="s">
        <v>190</v>
      </c>
      <c r="C27" s="97">
        <v>28.415132522583008</v>
      </c>
      <c r="D27" s="97">
        <v>28.359806060791016</v>
      </c>
      <c r="E27" s="97">
        <v>28.363668441772461</v>
      </c>
      <c r="F27" s="102">
        <f t="shared" si="6"/>
        <v>28.379535675048828</v>
      </c>
      <c r="G27" s="83">
        <f t="shared" si="7"/>
        <v>75</v>
      </c>
      <c r="H27" s="111">
        <f t="shared" si="8"/>
        <v>6.2288186904958813</v>
      </c>
      <c r="I27" s="97">
        <f t="shared" si="9"/>
        <v>22.186313832087126</v>
      </c>
      <c r="J27" s="97">
        <f t="shared" si="10"/>
        <v>22.130987370295134</v>
      </c>
      <c r="K27" s="97">
        <f t="shared" si="11"/>
        <v>22.13484975127658</v>
      </c>
      <c r="L27" s="102">
        <f t="shared" si="12"/>
        <v>22.150716984552947</v>
      </c>
      <c r="M27" s="83"/>
      <c r="N27" s="83"/>
      <c r="O27" s="83"/>
      <c r="P27" s="83"/>
      <c r="Q27" s="83"/>
      <c r="R27" s="83"/>
      <c r="S27" s="83"/>
      <c r="T27" s="83"/>
      <c r="U27" s="83"/>
    </row>
    <row r="28" spans="1:21">
      <c r="A28" s="83"/>
      <c r="B28" s="89" t="s">
        <v>191</v>
      </c>
      <c r="C28" s="97">
        <v>14.936457633972168</v>
      </c>
      <c r="D28" s="97">
        <v>14.999619483947754</v>
      </c>
      <c r="E28" s="97">
        <v>15.074687957763672</v>
      </c>
      <c r="F28" s="102">
        <f t="shared" si="6"/>
        <v>15.003588358561197</v>
      </c>
      <c r="G28" s="83">
        <f>150/100*180/4*1000/500</f>
        <v>135</v>
      </c>
      <c r="H28" s="111">
        <f t="shared" si="8"/>
        <v>7.0768155970508309</v>
      </c>
      <c r="I28" s="97">
        <f t="shared" si="9"/>
        <v>7.8596420369213371</v>
      </c>
      <c r="J28" s="97">
        <f t="shared" si="10"/>
        <v>7.9228038868969231</v>
      </c>
      <c r="K28" s="97">
        <f t="shared" si="11"/>
        <v>7.997872360712841</v>
      </c>
      <c r="L28" s="102">
        <f t="shared" si="12"/>
        <v>7.9267727615103674</v>
      </c>
      <c r="M28" s="83"/>
      <c r="N28" s="83"/>
      <c r="O28" s="83"/>
      <c r="P28" s="83"/>
      <c r="Q28" s="83"/>
      <c r="R28" s="83"/>
      <c r="S28" s="83"/>
      <c r="T28" s="83"/>
      <c r="U28" s="83"/>
    </row>
    <row r="29" spans="1:21">
      <c r="A29" s="83"/>
      <c r="B29" s="89" t="s">
        <v>192</v>
      </c>
      <c r="C29" s="97">
        <v>16.18989372253418</v>
      </c>
      <c r="D29" s="97">
        <v>15.8782958984375</v>
      </c>
      <c r="E29" s="97">
        <v>15.960098266601562</v>
      </c>
      <c r="F29" s="102">
        <f t="shared" si="6"/>
        <v>16.009429295857746</v>
      </c>
      <c r="G29" s="83">
        <f t="shared" ref="G29:G37" si="13">150/100*180/4*1000/500</f>
        <v>135</v>
      </c>
      <c r="H29" s="111">
        <f t="shared" si="8"/>
        <v>7.0768155970508309</v>
      </c>
      <c r="I29" s="97">
        <f t="shared" si="9"/>
        <v>9.1130781254833479</v>
      </c>
      <c r="J29" s="97">
        <f t="shared" si="10"/>
        <v>8.8014803013866683</v>
      </c>
      <c r="K29" s="97">
        <f t="shared" si="11"/>
        <v>8.8832826695507308</v>
      </c>
      <c r="L29" s="102">
        <f t="shared" si="12"/>
        <v>8.9326136988069162</v>
      </c>
      <c r="M29" s="96" t="s">
        <v>129</v>
      </c>
      <c r="N29" s="83"/>
      <c r="O29" s="83"/>
      <c r="P29" s="83"/>
      <c r="Q29" s="83"/>
      <c r="R29" s="83"/>
      <c r="S29" s="83"/>
      <c r="T29" s="83"/>
      <c r="U29" s="83"/>
    </row>
    <row r="30" spans="1:21">
      <c r="A30" s="83"/>
      <c r="B30" s="89" t="s">
        <v>193</v>
      </c>
      <c r="C30" s="97">
        <v>16.854721069335938</v>
      </c>
      <c r="D30" s="97">
        <v>16.93126106262207</v>
      </c>
      <c r="E30" s="97">
        <v>17.05010986328125</v>
      </c>
      <c r="F30" s="102">
        <f t="shared" si="6"/>
        <v>16.945363998413086</v>
      </c>
      <c r="G30" s="83">
        <f t="shared" si="13"/>
        <v>135</v>
      </c>
      <c r="H30" s="111">
        <f t="shared" si="8"/>
        <v>7.0768155970508309</v>
      </c>
      <c r="I30" s="97">
        <f t="shared" si="9"/>
        <v>9.7779054722851058</v>
      </c>
      <c r="J30" s="97">
        <f t="shared" si="10"/>
        <v>9.8544454655712386</v>
      </c>
      <c r="K30" s="97">
        <f t="shared" si="11"/>
        <v>9.9732942662304183</v>
      </c>
      <c r="L30" s="102">
        <f t="shared" si="12"/>
        <v>9.8685484013622542</v>
      </c>
      <c r="M30" s="96" t="s">
        <v>129</v>
      </c>
      <c r="N30" s="83"/>
      <c r="O30" s="83"/>
      <c r="P30" s="83"/>
      <c r="Q30" s="83"/>
      <c r="R30" s="83"/>
      <c r="S30" s="83"/>
      <c r="T30" s="83"/>
      <c r="U30" s="83"/>
    </row>
    <row r="31" spans="1:21">
      <c r="A31" s="83"/>
      <c r="B31" s="89" t="s">
        <v>194</v>
      </c>
      <c r="C31" s="97">
        <v>18.072385787963867</v>
      </c>
      <c r="D31" s="97">
        <v>18.182058334350586</v>
      </c>
      <c r="E31" s="97">
        <v>18.225353240966797</v>
      </c>
      <c r="F31" s="102">
        <f t="shared" si="6"/>
        <v>18.159932454427082</v>
      </c>
      <c r="G31" s="83">
        <f t="shared" si="13"/>
        <v>135</v>
      </c>
      <c r="H31" s="111">
        <f t="shared" si="8"/>
        <v>7.0768155970508309</v>
      </c>
      <c r="I31" s="97">
        <f t="shared" si="9"/>
        <v>10.995570190913035</v>
      </c>
      <c r="J31" s="97">
        <f t="shared" si="10"/>
        <v>11.105242737299754</v>
      </c>
      <c r="K31" s="97">
        <f t="shared" si="11"/>
        <v>11.148537643915965</v>
      </c>
      <c r="L31" s="102">
        <f t="shared" si="12"/>
        <v>11.083116857376252</v>
      </c>
      <c r="M31" s="83"/>
      <c r="N31" s="83"/>
      <c r="O31" s="83"/>
      <c r="P31" s="83"/>
      <c r="Q31" s="83"/>
      <c r="R31" s="83"/>
      <c r="S31" s="83"/>
      <c r="T31" s="83"/>
      <c r="U31" s="83"/>
    </row>
    <row r="32" spans="1:21">
      <c r="A32" s="83"/>
      <c r="B32" s="89" t="s">
        <v>195</v>
      </c>
      <c r="C32" s="97">
        <v>20.280126571655273</v>
      </c>
      <c r="D32" s="97">
        <v>20.968669891357422</v>
      </c>
      <c r="E32" s="97">
        <v>20.306863784790039</v>
      </c>
      <c r="F32" s="102">
        <f t="shared" si="6"/>
        <v>20.518553415934246</v>
      </c>
      <c r="G32" s="83">
        <f t="shared" si="13"/>
        <v>135</v>
      </c>
      <c r="H32" s="111">
        <f t="shared" si="8"/>
        <v>7.0768155970508309</v>
      </c>
      <c r="I32" s="97">
        <f t="shared" si="9"/>
        <v>13.203310974604442</v>
      </c>
      <c r="J32" s="97">
        <f t="shared" si="10"/>
        <v>13.89185429430659</v>
      </c>
      <c r="K32" s="97">
        <f t="shared" si="11"/>
        <v>13.230048187739207</v>
      </c>
      <c r="L32" s="102">
        <f t="shared" si="12"/>
        <v>13.441737818883412</v>
      </c>
      <c r="M32" s="83"/>
      <c r="N32" s="83"/>
      <c r="O32" s="83"/>
      <c r="P32" s="83"/>
      <c r="Q32" s="83"/>
      <c r="R32" s="83"/>
      <c r="S32" s="83"/>
      <c r="T32" s="83"/>
      <c r="U32" s="83"/>
    </row>
    <row r="33" spans="1:21">
      <c r="A33" s="83"/>
      <c r="B33" s="89" t="s">
        <v>196</v>
      </c>
      <c r="C33" s="97">
        <v>21.049312591552734</v>
      </c>
      <c r="D33" s="97">
        <v>21.128349304199219</v>
      </c>
      <c r="E33" s="97">
        <v>21.15723991394043</v>
      </c>
      <c r="F33" s="102">
        <f t="shared" si="6"/>
        <v>21.111633936564129</v>
      </c>
      <c r="G33" s="83">
        <f t="shared" si="13"/>
        <v>135</v>
      </c>
      <c r="H33" s="111">
        <f t="shared" si="8"/>
        <v>7.0768155970508309</v>
      </c>
      <c r="I33" s="97">
        <f t="shared" si="9"/>
        <v>13.972496994501903</v>
      </c>
      <c r="J33" s="97">
        <f t="shared" si="10"/>
        <v>14.051533707148387</v>
      </c>
      <c r="K33" s="97">
        <f t="shared" si="11"/>
        <v>14.080424316889598</v>
      </c>
      <c r="L33" s="102">
        <f t="shared" si="12"/>
        <v>14.034818339513295</v>
      </c>
      <c r="M33" s="83"/>
      <c r="N33" s="83"/>
      <c r="O33" s="83"/>
      <c r="P33" s="83"/>
      <c r="Q33" s="83"/>
      <c r="R33" s="83"/>
      <c r="S33" s="83"/>
      <c r="T33" s="83"/>
      <c r="U33" s="83"/>
    </row>
    <row r="34" spans="1:21">
      <c r="A34" s="83"/>
      <c r="B34" s="89" t="s">
        <v>197</v>
      </c>
      <c r="C34" s="97">
        <v>21.142179489135742</v>
      </c>
      <c r="D34" s="97">
        <v>21.006193161010742</v>
      </c>
      <c r="E34" s="97">
        <v>21.079441070556641</v>
      </c>
      <c r="F34" s="102">
        <f t="shared" si="6"/>
        <v>21.075937906901043</v>
      </c>
      <c r="G34" s="83">
        <f t="shared" si="13"/>
        <v>135</v>
      </c>
      <c r="H34" s="111">
        <f t="shared" si="8"/>
        <v>7.0768155970508309</v>
      </c>
      <c r="I34" s="97">
        <f t="shared" si="9"/>
        <v>14.06536389208491</v>
      </c>
      <c r="J34" s="97">
        <f t="shared" si="10"/>
        <v>13.92937756395991</v>
      </c>
      <c r="K34" s="97">
        <f t="shared" si="11"/>
        <v>14.002625473505809</v>
      </c>
      <c r="L34" s="102">
        <f t="shared" si="12"/>
        <v>13.999122309850209</v>
      </c>
      <c r="M34" s="83"/>
      <c r="N34" s="83"/>
      <c r="O34" s="83"/>
      <c r="P34" s="83"/>
      <c r="Q34" s="83"/>
      <c r="R34" s="83"/>
      <c r="S34" s="83"/>
      <c r="T34" s="83"/>
      <c r="U34" s="83"/>
    </row>
    <row r="35" spans="1:21">
      <c r="A35" s="83"/>
      <c r="B35" s="89" t="s">
        <v>198</v>
      </c>
      <c r="C35" s="97">
        <v>22.919816970825195</v>
      </c>
      <c r="D35" s="97">
        <v>22.845848083496094</v>
      </c>
      <c r="E35" s="97">
        <v>22.840835571289062</v>
      </c>
      <c r="F35" s="102">
        <f t="shared" si="6"/>
        <v>22.868833541870117</v>
      </c>
      <c r="G35" s="83">
        <f t="shared" si="13"/>
        <v>135</v>
      </c>
      <c r="H35" s="111">
        <f t="shared" si="8"/>
        <v>7.0768155970508309</v>
      </c>
      <c r="I35" s="97">
        <f t="shared" si="9"/>
        <v>15.843001373774364</v>
      </c>
      <c r="J35" s="97">
        <f t="shared" si="10"/>
        <v>15.769032486445262</v>
      </c>
      <c r="K35" s="97">
        <f t="shared" si="11"/>
        <v>15.764019974238231</v>
      </c>
      <c r="L35" s="102">
        <f t="shared" si="12"/>
        <v>15.792017944819285</v>
      </c>
      <c r="M35" s="83"/>
      <c r="N35" s="83"/>
      <c r="O35" s="83"/>
      <c r="P35" s="83"/>
      <c r="Q35" s="83"/>
      <c r="R35" s="83"/>
      <c r="S35" s="83"/>
      <c r="T35" s="83"/>
      <c r="U35" s="83"/>
    </row>
    <row r="36" spans="1:21">
      <c r="A36" s="83"/>
      <c r="B36" s="89" t="s">
        <v>199</v>
      </c>
      <c r="C36" s="97">
        <v>23.948450088500977</v>
      </c>
      <c r="D36" s="97">
        <v>24.184415817260742</v>
      </c>
      <c r="E36" s="97">
        <v>24.005857467651367</v>
      </c>
      <c r="F36" s="102">
        <f t="shared" si="6"/>
        <v>24.046241124471027</v>
      </c>
      <c r="G36" s="83">
        <f t="shared" si="13"/>
        <v>135</v>
      </c>
      <c r="H36" s="111">
        <f t="shared" si="8"/>
        <v>7.0768155970508309</v>
      </c>
      <c r="I36" s="97">
        <f t="shared" si="9"/>
        <v>16.871634491450145</v>
      </c>
      <c r="J36" s="97">
        <f t="shared" si="10"/>
        <v>17.10760022020991</v>
      </c>
      <c r="K36" s="97">
        <f t="shared" si="11"/>
        <v>16.929041870600535</v>
      </c>
      <c r="L36" s="102">
        <f t="shared" si="12"/>
        <v>16.969425527420196</v>
      </c>
      <c r="M36" s="83"/>
      <c r="N36" s="83"/>
      <c r="O36" s="83"/>
      <c r="P36" s="83"/>
      <c r="Q36" s="83"/>
      <c r="R36" s="83"/>
      <c r="S36" s="83"/>
      <c r="T36" s="83"/>
      <c r="U36" s="83"/>
    </row>
    <row r="37" spans="1:21">
      <c r="A37" s="83"/>
      <c r="B37" s="89" t="s">
        <v>200</v>
      </c>
      <c r="C37" s="97">
        <v>24.632528305053711</v>
      </c>
      <c r="D37" s="97">
        <v>24.451812744140625</v>
      </c>
      <c r="E37" s="97">
        <v>24.549453735351562</v>
      </c>
      <c r="F37" s="102">
        <f t="shared" si="6"/>
        <v>24.544598261515301</v>
      </c>
      <c r="G37" s="83">
        <f t="shared" si="13"/>
        <v>135</v>
      </c>
      <c r="H37" s="111">
        <f t="shared" si="8"/>
        <v>7.0768155970508309</v>
      </c>
      <c r="I37" s="97">
        <f t="shared" si="9"/>
        <v>17.555712708002879</v>
      </c>
      <c r="J37" s="97">
        <f t="shared" si="10"/>
        <v>17.374997147089793</v>
      </c>
      <c r="K37" s="97">
        <f t="shared" si="11"/>
        <v>17.472638138300731</v>
      </c>
      <c r="L37" s="102">
        <f t="shared" si="12"/>
        <v>17.467782664464469</v>
      </c>
      <c r="M37" s="83"/>
      <c r="N37" s="83"/>
      <c r="O37" s="83"/>
      <c r="P37" s="83"/>
      <c r="Q37" s="83"/>
      <c r="R37" s="83"/>
      <c r="S37" s="83"/>
      <c r="T37" s="83"/>
      <c r="U37" s="83"/>
    </row>
    <row r="38" spans="1:21">
      <c r="A38" s="83"/>
      <c r="B38" s="89" t="s">
        <v>201</v>
      </c>
      <c r="C38" s="90"/>
      <c r="D38" s="90"/>
      <c r="E38" s="90"/>
      <c r="F38" s="102" t="e">
        <f t="shared" si="6"/>
        <v>#DIV/0!</v>
      </c>
      <c r="G38" s="83">
        <v>0</v>
      </c>
      <c r="H38" s="111">
        <v>0</v>
      </c>
      <c r="I38" s="97">
        <f t="shared" si="9"/>
        <v>0</v>
      </c>
      <c r="J38" s="97">
        <f t="shared" si="10"/>
        <v>0</v>
      </c>
      <c r="K38" s="97">
        <f t="shared" si="11"/>
        <v>0</v>
      </c>
      <c r="L38" s="102">
        <f t="shared" si="12"/>
        <v>0</v>
      </c>
      <c r="M38" s="83"/>
      <c r="N38" s="83"/>
      <c r="O38" s="83"/>
      <c r="P38" s="83"/>
      <c r="Q38" s="83"/>
      <c r="R38" s="83"/>
      <c r="S38" s="83"/>
      <c r="T38" s="83"/>
      <c r="U38" s="83"/>
    </row>
    <row r="39" spans="1:21">
      <c r="A39" s="83"/>
      <c r="B39" s="83"/>
      <c r="C39" s="83"/>
      <c r="D39" s="83"/>
      <c r="E39" s="83"/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</row>
    <row r="40" spans="1:21">
      <c r="A40" s="83"/>
      <c r="B40" s="89" t="s">
        <v>263</v>
      </c>
      <c r="C40" s="97">
        <v>14.390941619873047</v>
      </c>
      <c r="D40" s="97">
        <v>14.411395072937012</v>
      </c>
      <c r="E40" s="97">
        <v>14.301624298095703</v>
      </c>
      <c r="F40" s="102">
        <f>AVERAGE(C40:E40)</f>
        <v>14.367986996968588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</row>
    <row r="41" spans="1:2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</row>
    <row r="42" spans="1:21">
      <c r="A42" s="83"/>
      <c r="B42" s="96" t="s">
        <v>214</v>
      </c>
      <c r="C42" s="83" t="s">
        <v>215</v>
      </c>
      <c r="D42" s="83"/>
      <c r="E42" s="83"/>
      <c r="F42" t="s">
        <v>264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</row>
    <row r="43" spans="1:21">
      <c r="A43" s="83"/>
      <c r="B43" s="83" t="s">
        <v>265</v>
      </c>
      <c r="C43" s="83" t="s">
        <v>215</v>
      </c>
      <c r="D43" s="83"/>
      <c r="E43" s="83"/>
      <c r="F43">
        <v>0.35990572856564834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</row>
    <row r="44" spans="1:21">
      <c r="A44" s="83"/>
      <c r="B44" s="83"/>
      <c r="C44" s="100" t="s">
        <v>217</v>
      </c>
      <c r="D44" s="112">
        <v>-3.2483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</row>
    <row r="45" spans="1:21">
      <c r="A45" s="83"/>
      <c r="B45" s="83"/>
      <c r="C45" s="100" t="s">
        <v>218</v>
      </c>
      <c r="D45" s="98">
        <v>36.023000000000003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</row>
    <row r="46" spans="1:2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</row>
    <row r="47" spans="1:2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</row>
    <row r="48" spans="1:21">
      <c r="A48" s="83"/>
      <c r="B48" s="96" t="s">
        <v>219</v>
      </c>
      <c r="C48" s="83"/>
      <c r="D48" s="83">
        <f>-1+ POWER(10,-(1/D44))</f>
        <v>1.0316707994539165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</row>
    <row r="49" spans="1:2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</row>
    <row r="50" spans="1:2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</row>
    <row r="51" spans="1:2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</row>
    <row r="52" spans="1:2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</row>
    <row r="53" spans="1:2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51" workbookViewId="0">
      <selection activeCell="H80" sqref="H80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1" t="s">
        <v>266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>
      <c r="A2" s="129" t="s">
        <v>4</v>
      </c>
      <c r="B2" s="129" t="s">
        <v>117</v>
      </c>
      <c r="C2" s="129" t="s">
        <v>117</v>
      </c>
      <c r="D2" s="129" t="s">
        <v>5</v>
      </c>
      <c r="E2" s="141" t="s">
        <v>221</v>
      </c>
      <c r="F2" s="141" t="s">
        <v>222</v>
      </c>
      <c r="G2" s="141" t="s">
        <v>223</v>
      </c>
      <c r="H2" s="143" t="s">
        <v>224</v>
      </c>
      <c r="I2" s="143" t="s">
        <v>225</v>
      </c>
      <c r="J2" s="143" t="s">
        <v>226</v>
      </c>
      <c r="K2" s="141" t="s">
        <v>227</v>
      </c>
      <c r="L2" s="141" t="s">
        <v>228</v>
      </c>
      <c r="M2" s="141" t="s">
        <v>229</v>
      </c>
      <c r="N2" s="141" t="s">
        <v>230</v>
      </c>
      <c r="O2" s="141" t="s">
        <v>231</v>
      </c>
      <c r="P2" s="143" t="s">
        <v>232</v>
      </c>
      <c r="Q2" s="143" t="s">
        <v>267</v>
      </c>
      <c r="R2" s="143" t="s">
        <v>234</v>
      </c>
      <c r="S2" s="143" t="s">
        <v>235</v>
      </c>
    </row>
    <row r="3" spans="1:19">
      <c r="A3" s="130"/>
      <c r="B3" s="130"/>
      <c r="C3" s="130"/>
      <c r="D3" s="130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31.905584335327148</v>
      </c>
      <c r="F4" s="97">
        <v>30.982217788696289</v>
      </c>
      <c r="G4" s="102">
        <v>33.066669464111328</v>
      </c>
      <c r="H4" s="108">
        <f>E4-$H$67+$H$79</f>
        <v>32.107730911089021</v>
      </c>
      <c r="I4" s="108">
        <f>F4-$H$67+$H$79</f>
        <v>31.184364364458162</v>
      </c>
      <c r="J4" s="108">
        <f>G4-$H$67+$H$79</f>
        <v>33.268816039873201</v>
      </c>
      <c r="K4" s="102">
        <f>((H4-'Calibration F. prausnitzii'!$D$45)/'Calibration F. prausnitzii'!$D$44)+$C$27</f>
        <v>5.137294775538745</v>
      </c>
      <c r="L4" s="102">
        <f>((I4-'Calibration F. prausnitzii'!$D$45)/'Calibration F. prausnitzii'!$D$44)+$C$27</f>
        <v>5.4215562497347429</v>
      </c>
      <c r="M4" s="102">
        <f>((J4-'Calibration F. prausnitzii'!$D$45)/'Calibration F. prausnitzii'!$D$44)+$C$27</f>
        <v>4.7798508421630777</v>
      </c>
      <c r="N4" s="103">
        <f>AVERAGE(K4:M4)</f>
        <v>5.1129006224788549</v>
      </c>
      <c r="O4" s="103">
        <f>STDEV(K4:M4)</f>
        <v>0.32154745148159902</v>
      </c>
      <c r="P4" s="104">
        <f>(AVERAGE(POWER(10,K4),POWER(10,L4),POWER(10,M4)))*Calculation!$I4/Calculation!$K3</f>
        <v>154086.78925447384</v>
      </c>
      <c r="Q4" s="104">
        <f>(STDEV(POWER(10,K4),POWER(10,L4),POWER(10,M4))*Calculation!$I4/Calculation!$K3)</f>
        <v>103073.66413144271</v>
      </c>
      <c r="R4" s="103">
        <f>LOG(P4)</f>
        <v>5.1877654057539484</v>
      </c>
      <c r="S4" s="103">
        <f>O4*Calculation!$I4/Calculation!$K3</f>
        <v>0.32215573526748875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7">
        <v>31.447177886962891</v>
      </c>
      <c r="F5" s="97">
        <v>30.80247688293457</v>
      </c>
      <c r="G5" s="102">
        <v>30.992679595947266</v>
      </c>
      <c r="H5" s="108">
        <f>E5-$H$67+$H$79</f>
        <v>31.649324462724763</v>
      </c>
      <c r="I5" s="108">
        <f>F5-$H$67+$H$79</f>
        <v>31.004623458696443</v>
      </c>
      <c r="J5" s="108">
        <f>G5-$H$67+$H$79</f>
        <v>31.194826171709138</v>
      </c>
      <c r="K5" s="102">
        <f>((H5-'Calibration F. prausnitzii'!$D$45)/'Calibration F. prausnitzii'!$D$44)+$C$27</f>
        <v>5.2784167311352901</v>
      </c>
      <c r="L5" s="102">
        <f>((I5-'Calibration F. prausnitzii'!$D$45)/'Calibration F. prausnitzii'!$D$44)+$C$27</f>
        <v>5.4768900876689601</v>
      </c>
      <c r="M5" s="102">
        <f>((J5-'Calibration F. prausnitzii'!$D$45)/'Calibration F. prausnitzii'!$D$44)+$C$27</f>
        <v>5.4183355474440136</v>
      </c>
      <c r="N5" s="103">
        <f t="shared" ref="N5:N20" si="1">AVERAGE(K5:M5)</f>
        <v>5.3912141220827543</v>
      </c>
      <c r="O5" s="103">
        <f t="shared" ref="O5:O20" si="2">STDEV(K5:M5)</f>
        <v>0.10197841486635828</v>
      </c>
      <c r="P5" s="104">
        <f>(AVERAGE(POWER(10,K5),POWER(10,L5),POWER(10,M5)))*Calculation!$I5/Calculation!$K4</f>
        <v>251045.25008384133</v>
      </c>
      <c r="Q5" s="104">
        <f>(STDEV(POWER(10,K5),POWER(10,L5),POWER(10,M5))*Calculation!$I5/Calculation!$K4)</f>
        <v>55986.293677417765</v>
      </c>
      <c r="R5" s="103">
        <f t="shared" ref="R5:R20" si="3">LOG(P5)</f>
        <v>5.3997520086942643</v>
      </c>
      <c r="S5" s="103">
        <f>O5*Calculation!$I5/Calculation!$K4</f>
        <v>0.10217133138921708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30.932445526123047</v>
      </c>
      <c r="F6" s="97">
        <v>30.552471160888672</v>
      </c>
      <c r="G6" s="102">
        <v>31.135360717773438</v>
      </c>
      <c r="H6" s="108">
        <f>E6-$H$67+$H$79</f>
        <v>31.13459210188492</v>
      </c>
      <c r="I6" s="108">
        <f>F6-$H$67+$H$79</f>
        <v>30.754617736650545</v>
      </c>
      <c r="J6" s="108">
        <f>G6-$H$67+$H$79</f>
        <v>31.33750729353531</v>
      </c>
      <c r="K6" s="102">
        <f>((H6-'Calibration F. prausnitzii'!$D$45)/'Calibration F. prausnitzii'!$D$44)+$C$27</f>
        <v>5.4368788069410483</v>
      </c>
      <c r="L6" s="102">
        <f>((I6-'Calibration F. prausnitzii'!$D$45)/'Calibration F. prausnitzii'!$D$44)+$C$27</f>
        <v>5.5538551838872587</v>
      </c>
      <c r="M6" s="102">
        <f>((J6-'Calibration F. prausnitzii'!$D$45)/'Calibration F. prausnitzii'!$D$44)+$C$27</f>
        <v>5.3744106877247226</v>
      </c>
      <c r="N6" s="103">
        <f t="shared" si="1"/>
        <v>5.4550482261843429</v>
      </c>
      <c r="O6" s="103">
        <f t="shared" si="2"/>
        <v>9.1091589334502066E-2</v>
      </c>
      <c r="P6" s="104">
        <f>(AVERAGE(POWER(10,K6),POWER(10,L6),POWER(10,M6)))*Calculation!$I6/Calculation!$K5</f>
        <v>289961.96659612621</v>
      </c>
      <c r="Q6" s="104">
        <f>(STDEV(POWER(10,K6),POWER(10,L6),POWER(10,M6))*Calculation!$I6/Calculation!$K5)</f>
        <v>62255.674381324614</v>
      </c>
      <c r="R6" s="103">
        <f t="shared" si="3"/>
        <v>5.4623410365862997</v>
      </c>
      <c r="S6" s="103">
        <f>O6*Calculation!$I6/Calculation!$K5</f>
        <v>9.1263910827232897E-2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30.782924652099609</v>
      </c>
      <c r="F7" s="97">
        <v>29.979953765869141</v>
      </c>
      <c r="G7" s="102">
        <v>30.410661697387695</v>
      </c>
      <c r="H7" s="108">
        <f>E7-$H$67+$H$79</f>
        <v>30.985071227861482</v>
      </c>
      <c r="I7" s="108">
        <f>F7-$H$67+$H$79</f>
        <v>30.182100341631013</v>
      </c>
      <c r="J7" s="108">
        <f>G7-$H$67+$H$79</f>
        <v>30.612808273149568</v>
      </c>
      <c r="K7" s="102">
        <f>((H7-'Calibration F. prausnitzii'!$D$45)/'Calibration F. prausnitzii'!$D$44)+$C$27</f>
        <v>5.4829093072099386</v>
      </c>
      <c r="L7" s="102">
        <f>((I7-'Calibration F. prausnitzii'!$D$45)/'Calibration F. prausnitzii'!$D$44)+$C$27</f>
        <v>5.7301065753903622</v>
      </c>
      <c r="M7" s="102">
        <f>((J7-'Calibration F. prausnitzii'!$D$45)/'Calibration F. prausnitzii'!$D$44)+$C$27</f>
        <v>5.5975117006809594</v>
      </c>
      <c r="N7" s="103">
        <f t="shared" si="1"/>
        <v>5.6035091944270867</v>
      </c>
      <c r="O7" s="103">
        <f t="shared" si="2"/>
        <v>0.12370771923122739</v>
      </c>
      <c r="P7" s="104">
        <f>(AVERAGE(POWER(10,K7),POWER(10,L7),POWER(10,M7)))*Calculation!$I7/Calculation!$K6</f>
        <v>413120.48566205264</v>
      </c>
      <c r="Q7" s="104">
        <f>(STDEV(POWER(10,K7),POWER(10,L7),POWER(10,M7))*Calculation!$I7/Calculation!$K6)</f>
        <v>117664.83493003574</v>
      </c>
      <c r="R7" s="103">
        <f t="shared" si="3"/>
        <v>5.6160767311407067</v>
      </c>
      <c r="S7" s="103">
        <f>O7*Calculation!$I7/Calculation!$K6</f>
        <v>0.12394174192197187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26.538234710693359</v>
      </c>
      <c r="F8" s="97">
        <v>27.903940200805664</v>
      </c>
      <c r="G8" s="102">
        <v>28.801235198974609</v>
      </c>
      <c r="H8" s="108">
        <f>E8-$H$67+$H$79</f>
        <v>26.740381286455232</v>
      </c>
      <c r="I8" s="108">
        <f>F8-$H$67+$H$79</f>
        <v>28.106086776567537</v>
      </c>
      <c r="J8" s="108">
        <f>G8-$H$67+$H$79</f>
        <v>29.003381774736482</v>
      </c>
      <c r="K8" s="102">
        <f>((H8-'Calibration F. prausnitzii'!$D$45)/'Calibration F. prausnitzii'!$D$44)+$C$27</f>
        <v>6.7896512772885185</v>
      </c>
      <c r="L8" s="102">
        <f>((I8-'Calibration F. prausnitzii'!$D$45)/'Calibration F. prausnitzii'!$D$44)+$C$27</f>
        <v>6.3692142825182376</v>
      </c>
      <c r="M8" s="102">
        <f>((J8-'Calibration F. prausnitzii'!$D$45)/'Calibration F. prausnitzii'!$D$44)+$C$27</f>
        <v>6.092979021560522</v>
      </c>
      <c r="N8" s="103">
        <f t="shared" si="1"/>
        <v>6.4172815271224266</v>
      </c>
      <c r="O8" s="103">
        <f t="shared" si="2"/>
        <v>0.35081462765706178</v>
      </c>
      <c r="P8" s="104">
        <f>(AVERAGE(POWER(10,K8),POWER(10,L8),POWER(10,M8)))*Calculation!$I8/Calculation!$K7</f>
        <v>3252718.0860090656</v>
      </c>
      <c r="Q8" s="104">
        <f>(STDEV(POWER(10,K8),POWER(10,L8),POWER(10,M8))*Calculation!$I8/Calculation!$K7)</f>
        <v>2588216.8912946428</v>
      </c>
      <c r="R8" s="103">
        <f t="shared" si="3"/>
        <v>6.5122464244880751</v>
      </c>
      <c r="S8" s="103">
        <f>O8*Calculation!$I8/Calculation!$K7</f>
        <v>0.35147827729531417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25.005716323852539</v>
      </c>
      <c r="F9" s="97">
        <v>25.281515121459961</v>
      </c>
      <c r="G9" s="102">
        <v>26.331691741943359</v>
      </c>
      <c r="H9" s="108">
        <f>E9-$H$67+$H$79</f>
        <v>25.207862899614412</v>
      </c>
      <c r="I9" s="108">
        <f>F9-$H$67+$H$79</f>
        <v>25.483661697221834</v>
      </c>
      <c r="J9" s="108">
        <f>G9-$H$67+$H$79</f>
        <v>26.533838317705232</v>
      </c>
      <c r="K9" s="102">
        <f>((H9-'Calibration F. prausnitzii'!$D$45)/'Calibration F. prausnitzii'!$D$44)+$C$27</f>
        <v>7.261442179249797</v>
      </c>
      <c r="L9" s="102">
        <f>((I9-'Calibration F. prausnitzii'!$D$45)/'Calibration F. prausnitzii'!$D$44)+$C$27</f>
        <v>7.1765365986053293</v>
      </c>
      <c r="M9" s="102">
        <f>((J9-'Calibration F. prausnitzii'!$D$45)/'Calibration F. prausnitzii'!$D$44)+$C$27</f>
        <v>6.8532362197969077</v>
      </c>
      <c r="N9" s="103">
        <f t="shared" si="1"/>
        <v>7.0970716658840116</v>
      </c>
      <c r="O9" s="103">
        <f t="shared" si="2"/>
        <v>0.2153927412484371</v>
      </c>
      <c r="P9" s="104">
        <f>(AVERAGE(POWER(10,K9),POWER(10,L9),POWER(10,M9)))*Calculation!$I9/Calculation!$K8</f>
        <v>13504654.152223</v>
      </c>
      <c r="Q9" s="104">
        <f>(STDEV(POWER(10,K9),POWER(10,L9),POWER(10,M9))*Calculation!$I9/Calculation!$K8)</f>
        <v>5736998.8171435483</v>
      </c>
      <c r="R9" s="103">
        <f t="shared" si="3"/>
        <v>7.130483466590527</v>
      </c>
      <c r="S9" s="103">
        <f>O9*Calculation!$I9/Calculation!$K8</f>
        <v>0.21597181446096672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21.163026809692383</v>
      </c>
      <c r="F10" s="97">
        <v>21.197597503662109</v>
      </c>
      <c r="G10" s="102">
        <v>20.973114013671875</v>
      </c>
      <c r="H10" s="108">
        <f>E10-$H$67+$H$79</f>
        <v>21.365173385454256</v>
      </c>
      <c r="I10" s="108">
        <f>F10-$H$67+$H$79</f>
        <v>21.399744079423982</v>
      </c>
      <c r="J10" s="108">
        <f>G10-$H$67+$H$79</f>
        <v>21.175260589433748</v>
      </c>
      <c r="K10" s="102">
        <f>((H10-'Calibration F. prausnitzii'!$D$45)/'Calibration F. prausnitzii'!$D$44)+$B$27</f>
        <v>8.1656733747012886</v>
      </c>
      <c r="L10" s="102">
        <f>((I10-'Calibration F. prausnitzii'!$D$45)/'Calibration F. prausnitzii'!$D$44)+$B$27</f>
        <v>8.1550306711425886</v>
      </c>
      <c r="M10" s="102">
        <f>((J10-'Calibration F. prausnitzii'!$D$45)/'Calibration F. prausnitzii'!$D$44)+$B$27</f>
        <v>8.224138663012253</v>
      </c>
      <c r="N10" s="103">
        <f t="shared" si="1"/>
        <v>8.1816142362853768</v>
      </c>
      <c r="O10" s="103">
        <f t="shared" si="2"/>
        <v>3.7209702176941618E-2</v>
      </c>
      <c r="P10" s="104">
        <f>(AVERAGE(POWER(10,K10),POWER(10,L10),POWER(10,M10)))*Calculation!$I10/Calculation!$K9</f>
        <v>152960919.86580095</v>
      </c>
      <c r="Q10" s="104">
        <f>(STDEV(POWER(10,K10),POWER(10,L10),POWER(10,M10))*Calculation!$I10/Calculation!$K9)</f>
        <v>13383791.481908385</v>
      </c>
      <c r="R10" s="103">
        <f t="shared" si="3"/>
        <v>8.1845804866699972</v>
      </c>
      <c r="S10" s="103">
        <f>O10*Calculation!$I10/Calculation!$K9</f>
        <v>3.7371842419550487E-2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19.737678527832031</v>
      </c>
      <c r="F11" s="97">
        <v>20.154703140258789</v>
      </c>
      <c r="G11" s="102">
        <v>19.996326446533203</v>
      </c>
      <c r="H11" s="108">
        <f>E11-$H$67+$H$79</f>
        <v>19.939825103593904</v>
      </c>
      <c r="I11" s="108">
        <f>F11-$H$67+$H$79</f>
        <v>20.356849716020662</v>
      </c>
      <c r="J11" s="108">
        <f>G11-$H$67+$H$79</f>
        <v>20.198473022295076</v>
      </c>
      <c r="K11" s="102">
        <f>((H11-'Calibration F. prausnitzii'!$D$45)/'Calibration F. prausnitzii'!$D$44)+$B$27</f>
        <v>8.6044716020387728</v>
      </c>
      <c r="L11" s="102">
        <f>((I11-'Calibration F. prausnitzii'!$D$45)/'Calibration F. prausnitzii'!$D$44)+$B$27</f>
        <v>8.4760891827958602</v>
      </c>
      <c r="M11" s="102">
        <f>((J11-'Calibration F. prausnitzii'!$D$45)/'Calibration F. prausnitzii'!$D$44)+$B$27</f>
        <v>8.5248459767267111</v>
      </c>
      <c r="N11" s="103">
        <f t="shared" si="1"/>
        <v>8.5351355871871135</v>
      </c>
      <c r="O11" s="103">
        <f t="shared" si="2"/>
        <v>6.4806777849511082E-2</v>
      </c>
      <c r="P11" s="104">
        <f>(AVERAGE(POWER(10,K11),POWER(10,L11),POWER(10,M11)))*Calculation!$I11/Calculation!$K10</f>
        <v>348168696.80872333</v>
      </c>
      <c r="Q11" s="104">
        <f>(STDEV(POWER(10,K11),POWER(10,L11),POWER(10,M11))*Calculation!$I11/Calculation!$K10)</f>
        <v>52693920.922378808</v>
      </c>
      <c r="R11" s="103">
        <f t="shared" si="3"/>
        <v>8.5417897219382315</v>
      </c>
      <c r="S11" s="103">
        <f>O11*Calculation!$I11/Calculation!$K10</f>
        <v>6.5316056008854873E-2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19.015859603881836</v>
      </c>
      <c r="F12" s="97">
        <v>18.983081817626953</v>
      </c>
      <c r="G12" s="102">
        <v>19.205799102783203</v>
      </c>
      <c r="H12" s="108">
        <f>E12-$H$67+$H$79</f>
        <v>19.218006179643709</v>
      </c>
      <c r="I12" s="108">
        <f>F12-$H$67+$H$79</f>
        <v>19.185228393388826</v>
      </c>
      <c r="J12" s="108">
        <f>G12-$H$67+$H$79</f>
        <v>19.407945678545076</v>
      </c>
      <c r="K12" s="102">
        <f>((H12-'Calibration F. prausnitzii'!$D$45)/'Calibration F. prausnitzii'!$D$44)+$B$27</f>
        <v>8.8266859676916365</v>
      </c>
      <c r="L12" s="102">
        <f>((I12-'Calibration F. prausnitzii'!$D$45)/'Calibration F. prausnitzii'!$D$44)+$B$27</f>
        <v>8.836776718624396</v>
      </c>
      <c r="M12" s="102">
        <f>((J12-'Calibration F. prausnitzii'!$D$45)/'Calibration F. prausnitzii'!$D$44)+$B$27</f>
        <v>8.7682124588096464</v>
      </c>
      <c r="N12" s="103">
        <f t="shared" si="1"/>
        <v>8.8105583817085584</v>
      </c>
      <c r="O12" s="103">
        <f t="shared" si="2"/>
        <v>3.7018086163621067E-2</v>
      </c>
      <c r="P12" s="104">
        <f>(AVERAGE(POWER(10,K12),POWER(10,L12),POWER(10,M12)))*Calculation!$I12/Calculation!$K11</f>
        <v>656090398.48615789</v>
      </c>
      <c r="Q12" s="104">
        <f>(STDEV(POWER(10,K12),POWER(10,L12),POWER(10,M12))*Calculation!$I12/Calculation!$K11)</f>
        <v>54600365.654762849</v>
      </c>
      <c r="R12" s="103">
        <f t="shared" si="3"/>
        <v>8.8169636821484119</v>
      </c>
      <c r="S12" s="103">
        <f>O12*Calculation!$I12/Calculation!$K11</f>
        <v>3.7478648227242138E-2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18.388736724853516</v>
      </c>
      <c r="F13" s="97">
        <v>18.184829711914062</v>
      </c>
      <c r="G13" s="102">
        <v>18.12530517578125</v>
      </c>
      <c r="H13" s="108">
        <f>E13-$H$67+$H$79</f>
        <v>18.590883300615388</v>
      </c>
      <c r="I13" s="108">
        <f>F13-$H$67+$H$79</f>
        <v>18.386976287675935</v>
      </c>
      <c r="J13" s="108">
        <f>G13-$H$67+$H$79</f>
        <v>18.327451751543123</v>
      </c>
      <c r="K13" s="102">
        <f>((H13-'Calibration F. prausnitzii'!$D$45)/'Calibration F. prausnitzii'!$D$44)+$B$27</f>
        <v>9.0197478397565067</v>
      </c>
      <c r="L13" s="102">
        <f>((I13-'Calibration F. prausnitzii'!$D$45)/'Calibration F. prausnitzii'!$D$44)+$B$27</f>
        <v>9.0825212944680338</v>
      </c>
      <c r="M13" s="102">
        <f>((J13-'Calibration F. prausnitzii'!$D$45)/'Calibration F. prausnitzii'!$D$44)+$B$27</f>
        <v>9.1008461216492709</v>
      </c>
      <c r="N13" s="103">
        <f t="shared" si="1"/>
        <v>9.0677050852912711</v>
      </c>
      <c r="O13" s="103">
        <f t="shared" si="2"/>
        <v>4.2530846126861421E-2</v>
      </c>
      <c r="P13" s="104">
        <f>(AVERAGE(POWER(10,K13),POWER(10,L13),POWER(10,M13)))*Calculation!$I13/Calculation!$K12</f>
        <v>1193696607.8183413</v>
      </c>
      <c r="Q13" s="104">
        <f>(STDEV(POWER(10,K13),POWER(10,L13),POWER(10,M13))*Calculation!$I13/Calculation!$K12)</f>
        <v>114113085.36806335</v>
      </c>
      <c r="R13" s="103">
        <f t="shared" si="3"/>
        <v>9.0768939597135248</v>
      </c>
      <c r="S13" s="103">
        <f>O13*Calculation!$I13/Calculation!$K12</f>
        <v>4.3303839366226927E-2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17.649641036987305</v>
      </c>
      <c r="F14" s="97">
        <v>17.749897003173828</v>
      </c>
      <c r="G14" s="102">
        <v>17.87419319152832</v>
      </c>
      <c r="H14" s="108">
        <f>E14-$H$67+$H$79</f>
        <v>17.851787612749177</v>
      </c>
      <c r="I14" s="108">
        <f>F14-$H$67+$H$79</f>
        <v>17.952043578935701</v>
      </c>
      <c r="J14" s="108">
        <f>G14-$H$67+$H$79</f>
        <v>18.076339767290193</v>
      </c>
      <c r="K14" s="102">
        <f>((H14-'Calibration F. prausnitzii'!$D$45)/'Calibration F. prausnitzii'!$D$44)+$B$27</f>
        <v>9.247280914862321</v>
      </c>
      <c r="L14" s="102">
        <f>((I14-'Calibration F. prausnitzii'!$D$45)/'Calibration F. prausnitzii'!$D$44)+$B$27</f>
        <v>9.2164167809502668</v>
      </c>
      <c r="M14" s="102">
        <f>((J14-'Calibration F. prausnitzii'!$D$45)/'Calibration F. prausnitzii'!$D$44)+$B$27</f>
        <v>9.1781517843814484</v>
      </c>
      <c r="N14" s="103">
        <f t="shared" si="1"/>
        <v>9.213949826731346</v>
      </c>
      <c r="O14" s="103">
        <f t="shared" si="2"/>
        <v>3.4630529415518127E-2</v>
      </c>
      <c r="P14" s="104">
        <f>(AVERAGE(POWER(10,K14),POWER(10,L14),POWER(10,M14)))*Calculation!$I14/Calculation!$K13</f>
        <v>1686438000.0546904</v>
      </c>
      <c r="Q14" s="104">
        <f>(STDEV(POWER(10,K14),POWER(10,L14),POWER(10,M14))*Calculation!$I14/Calculation!$K13)</f>
        <v>133799809.40738015</v>
      </c>
      <c r="R14" s="103">
        <f t="shared" si="3"/>
        <v>9.226970379483669</v>
      </c>
      <c r="S14" s="103">
        <f>O14*Calculation!$I14/Calculation!$K13</f>
        <v>3.5609206109131243E-2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17.491044998168945</v>
      </c>
      <c r="F15" s="97">
        <v>17.4583740234375</v>
      </c>
      <c r="G15" s="102">
        <v>17.441234588623047</v>
      </c>
      <c r="H15" s="108">
        <f>E15-$H$67+$H$79</f>
        <v>17.693191573930818</v>
      </c>
      <c r="I15" s="108">
        <f>F15-$H$67+$H$79</f>
        <v>17.660520599199373</v>
      </c>
      <c r="J15" s="108">
        <f>G15-$H$67+$H$79</f>
        <v>17.64338116438492</v>
      </c>
      <c r="K15" s="102">
        <f>((H15-'Calibration F. prausnitzii'!$D$45)/'Calibration F. prausnitzii'!$D$44)+$B$27</f>
        <v>9.2961052349123037</v>
      </c>
      <c r="L15" s="102">
        <f>((I15-'Calibration F. prausnitzii'!$D$45)/'Calibration F. prausnitzii'!$D$44)+$B$27</f>
        <v>9.306163103560964</v>
      </c>
      <c r="M15" s="102">
        <f>((J15-'Calibration F. prausnitzii'!$D$45)/'Calibration F. prausnitzii'!$D$44)+$B$27</f>
        <v>9.3114395357915001</v>
      </c>
      <c r="N15" s="103">
        <f t="shared" si="1"/>
        <v>9.3045692914215881</v>
      </c>
      <c r="O15" s="103">
        <f t="shared" si="2"/>
        <v>7.7904026670734183E-3</v>
      </c>
      <c r="P15" s="104">
        <f>(AVERAGE(POWER(10,K15),POWER(10,L15),POWER(10,M15)))*Calculation!$I15/Calculation!$K14</f>
        <v>2088619969.331444</v>
      </c>
      <c r="Q15" s="104">
        <f>(STDEV(POWER(10,K15),POWER(10,L15),POWER(10,M15))*Calculation!$I15/Calculation!$K14)</f>
        <v>37365372.706556074</v>
      </c>
      <c r="R15" s="103">
        <f t="shared" si="3"/>
        <v>9.3198594259847916</v>
      </c>
      <c r="S15" s="103">
        <f>O15*Calculation!$I15/Calculation!$K14</f>
        <v>8.0686995097832542E-3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17.162008285522461</v>
      </c>
      <c r="F16" s="97">
        <v>16.923307418823242</v>
      </c>
      <c r="G16" s="102">
        <v>16.937948226928711</v>
      </c>
      <c r="H16" s="108">
        <f>E16-$H$67+$H$79</f>
        <v>17.364154861284334</v>
      </c>
      <c r="I16" s="108">
        <f>F16-$H$67+$H$79</f>
        <v>17.125453994585115</v>
      </c>
      <c r="J16" s="108">
        <f>G16-$H$67+$H$79</f>
        <v>17.140094802690584</v>
      </c>
      <c r="K16" s="102">
        <f>((H16-'Calibration F. prausnitzii'!$D$45)/'Calibration F. prausnitzii'!$D$44)+$B$27</f>
        <v>9.3974002854453467</v>
      </c>
      <c r="L16" s="102">
        <f>((I16-'Calibration F. prausnitzii'!$D$45)/'Calibration F. prausnitzii'!$D$44)+$B$27</f>
        <v>9.4708851442019935</v>
      </c>
      <c r="M16" s="102">
        <f>((J16-'Calibration F. prausnitzii'!$D$45)/'Calibration F. prausnitzii'!$D$44)+$B$27</f>
        <v>9.4663779225459059</v>
      </c>
      <c r="N16" s="103">
        <f t="shared" si="1"/>
        <v>9.4448877840644148</v>
      </c>
      <c r="O16" s="103">
        <f t="shared" si="2"/>
        <v>4.1187081173425164E-2</v>
      </c>
      <c r="P16" s="104">
        <f>(AVERAGE(POWER(10,K16),POWER(10,L16),POWER(10,M16)))*Calculation!$I16/Calculation!$K15</f>
        <v>2918576846.0757351</v>
      </c>
      <c r="Q16" s="104">
        <f>(STDEV(POWER(10,K16),POWER(10,L16),POWER(10,M16))*Calculation!$I16/Calculation!$K15)</f>
        <v>268929006.47751206</v>
      </c>
      <c r="R16" s="103">
        <f t="shared" si="3"/>
        <v>9.4651711327626007</v>
      </c>
      <c r="S16" s="103">
        <f>O16*Calculation!$I16/Calculation!$K15</f>
        <v>4.3029541083437359E-2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17.000226974487305</v>
      </c>
      <c r="F17" s="97">
        <v>16.98414421081543</v>
      </c>
      <c r="G17" s="102">
        <v>16.972143173217773</v>
      </c>
      <c r="H17" s="108">
        <f>E17-$H$67+$H$79</f>
        <v>17.202373550249177</v>
      </c>
      <c r="I17" s="108">
        <f>F17-$H$67+$H$79</f>
        <v>17.186290786577302</v>
      </c>
      <c r="J17" s="108">
        <f>G17-$H$67+$H$79</f>
        <v>17.174289748979646</v>
      </c>
      <c r="K17" s="102">
        <f>((H17-'Calibration F. prausnitzii'!$D$45)/'Calibration F. prausnitzii'!$D$44)+$B$27</f>
        <v>9.4472052021818413</v>
      </c>
      <c r="L17" s="102">
        <f>((I17-'Calibration F. prausnitzii'!$D$45)/'Calibration F. prausnitzii'!$D$44)+$B$27</f>
        <v>9.4521563346732602</v>
      </c>
      <c r="M17" s="102">
        <f>((J17-'Calibration F. prausnitzii'!$D$45)/'Calibration F. prausnitzii'!$D$44)+$B$27</f>
        <v>9.4558508941651951</v>
      </c>
      <c r="N17" s="103">
        <f t="shared" si="1"/>
        <v>9.4517374770067661</v>
      </c>
      <c r="O17" s="103">
        <f t="shared" si="2"/>
        <v>4.3380385863132677E-3</v>
      </c>
      <c r="P17" s="104">
        <f>(AVERAGE(POWER(10,K17),POWER(10,L17),POWER(10,M17)))*Calculation!$I17/Calculation!$K16</f>
        <v>2973342248.9051099</v>
      </c>
      <c r="Q17" s="104">
        <f>(STDEV(POWER(10,K17),POWER(10,L17),POWER(10,M17))*Calculation!$I17/Calculation!$K16)</f>
        <v>29678172.685490157</v>
      </c>
      <c r="R17" s="103">
        <f t="shared" si="3"/>
        <v>9.4732449018911531</v>
      </c>
      <c r="S17" s="103">
        <f>O17*Calculation!$I17/Calculation!$K16</f>
        <v>4.5581267621397246E-3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17.474531173706055</v>
      </c>
      <c r="F18" s="97">
        <v>17.51643180847168</v>
      </c>
      <c r="G18" s="102">
        <v>17.68260383605957</v>
      </c>
      <c r="H18" s="108">
        <f>E18-$H$67+$H$79</f>
        <v>17.676677749467927</v>
      </c>
      <c r="I18" s="108">
        <f>F18-$H$67+$H$79</f>
        <v>17.718578384233552</v>
      </c>
      <c r="J18" s="108">
        <f>G18-$H$67+$H$79</f>
        <v>17.884750411821443</v>
      </c>
      <c r="K18" s="102">
        <f>((H18-'Calibration F. prausnitzii'!$D$45)/'Calibration F. prausnitzii'!$D$44)+$B$27</f>
        <v>9.3011890709074052</v>
      </c>
      <c r="L18" s="102">
        <f>((I18-'Calibration F. prausnitzii'!$D$45)/'Calibration F. prausnitzii'!$D$44)+$B$27</f>
        <v>9.2882898206024382</v>
      </c>
      <c r="M18" s="102">
        <f>((J18-'Calibration F. prausnitzii'!$D$45)/'Calibration F. prausnitzii'!$D$44)+$B$27</f>
        <v>9.2371332071160328</v>
      </c>
      <c r="N18" s="103">
        <f t="shared" si="1"/>
        <v>9.2755373662086242</v>
      </c>
      <c r="O18" s="103">
        <f t="shared" si="2"/>
        <v>3.3878566104757452E-2</v>
      </c>
      <c r="P18" s="104">
        <f>(AVERAGE(POWER(10,K18),POWER(10,L18),POWER(10,M18)))*Calculation!$I18/Calculation!$K17</f>
        <v>2002555544.1338158</v>
      </c>
      <c r="Q18" s="104">
        <f>(STDEV(POWER(10,K18),POWER(10,L18),POWER(10,M18))*Calculation!$I18/Calculation!$K17)</f>
        <v>153124151.41258201</v>
      </c>
      <c r="R18" s="103">
        <f t="shared" si="3"/>
        <v>9.3015845707868756</v>
      </c>
      <c r="S18" s="103">
        <f>O18*Calculation!$I18/Calculation!$K17</f>
        <v>3.5900691997646318E-2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17.541961669921875</v>
      </c>
      <c r="F19" s="97">
        <v>17.506626129150391</v>
      </c>
      <c r="G19" s="102">
        <v>17.544242858886719</v>
      </c>
      <c r="H19" s="108">
        <f>E19-$H$67+$H$79</f>
        <v>17.744108245683748</v>
      </c>
      <c r="I19" s="108">
        <f>F19-$H$67+$H$79</f>
        <v>17.708772704912263</v>
      </c>
      <c r="J19" s="108">
        <f>G19-$H$67+$H$79</f>
        <v>17.746389434648592</v>
      </c>
      <c r="K19" s="102">
        <f>((H19-'Calibration F. prausnitzii'!$D$45)/'Calibration F. prausnitzii'!$D$44)+$B$27</f>
        <v>9.2804303675192266</v>
      </c>
      <c r="L19" s="102">
        <f>((I19-'Calibration F. prausnitzii'!$D$45)/'Calibration F. prausnitzii'!$D$44)+$B$27</f>
        <v>9.2913085317194195</v>
      </c>
      <c r="M19" s="102">
        <f>((J19-'Calibration F. prausnitzii'!$D$45)/'Calibration F. prausnitzii'!$D$44)+$B$27</f>
        <v>9.2797280958802641</v>
      </c>
      <c r="N19" s="103">
        <f t="shared" si="1"/>
        <v>9.283822331706304</v>
      </c>
      <c r="O19" s="103">
        <f t="shared" si="2"/>
        <v>6.4927412809234397E-3</v>
      </c>
      <c r="P19" s="104">
        <f>(AVERAGE(POWER(10,K19),POWER(10,L19),POWER(10,M19)))*Calculation!$I19/Calculation!$K18</f>
        <v>2045167941.6381931</v>
      </c>
      <c r="Q19" s="104">
        <f>(STDEV(POWER(10,K19),POWER(10,L19),POWER(10,M19))*Calculation!$I19/Calculation!$K18)</f>
        <v>30704520.089951567</v>
      </c>
      <c r="R19" s="103">
        <f t="shared" si="3"/>
        <v>9.3107289764666099</v>
      </c>
      <c r="S19" s="103">
        <f>O19*Calculation!$I19/Calculation!$K18</f>
        <v>6.907204201905463E-3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18.10374641418457</v>
      </c>
      <c r="F20" s="97">
        <v>18.206201553344727</v>
      </c>
      <c r="G20" s="102">
        <v>18.232250213623047</v>
      </c>
      <c r="H20" s="108">
        <f>E20-$H$67+$H$79</f>
        <v>18.305892989946443</v>
      </c>
      <c r="I20" s="108">
        <f>F20-$H$67+$H$79</f>
        <v>18.408348129106599</v>
      </c>
      <c r="J20" s="108">
        <f>G20-$H$67+$H$79</f>
        <v>18.43439678938492</v>
      </c>
      <c r="K20" s="102">
        <f>((H20-'Calibration F. prausnitzii'!$D$45)/'Calibration F. prausnitzii'!$D$44)+$B$27</f>
        <v>9.1074830583843891</v>
      </c>
      <c r="L20" s="102">
        <f>((I20-'Calibration F. prausnitzii'!$D$45)/'Calibration F. prausnitzii'!$D$44)+$B$27</f>
        <v>9.07594190173009</v>
      </c>
      <c r="M20" s="102">
        <f>((J20-'Calibration F. prausnitzii'!$D$45)/'Calibration F. prausnitzii'!$D$44)+$B$27</f>
        <v>9.0679227346955429</v>
      </c>
      <c r="N20" s="103">
        <f t="shared" si="1"/>
        <v>9.0837825649366746</v>
      </c>
      <c r="O20" s="103">
        <f t="shared" si="2"/>
        <v>2.0913196843880228E-2</v>
      </c>
      <c r="P20" s="104">
        <f>(AVERAGE(POWER(10,K20),POWER(10,L20),POWER(10,M20)))*Calculation!$I20/Calculation!$K19</f>
        <v>1291204373.0933528</v>
      </c>
      <c r="Q20" s="104">
        <f>(STDEV(POWER(10,K20),POWER(10,L20),POWER(10,M20))*Calculation!$I20/Calculation!$K19)</f>
        <v>62877808.917180017</v>
      </c>
      <c r="R20" s="103">
        <f t="shared" si="3"/>
        <v>9.1109949882632932</v>
      </c>
      <c r="S20" s="103">
        <f>O20*Calculation!$I20/Calculation!$K19</f>
        <v>2.2248186839008116E-2</v>
      </c>
    </row>
    <row r="21" spans="1:19">
      <c r="A21" s="10"/>
      <c r="B21" s="10"/>
      <c r="C21" s="10"/>
      <c r="D21" s="106"/>
      <c r="E21" s="113"/>
      <c r="F21" s="113"/>
      <c r="G21" s="114"/>
      <c r="H21" s="110"/>
      <c r="I21" s="110"/>
      <c r="J21" s="110"/>
      <c r="K21" s="114"/>
      <c r="L21" s="114"/>
      <c r="M21" s="114"/>
      <c r="N21" s="115"/>
      <c r="O21" s="115"/>
      <c r="P21" s="116"/>
      <c r="Q21" s="116"/>
      <c r="R21" s="115"/>
      <c r="S21" s="115"/>
    </row>
    <row r="22" spans="1:19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 spans="1:19"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spans="1:19"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19"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1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>
      <c r="A27" s="100" t="s">
        <v>236</v>
      </c>
      <c r="B27" s="107">
        <f>LOG(B28)</f>
        <v>3.6532125137753435</v>
      </c>
      <c r="C27" s="107">
        <f>LOG(C28)</f>
        <v>3.9319661147281728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19">
      <c r="A28" s="83" t="s">
        <v>237</v>
      </c>
      <c r="B28" s="83">
        <f>20*1800/4/2</f>
        <v>4500</v>
      </c>
      <c r="C28" s="83">
        <f>2*19*1800/4/2</f>
        <v>8550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1:19">
      <c r="A30" s="96" t="s">
        <v>268</v>
      </c>
      <c r="B30" s="83"/>
      <c r="C30" s="83"/>
      <c r="D30" s="83"/>
      <c r="E30" s="109">
        <v>14.390941619873047</v>
      </c>
      <c r="F30" s="108">
        <v>14.411395072937012</v>
      </c>
      <c r="G30" s="108">
        <v>14.301624298095703</v>
      </c>
      <c r="H30" s="108">
        <f>AVERAGE(E30:G30)</f>
        <v>14.367986996968588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1:19">
      <c r="A31" s="117" t="s">
        <v>269</v>
      </c>
      <c r="C31" s="83"/>
      <c r="D31" s="83"/>
      <c r="E31" s="109">
        <v>13.95859432220459</v>
      </c>
      <c r="F31" s="108">
        <v>13.837825775146484</v>
      </c>
      <c r="G31" s="108">
        <v>14.070391654968262</v>
      </c>
      <c r="H31" s="108">
        <f t="shared" ref="H31:H75" si="5">AVERAGE(E31:G31)</f>
        <v>13.955603917439779</v>
      </c>
    </row>
    <row r="32" spans="1:19">
      <c r="A32" s="117" t="s">
        <v>270</v>
      </c>
      <c r="E32" s="109">
        <v>14.085451126098633</v>
      </c>
      <c r="F32" s="108">
        <v>14.111333847045898</v>
      </c>
      <c r="G32" s="108">
        <v>14.077548980712891</v>
      </c>
      <c r="H32" s="108">
        <f t="shared" si="5"/>
        <v>14.091444651285807</v>
      </c>
    </row>
    <row r="33" spans="1:8">
      <c r="A33" s="117" t="s">
        <v>271</v>
      </c>
      <c r="E33" s="109">
        <v>13.838394165039062</v>
      </c>
      <c r="F33" s="108">
        <v>14.03663444519043</v>
      </c>
      <c r="G33" s="108">
        <v>13.97320556640625</v>
      </c>
      <c r="H33" s="108">
        <f t="shared" si="5"/>
        <v>13.949411392211914</v>
      </c>
    </row>
    <row r="34" spans="1:8">
      <c r="A34" s="117" t="s">
        <v>272</v>
      </c>
      <c r="E34" s="109">
        <v>11.618982315063477</v>
      </c>
      <c r="F34" s="108">
        <v>11.485271453857422</v>
      </c>
      <c r="G34" s="108">
        <v>11.470490455627441</v>
      </c>
      <c r="H34" s="108">
        <f t="shared" si="5"/>
        <v>11.524914741516113</v>
      </c>
    </row>
    <row r="35" spans="1:8">
      <c r="A35" s="117" t="s">
        <v>273</v>
      </c>
      <c r="E35" s="109">
        <v>14.489413261413574</v>
      </c>
      <c r="F35" s="108">
        <v>14.78773021697998</v>
      </c>
      <c r="G35" s="108">
        <v>14.708776473999023</v>
      </c>
      <c r="H35" s="108">
        <f t="shared" si="5"/>
        <v>14.661973317464193</v>
      </c>
    </row>
    <row r="36" spans="1:8">
      <c r="A36" s="117" t="s">
        <v>274</v>
      </c>
      <c r="E36" s="109">
        <v>14.322483062744141</v>
      </c>
      <c r="F36" s="108">
        <v>14.812288284301758</v>
      </c>
      <c r="G36" s="108">
        <v>14.651363372802734</v>
      </c>
      <c r="H36" s="108">
        <f t="shared" si="5"/>
        <v>14.595378239949545</v>
      </c>
    </row>
    <row r="37" spans="1:8">
      <c r="A37" s="117" t="s">
        <v>275</v>
      </c>
      <c r="E37" s="109">
        <v>13.079689025878906</v>
      </c>
      <c r="F37" s="108">
        <v>13.297797203063965</v>
      </c>
      <c r="G37" s="108">
        <v>14.48363208770752</v>
      </c>
      <c r="H37" s="108">
        <f t="shared" si="5"/>
        <v>13.620372772216797</v>
      </c>
    </row>
    <row r="38" spans="1:8">
      <c r="A38" s="117" t="s">
        <v>276</v>
      </c>
      <c r="B38" s="83"/>
      <c r="C38" s="83"/>
      <c r="D38" s="83"/>
      <c r="E38" s="109">
        <v>14.77447509765625</v>
      </c>
      <c r="F38" s="108">
        <v>15.046281814575195</v>
      </c>
      <c r="G38" s="108">
        <v>14.986320495605469</v>
      </c>
      <c r="H38" s="108">
        <f t="shared" si="5"/>
        <v>14.935692469278971</v>
      </c>
    </row>
    <row r="39" spans="1:8">
      <c r="A39" s="117" t="s">
        <v>276</v>
      </c>
      <c r="C39" s="83"/>
      <c r="D39" s="83"/>
      <c r="E39" s="109">
        <v>13.851560592651367</v>
      </c>
      <c r="F39" s="108">
        <v>14.262241363525391</v>
      </c>
      <c r="G39" s="108">
        <v>14.016228675842285</v>
      </c>
      <c r="H39" s="108">
        <f t="shared" si="5"/>
        <v>14.043343544006348</v>
      </c>
    </row>
    <row r="40" spans="1:8">
      <c r="A40" s="117" t="s">
        <v>277</v>
      </c>
      <c r="E40" s="109">
        <v>14.028319358825684</v>
      </c>
      <c r="F40" s="108">
        <v>14.285782814025879</v>
      </c>
      <c r="G40" s="108">
        <v>14.480982780456543</v>
      </c>
      <c r="H40" s="108">
        <f t="shared" si="5"/>
        <v>14.265028317769369</v>
      </c>
    </row>
    <row r="41" spans="1:8">
      <c r="A41" s="117" t="s">
        <v>277</v>
      </c>
      <c r="E41" s="109">
        <v>14.83289909362793</v>
      </c>
      <c r="F41" s="108">
        <v>14.839167594909668</v>
      </c>
      <c r="G41" s="108">
        <v>14.813106536865234</v>
      </c>
      <c r="H41" s="108">
        <f t="shared" si="5"/>
        <v>14.828391075134277</v>
      </c>
    </row>
    <row r="42" spans="1:8">
      <c r="A42" s="117" t="s">
        <v>278</v>
      </c>
      <c r="E42" s="109">
        <v>15.412906646728516</v>
      </c>
      <c r="F42" s="108">
        <v>15.433472633361816</v>
      </c>
      <c r="G42" s="108">
        <v>15.37113094329834</v>
      </c>
      <c r="H42" s="108">
        <f t="shared" si="5"/>
        <v>15.405836741129557</v>
      </c>
    </row>
    <row r="43" spans="1:8">
      <c r="A43" s="117" t="s">
        <v>278</v>
      </c>
      <c r="E43" s="109">
        <v>15.125240325927734</v>
      </c>
      <c r="F43" s="108">
        <v>15.287156105041504</v>
      </c>
      <c r="G43" s="108">
        <v>15.169957160949707</v>
      </c>
      <c r="H43" s="108">
        <f t="shared" si="5"/>
        <v>15.194117863972982</v>
      </c>
    </row>
    <row r="44" spans="1:8">
      <c r="A44" s="117" t="s">
        <v>279</v>
      </c>
      <c r="E44" s="109">
        <v>14.932897567749023</v>
      </c>
      <c r="F44" s="108">
        <v>14.934226036071777</v>
      </c>
      <c r="G44" s="108">
        <v>14.918047904968262</v>
      </c>
      <c r="H44" s="108">
        <f t="shared" si="5"/>
        <v>14.928390502929688</v>
      </c>
    </row>
    <row r="45" spans="1:8">
      <c r="A45" s="117" t="s">
        <v>279</v>
      </c>
      <c r="E45" s="109">
        <v>14.112751960754395</v>
      </c>
      <c r="F45" s="108">
        <v>14.298762321472168</v>
      </c>
      <c r="G45" s="108">
        <v>14.374398231506348</v>
      </c>
      <c r="H45" s="108">
        <f t="shared" si="5"/>
        <v>14.261970837910971</v>
      </c>
    </row>
    <row r="46" spans="1:8">
      <c r="A46" s="117" t="s">
        <v>280</v>
      </c>
      <c r="E46" s="109">
        <v>14.954710960388184</v>
      </c>
      <c r="F46" s="108">
        <v>14.841438293457031</v>
      </c>
      <c r="G46" s="108">
        <v>15.281417846679688</v>
      </c>
      <c r="H46" s="108">
        <f t="shared" si="5"/>
        <v>15.025855700174967</v>
      </c>
    </row>
    <row r="47" spans="1:8">
      <c r="A47" s="117" t="s">
        <v>281</v>
      </c>
      <c r="E47" s="109">
        <v>14.948505401611328</v>
      </c>
      <c r="F47" s="108">
        <v>15.147294044494629</v>
      </c>
      <c r="G47" s="108">
        <v>14.959335327148438</v>
      </c>
      <c r="H47" s="108">
        <f t="shared" si="5"/>
        <v>15.018378257751465</v>
      </c>
    </row>
    <row r="48" spans="1:8">
      <c r="A48" s="96" t="s">
        <v>282</v>
      </c>
      <c r="B48" s="83"/>
      <c r="C48" s="83"/>
      <c r="D48" s="83"/>
      <c r="E48" s="109">
        <v>15.064580917358398</v>
      </c>
      <c r="F48" s="108">
        <v>15.123675346374512</v>
      </c>
      <c r="G48" s="108">
        <v>15.059396743774414</v>
      </c>
      <c r="H48" s="108">
        <f t="shared" si="5"/>
        <v>15.082551002502441</v>
      </c>
    </row>
    <row r="49" spans="1:8">
      <c r="A49" s="96" t="s">
        <v>283</v>
      </c>
      <c r="B49" s="83"/>
      <c r="C49" s="83"/>
      <c r="D49" s="83"/>
      <c r="E49" s="109">
        <v>14.438828468322754</v>
      </c>
      <c r="F49" s="108">
        <v>14.371813774108887</v>
      </c>
      <c r="G49" s="108">
        <v>15.339963912963867</v>
      </c>
      <c r="H49" s="108">
        <f t="shared" si="5"/>
        <v>14.71686871846517</v>
      </c>
    </row>
    <row r="50" spans="1:8">
      <c r="A50" s="96" t="s">
        <v>284</v>
      </c>
      <c r="B50" s="83"/>
      <c r="C50" s="83"/>
      <c r="D50" s="83"/>
      <c r="E50" s="109">
        <v>14.56031322479248</v>
      </c>
      <c r="F50" s="108">
        <v>14.785432815551758</v>
      </c>
      <c r="G50" s="108">
        <v>14.991518974304199</v>
      </c>
      <c r="H50" s="108">
        <f t="shared" si="5"/>
        <v>14.779088338216146</v>
      </c>
    </row>
    <row r="51" spans="1:8">
      <c r="A51" s="96" t="s">
        <v>301</v>
      </c>
      <c r="B51" s="83"/>
      <c r="C51" s="83"/>
      <c r="D51" s="83"/>
      <c r="E51" s="109">
        <v>15.04175853729248</v>
      </c>
      <c r="F51" s="108">
        <v>15.037652969360352</v>
      </c>
      <c r="G51" s="108">
        <v>14.94129753112793</v>
      </c>
      <c r="H51" s="108">
        <f t="shared" si="5"/>
        <v>15.006903012593588</v>
      </c>
    </row>
    <row r="52" spans="1:8">
      <c r="A52" s="96" t="s">
        <v>306</v>
      </c>
      <c r="B52" s="83"/>
      <c r="C52" s="83"/>
      <c r="D52" s="83"/>
      <c r="E52" s="109">
        <v>15.191975593566895</v>
      </c>
      <c r="F52" s="108">
        <v>15.268773078918457</v>
      </c>
      <c r="G52" s="108">
        <v>15.282587051391602</v>
      </c>
      <c r="H52" s="108">
        <f t="shared" si="5"/>
        <v>15.24777857462565</v>
      </c>
    </row>
    <row r="53" spans="1:8">
      <c r="A53" s="96" t="s">
        <v>314</v>
      </c>
      <c r="B53" s="83"/>
      <c r="C53" s="83"/>
      <c r="D53" s="83"/>
      <c r="E53" s="109">
        <v>15.494284629821777</v>
      </c>
      <c r="F53" s="108">
        <v>15.500131607055664</v>
      </c>
      <c r="G53" s="108">
        <v>15.308513641357422</v>
      </c>
      <c r="H53" s="108">
        <f t="shared" si="5"/>
        <v>15.434309959411621</v>
      </c>
    </row>
    <row r="54" spans="1:8">
      <c r="A54" s="96" t="s">
        <v>315</v>
      </c>
      <c r="B54" s="83"/>
      <c r="C54" s="83"/>
      <c r="D54" s="83"/>
      <c r="E54" s="109">
        <v>15.209195137023926</v>
      </c>
      <c r="F54" s="108">
        <v>15.267397880554199</v>
      </c>
      <c r="G54" s="108">
        <v>15.118107795715332</v>
      </c>
      <c r="H54" s="108">
        <f t="shared" si="5"/>
        <v>15.198233604431152</v>
      </c>
    </row>
    <row r="55" spans="1:8">
      <c r="A55" s="96" t="s">
        <v>316</v>
      </c>
      <c r="B55" s="83"/>
      <c r="C55" s="83"/>
      <c r="D55" s="83"/>
      <c r="E55" s="109">
        <v>15.095216751098633</v>
      </c>
      <c r="F55" s="108">
        <v>15.058335304260254</v>
      </c>
      <c r="G55" s="108">
        <v>15.188286781311035</v>
      </c>
      <c r="H55" s="108">
        <f t="shared" si="5"/>
        <v>15.113946278889975</v>
      </c>
    </row>
    <row r="56" spans="1:8">
      <c r="A56" s="96" t="s">
        <v>317</v>
      </c>
      <c r="B56" s="83"/>
      <c r="C56" s="83"/>
      <c r="D56" s="83"/>
      <c r="E56" s="109">
        <v>14.974048614501953</v>
      </c>
      <c r="F56" s="108">
        <v>15.016510009765625</v>
      </c>
      <c r="G56" s="108">
        <v>14.949863433837891</v>
      </c>
      <c r="H56" s="108">
        <f t="shared" si="5"/>
        <v>14.980140686035156</v>
      </c>
    </row>
    <row r="57" spans="1:8">
      <c r="A57" s="96" t="s">
        <v>318</v>
      </c>
      <c r="E57" s="109">
        <v>15.325250625610352</v>
      </c>
      <c r="F57" s="108">
        <v>15.371528625488281</v>
      </c>
      <c r="G57" s="108">
        <v>15.399141311645508</v>
      </c>
      <c r="H57" s="108">
        <f t="shared" si="5"/>
        <v>15.365306854248047</v>
      </c>
    </row>
    <row r="58" spans="1:8">
      <c r="A58" s="96" t="s">
        <v>318</v>
      </c>
      <c r="E58" s="109">
        <v>15.129462242126465</v>
      </c>
      <c r="F58" s="108">
        <v>15.041775703430176</v>
      </c>
      <c r="G58" s="108">
        <v>15.221658706665039</v>
      </c>
      <c r="H58" s="108">
        <f t="shared" si="5"/>
        <v>15.13096555074056</v>
      </c>
    </row>
    <row r="59" spans="1:8">
      <c r="A59" s="96" t="s">
        <v>319</v>
      </c>
      <c r="E59" s="109">
        <v>15.064123153686523</v>
      </c>
      <c r="F59" s="108">
        <v>15.073297500610352</v>
      </c>
      <c r="G59" s="108">
        <v>15.109650611877441</v>
      </c>
      <c r="H59" s="108">
        <f t="shared" si="5"/>
        <v>15.082357088724772</v>
      </c>
    </row>
    <row r="60" spans="1:8">
      <c r="A60" s="96" t="s">
        <v>320</v>
      </c>
      <c r="E60" s="109">
        <v>15.271329879760742</v>
      </c>
      <c r="F60" s="108">
        <v>15.260854721069336</v>
      </c>
      <c r="G60" s="108">
        <v>15.188329696655273</v>
      </c>
      <c r="H60" s="108">
        <f t="shared" si="5"/>
        <v>15.240171432495117</v>
      </c>
    </row>
    <row r="61" spans="1:8">
      <c r="A61" s="96" t="s">
        <v>321</v>
      </c>
      <c r="E61" s="109">
        <v>14.958261489868164</v>
      </c>
      <c r="F61" s="108">
        <v>14.991987228393555</v>
      </c>
      <c r="G61" s="108">
        <v>15.025043487548828</v>
      </c>
      <c r="H61" s="108">
        <f t="shared" si="5"/>
        <v>14.991764068603516</v>
      </c>
    </row>
    <row r="62" spans="1:8">
      <c r="A62" s="96" t="s">
        <v>338</v>
      </c>
      <c r="E62" s="109">
        <v>15.201624870300293</v>
      </c>
      <c r="F62" s="108">
        <v>15.184474945068359</v>
      </c>
      <c r="G62" s="108">
        <v>15.128211975097656</v>
      </c>
      <c r="H62" s="108">
        <f t="shared" si="5"/>
        <v>15.17143726348877</v>
      </c>
    </row>
    <row r="63" spans="1:8">
      <c r="A63" s="96" t="s">
        <v>338</v>
      </c>
      <c r="E63" s="109">
        <v>15.056846618652344</v>
      </c>
      <c r="F63" s="108">
        <v>15.079096794128418</v>
      </c>
      <c r="G63" s="108">
        <v>14.947562217712402</v>
      </c>
      <c r="H63" s="108">
        <f t="shared" si="5"/>
        <v>15.027835210164389</v>
      </c>
    </row>
    <row r="64" spans="1:8">
      <c r="A64" s="96" t="s">
        <v>339</v>
      </c>
      <c r="E64" s="109">
        <v>15.4</v>
      </c>
      <c r="F64" s="108">
        <v>14.7</v>
      </c>
      <c r="G64" s="108">
        <v>14.2</v>
      </c>
      <c r="H64" s="108">
        <f t="shared" si="5"/>
        <v>14.766666666666666</v>
      </c>
    </row>
    <row r="65" spans="1:8">
      <c r="A65" s="96" t="s">
        <v>339</v>
      </c>
      <c r="E65" s="123">
        <v>14.4</v>
      </c>
      <c r="F65" s="124">
        <v>14.4</v>
      </c>
      <c r="G65" s="124">
        <v>14.5</v>
      </c>
      <c r="H65" s="108">
        <f t="shared" si="5"/>
        <v>14.433333333333332</v>
      </c>
    </row>
    <row r="66" spans="1:8">
      <c r="A66" s="96" t="s">
        <v>340</v>
      </c>
      <c r="E66" s="123">
        <v>15.11392879486084</v>
      </c>
      <c r="F66" s="124">
        <v>15.182292938232422</v>
      </c>
      <c r="G66" s="124">
        <v>15.373931884765625</v>
      </c>
      <c r="H66" s="108">
        <f t="shared" si="5"/>
        <v>15.223384539286295</v>
      </c>
    </row>
    <row r="67" spans="1:8">
      <c r="A67" s="96" t="s">
        <v>341</v>
      </c>
      <c r="B67" s="83"/>
      <c r="C67" s="83"/>
      <c r="D67" s="83"/>
      <c r="E67" s="123">
        <v>14.613919258117676</v>
      </c>
      <c r="F67" s="124">
        <v>14.544337272644043</v>
      </c>
      <c r="G67" s="124">
        <v>14.610519409179688</v>
      </c>
      <c r="H67" s="108">
        <f t="shared" si="5"/>
        <v>14.589591979980469</v>
      </c>
    </row>
    <row r="68" spans="1:8">
      <c r="A68" s="96" t="s">
        <v>346</v>
      </c>
      <c r="B68" s="83"/>
      <c r="C68" s="83"/>
      <c r="D68" s="83"/>
      <c r="E68" s="123">
        <v>14.970376014709473</v>
      </c>
      <c r="F68" s="124">
        <v>14.902167320251465</v>
      </c>
      <c r="G68" s="124">
        <v>14.964475631713867</v>
      </c>
      <c r="H68" s="108">
        <f t="shared" si="5"/>
        <v>14.945672988891602</v>
      </c>
    </row>
    <row r="69" spans="1:8" s="83" customFormat="1">
      <c r="A69" s="96" t="s">
        <v>347</v>
      </c>
      <c r="E69" s="123">
        <v>15.184457778930664</v>
      </c>
      <c r="F69" s="124">
        <v>15.273150444030762</v>
      </c>
      <c r="G69" s="124">
        <v>15.250771522521973</v>
      </c>
      <c r="H69" s="108">
        <f t="shared" si="5"/>
        <v>15.236126581827799</v>
      </c>
    </row>
    <row r="70" spans="1:8" s="83" customFormat="1">
      <c r="A70" s="96" t="s">
        <v>348</v>
      </c>
      <c r="E70" s="123">
        <v>15.047176361083984</v>
      </c>
      <c r="F70" s="124">
        <v>15.114773750305176</v>
      </c>
      <c r="G70" s="124">
        <v>15.180623054504395</v>
      </c>
      <c r="H70" s="108">
        <f t="shared" si="5"/>
        <v>15.114191055297852</v>
      </c>
    </row>
    <row r="71" spans="1:8" s="83" customFormat="1">
      <c r="A71" s="96" t="s">
        <v>356</v>
      </c>
      <c r="C71"/>
      <c r="D71"/>
      <c r="E71" s="123">
        <v>14.840383529663086</v>
      </c>
      <c r="F71" s="124">
        <v>14.916571617126465</v>
      </c>
      <c r="G71" s="124">
        <v>14.954231262207031</v>
      </c>
      <c r="H71" s="108">
        <f t="shared" si="5"/>
        <v>14.903728802998861</v>
      </c>
    </row>
    <row r="72" spans="1:8">
      <c r="A72" s="96" t="s">
        <v>357</v>
      </c>
      <c r="E72" s="123">
        <v>15.199845314025879</v>
      </c>
      <c r="F72" s="124">
        <v>15.533450126647949</v>
      </c>
      <c r="G72" s="124">
        <v>15.423110961914062</v>
      </c>
      <c r="H72" s="108">
        <f t="shared" si="5"/>
        <v>15.385468800862631</v>
      </c>
    </row>
    <row r="73" spans="1:8">
      <c r="A73" s="96" t="s">
        <v>358</v>
      </c>
      <c r="B73" s="83"/>
      <c r="E73" s="123">
        <v>15.120054244995117</v>
      </c>
      <c r="F73" s="124">
        <v>15.144433975219727</v>
      </c>
      <c r="G73" s="124">
        <v>15.071084976196289</v>
      </c>
      <c r="H73" s="108">
        <f t="shared" si="5"/>
        <v>15.111857732137045</v>
      </c>
    </row>
    <row r="74" spans="1:8">
      <c r="A74" s="96" t="s">
        <v>358</v>
      </c>
      <c r="E74" s="123">
        <v>15.292695999145508</v>
      </c>
      <c r="F74" s="124">
        <v>15.627285957336426</v>
      </c>
      <c r="G74" s="124">
        <v>15.304715156555176</v>
      </c>
      <c r="H74" s="108">
        <f t="shared" si="5"/>
        <v>15.408232371012369</v>
      </c>
    </row>
    <row r="75" spans="1:8">
      <c r="A75" s="96" t="s">
        <v>359</v>
      </c>
      <c r="E75" s="123">
        <v>15.044212341308594</v>
      </c>
      <c r="F75" s="124">
        <v>15.046442985534668</v>
      </c>
      <c r="G75" s="124">
        <v>15.083253860473633</v>
      </c>
      <c r="H75" s="108">
        <f t="shared" si="5"/>
        <v>15.057969729105631</v>
      </c>
    </row>
    <row r="76" spans="1:8">
      <c r="A76" s="96"/>
      <c r="B76" s="96"/>
      <c r="C76" s="83"/>
      <c r="D76" s="83"/>
      <c r="E76" s="110"/>
      <c r="F76" s="110"/>
      <c r="G76" s="110"/>
      <c r="H76" s="110"/>
    </row>
    <row r="77" spans="1:8">
      <c r="A77" s="96"/>
      <c r="B77" s="83"/>
      <c r="C77" s="83"/>
      <c r="D77" s="83"/>
      <c r="E77" s="110"/>
      <c r="F77" s="110"/>
      <c r="G77" s="110"/>
      <c r="H77" s="110"/>
    </row>
    <row r="78" spans="1:8">
      <c r="A78" s="96"/>
      <c r="B78" s="83"/>
      <c r="C78" s="83"/>
      <c r="D78" s="83"/>
      <c r="E78" s="110"/>
      <c r="F78" s="110"/>
      <c r="G78" s="110"/>
      <c r="H78" s="110"/>
    </row>
    <row r="79" spans="1:8">
      <c r="G79" t="s">
        <v>285</v>
      </c>
      <c r="H79" s="78">
        <f>AVERAGE(H30:H75)</f>
        <v>14.791738555742343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7" workbookViewId="0">
      <selection activeCell="M41" sqref="M41"/>
    </sheetView>
  </sheetViews>
  <sheetFormatPr baseColWidth="10" defaultRowHeight="14" x14ac:dyDescent="0"/>
  <cols>
    <col min="7" max="7" width="11" bestFit="1" customWidth="1"/>
  </cols>
  <sheetData>
    <row r="1" spans="1:22">
      <c r="A1" s="83"/>
      <c r="B1" s="141" t="s">
        <v>4</v>
      </c>
      <c r="C1" s="143" t="s">
        <v>185</v>
      </c>
      <c r="D1" s="144" t="s">
        <v>18</v>
      </c>
      <c r="E1" s="144"/>
      <c r="F1" s="144"/>
      <c r="G1" s="144"/>
      <c r="H1" s="144" t="s">
        <v>20</v>
      </c>
      <c r="I1" s="144"/>
      <c r="J1" s="144"/>
      <c r="K1" s="144"/>
      <c r="L1" s="144" t="s">
        <v>21</v>
      </c>
      <c r="M1" s="144"/>
      <c r="N1" s="144"/>
      <c r="O1" s="144"/>
      <c r="P1" s="82" t="s">
        <v>22</v>
      </c>
      <c r="Q1" s="82" t="s">
        <v>22</v>
      </c>
      <c r="R1" s="82" t="s">
        <v>22</v>
      </c>
      <c r="S1" s="148" t="s">
        <v>258</v>
      </c>
      <c r="T1" s="83"/>
      <c r="U1" s="83"/>
      <c r="V1" s="83"/>
    </row>
    <row r="2" spans="1:22">
      <c r="A2" s="83"/>
      <c r="B2" s="142"/>
      <c r="C2" s="142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  <c r="S2" s="149"/>
      <c r="T2" s="83"/>
      <c r="U2" s="83"/>
      <c r="V2" s="83"/>
    </row>
    <row r="3" spans="1:22">
      <c r="A3" s="83"/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38"/>
      <c r="Q3" s="139"/>
      <c r="R3" s="140"/>
      <c r="S3" s="83"/>
      <c r="T3" s="83"/>
      <c r="U3" s="83"/>
      <c r="V3" s="83"/>
    </row>
    <row r="4" spans="1:22">
      <c r="A4" s="83"/>
      <c r="B4" s="89" t="s">
        <v>186</v>
      </c>
      <c r="C4" s="90">
        <v>500</v>
      </c>
      <c r="D4" s="90">
        <v>2</v>
      </c>
      <c r="E4" s="90">
        <v>11777</v>
      </c>
      <c r="F4" s="90">
        <v>6</v>
      </c>
      <c r="G4" s="88">
        <f>(E4/F4)*(10.2)*POWER(10,D4+2)</f>
        <v>200208999.99999997</v>
      </c>
      <c r="H4" s="90">
        <v>2</v>
      </c>
      <c r="I4" s="90">
        <v>12350</v>
      </c>
      <c r="J4" s="90">
        <v>6</v>
      </c>
      <c r="K4" s="88">
        <f>(I4/J4)*(10.2)*POWER(10,H4+2)</f>
        <v>209950000</v>
      </c>
      <c r="L4" s="90">
        <v>2</v>
      </c>
      <c r="M4" s="90">
        <v>12193</v>
      </c>
      <c r="N4" s="90">
        <v>6</v>
      </c>
      <c r="O4" s="88">
        <f t="shared" ref="O4:O19" si="0">(M4/N4)*(10.2)*POWER(10,L4+2)</f>
        <v>207281000</v>
      </c>
      <c r="P4" s="91">
        <f t="shared" ref="P4:P19" si="1">AVERAGE(O4,K4,G4)</f>
        <v>205813333.33333334</v>
      </c>
      <c r="Q4" s="91">
        <f t="shared" ref="Q4:Q19" si="2">STDEV(O4,K4,G4)</f>
        <v>5033617.4202389978</v>
      </c>
      <c r="R4" s="92">
        <f>LOG(P4)</f>
        <v>8.313473506507659</v>
      </c>
      <c r="S4" s="96"/>
      <c r="T4" s="83"/>
      <c r="U4" s="83"/>
      <c r="V4" s="83"/>
    </row>
    <row r="5" spans="1:22">
      <c r="A5" s="83"/>
      <c r="B5" s="89" t="s">
        <v>187</v>
      </c>
      <c r="C5" s="90">
        <v>500</v>
      </c>
      <c r="D5" s="90">
        <v>1</v>
      </c>
      <c r="E5" s="90">
        <v>10368</v>
      </c>
      <c r="F5" s="90">
        <v>6</v>
      </c>
      <c r="G5" s="88">
        <f t="shared" ref="G5:G19" si="3">(E5/F5)*(10.2)*POWER(10,D5+2)</f>
        <v>17625600</v>
      </c>
      <c r="H5" s="90">
        <v>1</v>
      </c>
      <c r="I5" s="90">
        <v>11649</v>
      </c>
      <c r="J5" s="90">
        <v>6</v>
      </c>
      <c r="K5" s="88">
        <f t="shared" ref="K5:K19" si="4">(I5/J5)*(10.2)*POWER(10,H5+2)</f>
        <v>19803300</v>
      </c>
      <c r="L5" s="90">
        <v>1</v>
      </c>
      <c r="M5" s="90">
        <v>11377</v>
      </c>
      <c r="N5" s="90">
        <v>6</v>
      </c>
      <c r="O5" s="88">
        <f t="shared" si="0"/>
        <v>19340899.999999996</v>
      </c>
      <c r="P5" s="91">
        <f t="shared" si="1"/>
        <v>18923266.666666668</v>
      </c>
      <c r="Q5" s="91">
        <f t="shared" si="2"/>
        <v>1147348.0393208207</v>
      </c>
      <c r="R5" s="92">
        <f t="shared" ref="R5:R19" si="5">LOG(P5)</f>
        <v>7.2769961094890272</v>
      </c>
      <c r="S5" s="83"/>
      <c r="T5" s="83"/>
      <c r="U5" s="83"/>
      <c r="V5" s="83"/>
    </row>
    <row r="6" spans="1:22">
      <c r="A6" s="83"/>
      <c r="B6" s="89" t="s">
        <v>188</v>
      </c>
      <c r="C6" s="90">
        <v>500</v>
      </c>
      <c r="D6" s="90">
        <v>1</v>
      </c>
      <c r="E6" s="90">
        <v>1368</v>
      </c>
      <c r="F6" s="90">
        <v>6</v>
      </c>
      <c r="G6" s="88">
        <f t="shared" si="3"/>
        <v>2325600</v>
      </c>
      <c r="H6" s="90">
        <v>1</v>
      </c>
      <c r="I6" s="90">
        <v>1169</v>
      </c>
      <c r="J6" s="90">
        <v>6</v>
      </c>
      <c r="K6" s="88">
        <f t="shared" si="4"/>
        <v>1987300</v>
      </c>
      <c r="L6" s="90">
        <v>1</v>
      </c>
      <c r="M6" s="90">
        <v>1324</v>
      </c>
      <c r="N6" s="90">
        <v>6</v>
      </c>
      <c r="O6" s="88">
        <f t="shared" si="0"/>
        <v>2250799.9999999995</v>
      </c>
      <c r="P6" s="91">
        <f t="shared" si="1"/>
        <v>2187900</v>
      </c>
      <c r="Q6" s="91">
        <f t="shared" si="2"/>
        <v>177704.89582451005</v>
      </c>
      <c r="R6" s="92">
        <f t="shared" si="5"/>
        <v>6.3400274682826607</v>
      </c>
      <c r="S6" s="83"/>
      <c r="T6" s="83"/>
      <c r="U6" s="83"/>
      <c r="V6" s="83"/>
    </row>
    <row r="7" spans="1:22">
      <c r="A7" s="83"/>
      <c r="B7" s="89" t="s">
        <v>189</v>
      </c>
      <c r="C7" s="90">
        <v>500</v>
      </c>
      <c r="D7" s="90">
        <v>1</v>
      </c>
      <c r="E7" s="90">
        <v>1657</v>
      </c>
      <c r="F7" s="90">
        <v>67</v>
      </c>
      <c r="G7" s="88">
        <f>(E7/F7)*(10.2)*POWER(10,D7+2)</f>
        <v>252259.70149253728</v>
      </c>
      <c r="H7" s="90">
        <v>1</v>
      </c>
      <c r="I7" s="90">
        <v>1712</v>
      </c>
      <c r="J7" s="90">
        <v>67</v>
      </c>
      <c r="K7" s="88">
        <f t="shared" si="4"/>
        <v>260632.83582089547</v>
      </c>
      <c r="L7" s="90">
        <v>1</v>
      </c>
      <c r="M7" s="90">
        <v>1701</v>
      </c>
      <c r="N7" s="90">
        <v>67</v>
      </c>
      <c r="O7" s="88">
        <f t="shared" si="0"/>
        <v>258958.20895522388</v>
      </c>
      <c r="P7" s="91">
        <f t="shared" si="1"/>
        <v>257283.58208955219</v>
      </c>
      <c r="Q7" s="91">
        <f t="shared" si="2"/>
        <v>4430.6462253947329</v>
      </c>
      <c r="R7" s="92">
        <f t="shared" si="5"/>
        <v>5.410412073674765</v>
      </c>
      <c r="S7" s="96"/>
      <c r="T7" s="83"/>
      <c r="U7" s="83"/>
      <c r="V7" s="83"/>
    </row>
    <row r="8" spans="1:22">
      <c r="A8" s="83"/>
      <c r="B8" s="89" t="s">
        <v>190</v>
      </c>
      <c r="C8" s="90">
        <v>500</v>
      </c>
      <c r="D8" s="90">
        <v>1</v>
      </c>
      <c r="E8" s="90">
        <v>1582</v>
      </c>
      <c r="F8" s="90">
        <v>334</v>
      </c>
      <c r="G8" s="88">
        <f t="shared" si="3"/>
        <v>48312.574850299396</v>
      </c>
      <c r="H8" s="90">
        <v>1</v>
      </c>
      <c r="I8" s="90">
        <v>1222</v>
      </c>
      <c r="J8" s="90">
        <v>334</v>
      </c>
      <c r="K8" s="88">
        <f t="shared" si="4"/>
        <v>37318.562874251496</v>
      </c>
      <c r="L8" s="90">
        <v>1</v>
      </c>
      <c r="M8" s="90">
        <v>1331</v>
      </c>
      <c r="N8" s="90">
        <v>334</v>
      </c>
      <c r="O8" s="88">
        <f t="shared" si="0"/>
        <v>40647.305389221554</v>
      </c>
      <c r="P8" s="91">
        <f t="shared" si="1"/>
        <v>42092.814371257482</v>
      </c>
      <c r="Q8" s="91">
        <f t="shared" si="2"/>
        <v>5637.7475107733544</v>
      </c>
      <c r="R8" s="92">
        <f t="shared" si="5"/>
        <v>4.6242079641192557</v>
      </c>
      <c r="S8" s="96"/>
      <c r="T8" s="83"/>
      <c r="U8" s="83"/>
      <c r="V8" s="83"/>
    </row>
    <row r="9" spans="1:22">
      <c r="A9" s="83"/>
      <c r="B9" s="89" t="s">
        <v>191</v>
      </c>
      <c r="C9" s="90">
        <v>900</v>
      </c>
      <c r="D9" s="90">
        <v>2</v>
      </c>
      <c r="E9" s="90">
        <v>14797</v>
      </c>
      <c r="F9" s="90">
        <v>6</v>
      </c>
      <c r="G9" s="88">
        <f t="shared" si="3"/>
        <v>251548999.99999997</v>
      </c>
      <c r="H9" s="90">
        <v>2</v>
      </c>
      <c r="I9" s="90">
        <v>12831</v>
      </c>
      <c r="J9" s="90">
        <v>6</v>
      </c>
      <c r="K9" s="88">
        <f t="shared" si="4"/>
        <v>218126999.99999997</v>
      </c>
      <c r="L9" s="90">
        <v>2</v>
      </c>
      <c r="M9" s="90">
        <v>13557</v>
      </c>
      <c r="N9" s="90">
        <v>6</v>
      </c>
      <c r="O9" s="88">
        <f t="shared" si="0"/>
        <v>230468999.99999997</v>
      </c>
      <c r="P9" s="91">
        <f t="shared" si="1"/>
        <v>233381666.66666663</v>
      </c>
      <c r="Q9" s="91">
        <f t="shared" si="2"/>
        <v>16900302.995311458</v>
      </c>
      <c r="R9" s="92">
        <f t="shared" si="5"/>
        <v>8.3680667369783137</v>
      </c>
      <c r="S9" s="83"/>
      <c r="T9" s="83"/>
      <c r="U9" s="83"/>
      <c r="V9" s="83"/>
    </row>
    <row r="10" spans="1:22">
      <c r="A10" s="83"/>
      <c r="B10" s="89" t="s">
        <v>192</v>
      </c>
      <c r="C10" s="90">
        <v>900</v>
      </c>
      <c r="D10" s="90">
        <v>2</v>
      </c>
      <c r="E10" s="90">
        <v>6167</v>
      </c>
      <c r="F10" s="90">
        <v>6</v>
      </c>
      <c r="G10" s="88">
        <f t="shared" si="3"/>
        <v>104838999.99999999</v>
      </c>
      <c r="H10" s="90">
        <v>2</v>
      </c>
      <c r="I10" s="90">
        <v>6132</v>
      </c>
      <c r="J10" s="90">
        <v>6</v>
      </c>
      <c r="K10" s="88">
        <f t="shared" si="4"/>
        <v>104244000</v>
      </c>
      <c r="L10" s="90">
        <v>2</v>
      </c>
      <c r="M10" s="90">
        <v>5412</v>
      </c>
      <c r="N10" s="90">
        <v>6</v>
      </c>
      <c r="O10" s="88">
        <f t="shared" si="0"/>
        <v>92004000</v>
      </c>
      <c r="P10" s="91">
        <f t="shared" si="1"/>
        <v>100362333.33333333</v>
      </c>
      <c r="Q10" s="91">
        <f t="shared" si="2"/>
        <v>7244639.9726510411</v>
      </c>
      <c r="R10" s="92">
        <f t="shared" si="5"/>
        <v>8.0015707497132311</v>
      </c>
      <c r="S10" s="83"/>
      <c r="T10" s="83"/>
      <c r="U10" s="83"/>
      <c r="V10" s="83"/>
    </row>
    <row r="11" spans="1:22">
      <c r="A11" s="83"/>
      <c r="B11" s="89" t="s">
        <v>193</v>
      </c>
      <c r="C11" s="90">
        <v>900</v>
      </c>
      <c r="D11" s="90">
        <v>2</v>
      </c>
      <c r="E11" s="90">
        <v>2783</v>
      </c>
      <c r="F11" s="90">
        <v>6</v>
      </c>
      <c r="G11" s="88">
        <f t="shared" si="3"/>
        <v>47310999.999999993</v>
      </c>
      <c r="H11" s="90">
        <v>2</v>
      </c>
      <c r="I11" s="90">
        <v>2791</v>
      </c>
      <c r="J11" s="90">
        <v>6</v>
      </c>
      <c r="K11" s="88">
        <f t="shared" si="4"/>
        <v>47447000</v>
      </c>
      <c r="L11" s="90">
        <v>2</v>
      </c>
      <c r="M11" s="90">
        <v>2844</v>
      </c>
      <c r="N11" s="90">
        <v>6</v>
      </c>
      <c r="O11" s="88">
        <f t="shared" si="0"/>
        <v>48347999.999999993</v>
      </c>
      <c r="P11" s="91">
        <f t="shared" si="1"/>
        <v>47702000</v>
      </c>
      <c r="Q11" s="91">
        <f t="shared" si="2"/>
        <v>563569.87144452473</v>
      </c>
      <c r="R11" s="92">
        <f t="shared" si="5"/>
        <v>7.6785365880706147</v>
      </c>
      <c r="S11" s="83"/>
      <c r="T11" s="83"/>
      <c r="U11" s="83"/>
      <c r="V11" s="83"/>
    </row>
    <row r="12" spans="1:22">
      <c r="A12" s="83"/>
      <c r="B12" s="89" t="s">
        <v>194</v>
      </c>
      <c r="C12" s="90">
        <v>900</v>
      </c>
      <c r="D12" s="90">
        <v>1</v>
      </c>
      <c r="E12" s="90">
        <v>14347</v>
      </c>
      <c r="F12" s="90">
        <v>6</v>
      </c>
      <c r="G12" s="88">
        <f t="shared" si="3"/>
        <v>24389899.999999996</v>
      </c>
      <c r="H12" s="90">
        <v>1</v>
      </c>
      <c r="I12" s="90">
        <v>13548</v>
      </c>
      <c r="J12" s="90">
        <v>6</v>
      </c>
      <c r="K12" s="88">
        <f t="shared" si="4"/>
        <v>23031600</v>
      </c>
      <c r="L12" s="90">
        <v>1</v>
      </c>
      <c r="M12" s="90">
        <v>14200</v>
      </c>
      <c r="N12" s="90">
        <v>6</v>
      </c>
      <c r="O12" s="88">
        <f t="shared" si="0"/>
        <v>24139999.999999996</v>
      </c>
      <c r="P12" s="91">
        <f t="shared" si="1"/>
        <v>23853833.333333332</v>
      </c>
      <c r="Q12" s="91">
        <f t="shared" si="2"/>
        <v>722954.52369656716</v>
      </c>
      <c r="R12" s="92">
        <f t="shared" si="5"/>
        <v>7.3775581805140655</v>
      </c>
      <c r="S12" s="83"/>
      <c r="T12" s="83"/>
      <c r="U12" s="83"/>
      <c r="V12" s="83"/>
    </row>
    <row r="13" spans="1:22">
      <c r="A13" s="83"/>
      <c r="B13" s="89" t="s">
        <v>195</v>
      </c>
      <c r="C13" s="90">
        <v>900</v>
      </c>
      <c r="D13" s="90">
        <v>1</v>
      </c>
      <c r="E13" s="90">
        <v>5210</v>
      </c>
      <c r="F13" s="90">
        <v>6</v>
      </c>
      <c r="G13" s="88">
        <f t="shared" si="3"/>
        <v>8857000</v>
      </c>
      <c r="H13" s="90">
        <v>1</v>
      </c>
      <c r="I13" s="90">
        <v>5214</v>
      </c>
      <c r="J13" s="90">
        <v>6</v>
      </c>
      <c r="K13" s="88">
        <f t="shared" si="4"/>
        <v>8863800</v>
      </c>
      <c r="L13" s="90">
        <v>1</v>
      </c>
      <c r="M13" s="90">
        <v>5752</v>
      </c>
      <c r="N13" s="90">
        <v>6</v>
      </c>
      <c r="O13" s="88">
        <f t="shared" si="0"/>
        <v>9778400</v>
      </c>
      <c r="P13" s="91">
        <f t="shared" si="1"/>
        <v>9166400</v>
      </c>
      <c r="Q13" s="91">
        <f t="shared" si="2"/>
        <v>530018.4525089669</v>
      </c>
      <c r="R13" s="92">
        <f t="shared" si="5"/>
        <v>6.9621988049055377</v>
      </c>
      <c r="S13" s="83"/>
      <c r="T13" s="83"/>
      <c r="U13" s="83"/>
      <c r="V13" s="83"/>
    </row>
    <row r="14" spans="1:22">
      <c r="A14" s="83"/>
      <c r="B14" s="89" t="s">
        <v>196</v>
      </c>
      <c r="C14" s="90">
        <v>900</v>
      </c>
      <c r="D14" s="90">
        <v>1</v>
      </c>
      <c r="E14" s="90">
        <v>2620</v>
      </c>
      <c r="F14" s="90">
        <v>6</v>
      </c>
      <c r="G14" s="88">
        <f t="shared" si="3"/>
        <v>4454000</v>
      </c>
      <c r="H14" s="90">
        <v>1</v>
      </c>
      <c r="I14" s="90">
        <v>2454</v>
      </c>
      <c r="J14" s="90">
        <v>6</v>
      </c>
      <c r="K14" s="88">
        <f t="shared" si="4"/>
        <v>4171799.9999999991</v>
      </c>
      <c r="L14" s="90">
        <v>1</v>
      </c>
      <c r="M14" s="90">
        <v>2673</v>
      </c>
      <c r="N14" s="90">
        <v>6</v>
      </c>
      <c r="O14" s="88">
        <f t="shared" si="0"/>
        <v>4544099.9999999991</v>
      </c>
      <c r="P14" s="91">
        <f t="shared" si="1"/>
        <v>4389966.666666666</v>
      </c>
      <c r="Q14" s="91">
        <f t="shared" si="2"/>
        <v>194234.45454741904</v>
      </c>
      <c r="R14" s="92">
        <f t="shared" si="5"/>
        <v>6.642461222625335</v>
      </c>
      <c r="S14" s="83"/>
      <c r="T14" s="83"/>
      <c r="U14" s="83"/>
      <c r="V14" s="83"/>
    </row>
    <row r="15" spans="1:22">
      <c r="A15" s="83"/>
      <c r="B15" s="89" t="s">
        <v>197</v>
      </c>
      <c r="C15" s="90">
        <v>900</v>
      </c>
      <c r="D15" s="90">
        <v>1</v>
      </c>
      <c r="E15" s="90">
        <v>1562</v>
      </c>
      <c r="F15" s="90">
        <v>6</v>
      </c>
      <c r="G15" s="88">
        <f t="shared" si="3"/>
        <v>2655399.9999999995</v>
      </c>
      <c r="H15" s="90">
        <v>1</v>
      </c>
      <c r="I15" s="90">
        <v>1614</v>
      </c>
      <c r="J15" s="90">
        <v>6</v>
      </c>
      <c r="K15" s="88">
        <f t="shared" si="4"/>
        <v>2743799.9999999995</v>
      </c>
      <c r="L15" s="90">
        <v>1</v>
      </c>
      <c r="M15" s="90">
        <v>1660</v>
      </c>
      <c r="N15" s="90">
        <v>6</v>
      </c>
      <c r="O15" s="88">
        <f t="shared" si="0"/>
        <v>2822000</v>
      </c>
      <c r="P15" s="91">
        <f t="shared" si="1"/>
        <v>2740400</v>
      </c>
      <c r="Q15" s="91">
        <f t="shared" si="2"/>
        <v>83352.024570492809</v>
      </c>
      <c r="R15" s="92">
        <f t="shared" si="5"/>
        <v>6.4378139588473458</v>
      </c>
      <c r="S15" s="83"/>
      <c r="T15" s="83"/>
      <c r="U15" s="83"/>
      <c r="V15" s="83"/>
    </row>
    <row r="16" spans="1:22">
      <c r="A16" s="83"/>
      <c r="B16" s="89" t="s">
        <v>198</v>
      </c>
      <c r="C16" s="90">
        <v>900</v>
      </c>
      <c r="D16" s="90">
        <v>1</v>
      </c>
      <c r="E16" s="90">
        <v>2084</v>
      </c>
      <c r="F16" s="90">
        <v>13</v>
      </c>
      <c r="G16" s="88">
        <f t="shared" si="3"/>
        <v>1635138.4615384615</v>
      </c>
      <c r="H16" s="90">
        <v>1</v>
      </c>
      <c r="I16" s="90">
        <v>2144</v>
      </c>
      <c r="J16" s="90">
        <v>13</v>
      </c>
      <c r="K16" s="88">
        <f t="shared" si="4"/>
        <v>1682215.3846153847</v>
      </c>
      <c r="L16" s="90">
        <v>1</v>
      </c>
      <c r="M16" s="90">
        <v>1740</v>
      </c>
      <c r="N16" s="90">
        <v>13</v>
      </c>
      <c r="O16" s="88">
        <f t="shared" si="0"/>
        <v>1365230.769230769</v>
      </c>
      <c r="P16" s="91">
        <f t="shared" si="1"/>
        <v>1560861.5384615387</v>
      </c>
      <c r="Q16" s="91">
        <f t="shared" si="2"/>
        <v>171048.55326475156</v>
      </c>
      <c r="R16" s="92">
        <f t="shared" si="5"/>
        <v>6.1933643792000312</v>
      </c>
      <c r="S16" s="83"/>
      <c r="T16" s="83"/>
      <c r="U16" s="83"/>
      <c r="V16" s="83"/>
    </row>
    <row r="17" spans="1:22">
      <c r="A17" s="83"/>
      <c r="B17" s="89" t="s">
        <v>199</v>
      </c>
      <c r="C17" s="90">
        <v>900</v>
      </c>
      <c r="D17" s="90">
        <v>1</v>
      </c>
      <c r="E17" s="90">
        <v>2200</v>
      </c>
      <c r="F17" s="90">
        <v>26</v>
      </c>
      <c r="G17" s="88">
        <f t="shared" si="3"/>
        <v>863076.92307692301</v>
      </c>
      <c r="H17" s="90">
        <v>1</v>
      </c>
      <c r="I17" s="90">
        <v>2389</v>
      </c>
      <c r="J17" s="90">
        <v>26</v>
      </c>
      <c r="K17" s="88">
        <f t="shared" si="4"/>
        <v>937223.07692307688</v>
      </c>
      <c r="L17" s="90">
        <v>1</v>
      </c>
      <c r="M17" s="90">
        <v>2163</v>
      </c>
      <c r="N17" s="90">
        <v>26</v>
      </c>
      <c r="O17" s="88">
        <f t="shared" si="0"/>
        <v>848561.53846153838</v>
      </c>
      <c r="P17" s="91">
        <f t="shared" si="1"/>
        <v>882953.84615384601</v>
      </c>
      <c r="Q17" s="91">
        <f t="shared" si="2"/>
        <v>47555.611170987548</v>
      </c>
      <c r="R17" s="92">
        <f t="shared" si="5"/>
        <v>5.9459380026890356</v>
      </c>
      <c r="S17" s="83"/>
      <c r="T17" s="83"/>
      <c r="U17" s="83"/>
      <c r="V17" s="83"/>
    </row>
    <row r="18" spans="1:22">
      <c r="A18" s="83"/>
      <c r="B18" s="89" t="s">
        <v>200</v>
      </c>
      <c r="C18" s="90">
        <v>900</v>
      </c>
      <c r="D18" s="90">
        <v>1</v>
      </c>
      <c r="E18" s="90">
        <v>2258</v>
      </c>
      <c r="F18" s="90">
        <v>53</v>
      </c>
      <c r="G18" s="88">
        <f t="shared" si="3"/>
        <v>434558.49056603765</v>
      </c>
      <c r="H18" s="90">
        <v>1</v>
      </c>
      <c r="I18" s="90">
        <v>2364</v>
      </c>
      <c r="J18" s="90">
        <v>53</v>
      </c>
      <c r="K18" s="88">
        <f t="shared" si="4"/>
        <v>454958.49056603771</v>
      </c>
      <c r="L18" s="90">
        <v>1</v>
      </c>
      <c r="M18" s="90">
        <v>2494</v>
      </c>
      <c r="N18" s="90">
        <v>53</v>
      </c>
      <c r="O18" s="88">
        <f t="shared" si="0"/>
        <v>479977.35849056597</v>
      </c>
      <c r="P18" s="91">
        <f t="shared" si="1"/>
        <v>456498.11320754705</v>
      </c>
      <c r="Q18" s="91">
        <f t="shared" si="2"/>
        <v>22748.543234570494</v>
      </c>
      <c r="R18" s="92">
        <f t="shared" si="5"/>
        <v>5.6594389868533534</v>
      </c>
      <c r="S18" s="83"/>
      <c r="T18" s="83"/>
      <c r="U18" s="83"/>
      <c r="V18" s="83"/>
    </row>
    <row r="19" spans="1:22">
      <c r="A19" s="83"/>
      <c r="B19" s="89" t="s">
        <v>201</v>
      </c>
      <c r="C19" s="90">
        <v>900</v>
      </c>
      <c r="D19" s="90">
        <v>1</v>
      </c>
      <c r="E19" s="90">
        <v>2389</v>
      </c>
      <c r="F19" s="90">
        <v>107</v>
      </c>
      <c r="G19" s="88">
        <f t="shared" si="3"/>
        <v>227736.44859813081</v>
      </c>
      <c r="H19" s="90">
        <v>1</v>
      </c>
      <c r="I19" s="90">
        <v>2798</v>
      </c>
      <c r="J19" s="90">
        <v>107</v>
      </c>
      <c r="K19" s="88">
        <f t="shared" si="4"/>
        <v>266725.23364485975</v>
      </c>
      <c r="L19" s="90">
        <v>1</v>
      </c>
      <c r="M19" s="90">
        <v>7437</v>
      </c>
      <c r="N19" s="90">
        <v>394</v>
      </c>
      <c r="O19" s="88">
        <f t="shared" si="0"/>
        <v>192531.47208121826</v>
      </c>
      <c r="P19" s="91">
        <f t="shared" si="1"/>
        <v>228997.71810806962</v>
      </c>
      <c r="Q19" s="91">
        <f t="shared" si="2"/>
        <v>37112.958172626859</v>
      </c>
      <c r="R19" s="92">
        <f t="shared" si="5"/>
        <v>5.359831154750319</v>
      </c>
      <c r="S19" s="83"/>
      <c r="T19" s="83"/>
      <c r="U19" s="83"/>
      <c r="V19" s="83"/>
    </row>
    <row r="20" spans="1:22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43" thickBot="1">
      <c r="A21" s="83"/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259</v>
      </c>
      <c r="J21" s="95" t="s">
        <v>260</v>
      </c>
      <c r="K21" s="95" t="s">
        <v>261</v>
      </c>
      <c r="L21" s="95" t="s">
        <v>262</v>
      </c>
      <c r="M21" s="96" t="s">
        <v>258</v>
      </c>
      <c r="N21" s="83"/>
      <c r="O21" s="83"/>
      <c r="P21" s="83"/>
      <c r="Q21" s="83"/>
      <c r="R21" s="83"/>
      <c r="S21" s="83"/>
      <c r="T21" s="83"/>
      <c r="U21" s="83"/>
      <c r="V21" s="83"/>
    </row>
    <row r="22" spans="1: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>
      <c r="A23" s="83"/>
      <c r="B23" s="89" t="s">
        <v>186</v>
      </c>
      <c r="C23" s="97">
        <v>12.024166107177734</v>
      </c>
      <c r="D23" s="97">
        <v>11.937971115112305</v>
      </c>
      <c r="E23" s="97">
        <v>12.113894462585449</v>
      </c>
      <c r="F23" s="102">
        <f>AVERAGE(C23:E23)</f>
        <v>12.025343894958496</v>
      </c>
      <c r="G23" s="118">
        <f>1000/1000*200/4*1000/900</f>
        <v>55.555555555555557</v>
      </c>
      <c r="H23" s="111">
        <f>LOG(G23)/LOG(2)</f>
        <v>5.7958592832197748</v>
      </c>
      <c r="I23" s="97">
        <f>C23-H23</f>
        <v>6.2283068239579595</v>
      </c>
      <c r="J23" s="97">
        <f>D23-H23</f>
        <v>6.1421118318925298</v>
      </c>
      <c r="K23" s="97">
        <f>E23-H23</f>
        <v>6.3180351793656744</v>
      </c>
      <c r="L23" s="102">
        <f>AVERAGE(I23:K23)</f>
        <v>6.2294846117387221</v>
      </c>
      <c r="M23" s="96"/>
      <c r="N23" s="83"/>
      <c r="O23" s="83"/>
      <c r="P23" s="83"/>
      <c r="Q23" s="83"/>
      <c r="R23" s="83"/>
      <c r="S23" s="83"/>
      <c r="T23" s="83"/>
      <c r="U23" s="83"/>
      <c r="V23" s="83"/>
    </row>
    <row r="24" spans="1:22">
      <c r="A24" s="83"/>
      <c r="B24" s="89" t="s">
        <v>187</v>
      </c>
      <c r="C24" s="97">
        <v>17.587196350097656</v>
      </c>
      <c r="D24" s="97">
        <v>17.463251113891602</v>
      </c>
      <c r="E24" s="97">
        <v>17.496953964233398</v>
      </c>
      <c r="F24" s="102">
        <f t="shared" ref="F24:F38" si="6">AVERAGE(C24:E24)</f>
        <v>17.515800476074219</v>
      </c>
      <c r="G24" s="118">
        <f t="shared" ref="G24:G27" si="7">1000/1000*200/4*1000/900</f>
        <v>55.555555555555557</v>
      </c>
      <c r="H24" s="111">
        <f t="shared" ref="H24:H38" si="8">LOG(G24)/LOG(2)</f>
        <v>5.7958592832197748</v>
      </c>
      <c r="I24" s="97">
        <f>C24-H24</f>
        <v>11.791337066877881</v>
      </c>
      <c r="J24" s="97">
        <f t="shared" ref="J24:J38" si="9">D24-H24</f>
        <v>11.667391830671827</v>
      </c>
      <c r="K24" s="97">
        <f t="shared" ref="K24:K38" si="10">E24-H24</f>
        <v>11.701094681013624</v>
      </c>
      <c r="L24" s="102">
        <f t="shared" ref="L24:L38" si="11">AVERAGE(I24:K24)</f>
        <v>11.719941192854444</v>
      </c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>
      <c r="A25" s="83"/>
      <c r="B25" s="89" t="s">
        <v>188</v>
      </c>
      <c r="C25" s="97">
        <v>20.035877227783203</v>
      </c>
      <c r="D25" s="97">
        <v>19.974271774291992</v>
      </c>
      <c r="E25" s="97">
        <v>19.944717407226562</v>
      </c>
      <c r="F25" s="102">
        <f t="shared" si="6"/>
        <v>19.984955469767254</v>
      </c>
      <c r="G25" s="118">
        <f t="shared" si="7"/>
        <v>55.555555555555557</v>
      </c>
      <c r="H25" s="111">
        <f t="shared" si="8"/>
        <v>5.7958592832197748</v>
      </c>
      <c r="I25" s="97">
        <f>C25-H25</f>
        <v>14.240017944563428</v>
      </c>
      <c r="J25" s="97">
        <f t="shared" si="9"/>
        <v>14.178412491072217</v>
      </c>
      <c r="K25" s="97">
        <f t="shared" si="10"/>
        <v>14.148858124006788</v>
      </c>
      <c r="L25" s="102">
        <f t="shared" si="11"/>
        <v>14.189096186547479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>
      <c r="A26" s="83"/>
      <c r="B26" s="89" t="s">
        <v>189</v>
      </c>
      <c r="C26" s="97">
        <v>24.500289916992188</v>
      </c>
      <c r="D26" s="97">
        <v>24.458871841430664</v>
      </c>
      <c r="E26" s="97">
        <v>24.548263549804688</v>
      </c>
      <c r="F26" s="102">
        <f t="shared" si="6"/>
        <v>24.502475102742512</v>
      </c>
      <c r="G26" s="118">
        <f t="shared" si="7"/>
        <v>55.555555555555557</v>
      </c>
      <c r="H26" s="111">
        <f t="shared" si="8"/>
        <v>5.7958592832197748</v>
      </c>
      <c r="I26" s="97">
        <f>C26-H26</f>
        <v>18.704430633772411</v>
      </c>
      <c r="J26" s="97">
        <f t="shared" si="9"/>
        <v>18.663012558210887</v>
      </c>
      <c r="K26" s="97">
        <f t="shared" si="10"/>
        <v>18.752404266584911</v>
      </c>
      <c r="L26" s="102">
        <f t="shared" si="11"/>
        <v>18.706615819522735</v>
      </c>
      <c r="M26" s="96"/>
      <c r="N26" s="83"/>
      <c r="O26" s="83"/>
      <c r="P26" s="83"/>
      <c r="Q26" s="83"/>
      <c r="R26" s="83"/>
      <c r="S26" s="83"/>
      <c r="T26" s="83"/>
      <c r="U26" s="83"/>
      <c r="V26" s="83"/>
    </row>
    <row r="27" spans="1:22">
      <c r="A27" s="83"/>
      <c r="B27" s="89" t="s">
        <v>190</v>
      </c>
      <c r="C27" s="97">
        <v>27.966335296630859</v>
      </c>
      <c r="D27" s="97">
        <v>27.953102111816406</v>
      </c>
      <c r="E27" s="97">
        <v>27.858415603637695</v>
      </c>
      <c r="F27" s="102">
        <f>AVERAGE(C27:E27)</f>
        <v>27.92595100402832</v>
      </c>
      <c r="G27" s="118">
        <f t="shared" si="7"/>
        <v>55.555555555555557</v>
      </c>
      <c r="H27" s="111">
        <f t="shared" si="8"/>
        <v>5.7958592832197748</v>
      </c>
      <c r="I27" s="97">
        <f>C27-H27</f>
        <v>22.170476013411083</v>
      </c>
      <c r="J27" s="97">
        <f>D27-H27</f>
        <v>22.15724282859663</v>
      </c>
      <c r="K27" s="97">
        <f>E27-H27</f>
        <v>22.062556320417919</v>
      </c>
      <c r="L27" s="102">
        <f t="shared" si="11"/>
        <v>22.130091720808547</v>
      </c>
      <c r="M27" s="96"/>
      <c r="N27" s="83"/>
      <c r="O27" s="83"/>
      <c r="P27" s="83"/>
      <c r="Q27" s="83"/>
      <c r="R27" s="83"/>
      <c r="S27" s="83"/>
      <c r="T27" s="83"/>
      <c r="U27" s="83"/>
      <c r="V27" s="83"/>
    </row>
    <row r="28" spans="1:22">
      <c r="A28" s="83"/>
      <c r="B28" s="89" t="s">
        <v>191</v>
      </c>
      <c r="C28" s="97">
        <v>13.96388053894043</v>
      </c>
      <c r="D28" s="97">
        <v>13.646139144897461</v>
      </c>
      <c r="E28" s="97">
        <v>13.680848121643066</v>
      </c>
      <c r="F28" s="102">
        <f t="shared" si="6"/>
        <v>13.763622601826986</v>
      </c>
      <c r="G28" s="83">
        <f>1000/1000*200/4*1000/500</f>
        <v>100</v>
      </c>
      <c r="H28" s="111">
        <f t="shared" si="8"/>
        <v>6.6438561897747244</v>
      </c>
      <c r="I28" s="97">
        <f t="shared" ref="I28:I38" si="12">C28-H28</f>
        <v>7.3200243491657053</v>
      </c>
      <c r="J28" s="97">
        <f t="shared" si="9"/>
        <v>7.0022829551227366</v>
      </c>
      <c r="K28" s="97">
        <f t="shared" si="10"/>
        <v>7.036991931868342</v>
      </c>
      <c r="L28" s="102">
        <f t="shared" si="11"/>
        <v>7.119766412052261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89" t="s">
        <v>192</v>
      </c>
      <c r="C29" s="97">
        <v>15.15186882019043</v>
      </c>
      <c r="D29" s="97">
        <v>15.517631530761719</v>
      </c>
      <c r="E29" s="97">
        <v>15.663459777832031</v>
      </c>
      <c r="F29" s="102">
        <f t="shared" si="6"/>
        <v>15.44432004292806</v>
      </c>
      <c r="G29" s="83">
        <f t="shared" ref="G29:G38" si="13">1000/1000*200/4*1000/500</f>
        <v>100</v>
      </c>
      <c r="H29" s="111">
        <f t="shared" si="8"/>
        <v>6.6438561897747244</v>
      </c>
      <c r="I29" s="97">
        <f t="shared" si="12"/>
        <v>8.5080126304157062</v>
      </c>
      <c r="J29" s="97">
        <f t="shared" si="9"/>
        <v>8.8737753409869953</v>
      </c>
      <c r="K29" s="97">
        <f t="shared" si="10"/>
        <v>9.0196035880573078</v>
      </c>
      <c r="L29" s="102">
        <f t="shared" si="11"/>
        <v>8.800463853153337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89" t="s">
        <v>193</v>
      </c>
      <c r="C30" s="97">
        <v>16.251581192016602</v>
      </c>
      <c r="D30" s="97">
        <v>16.335042953491211</v>
      </c>
      <c r="E30" s="97">
        <v>16.212072372436523</v>
      </c>
      <c r="F30" s="102">
        <f t="shared" si="6"/>
        <v>16.266232172648113</v>
      </c>
      <c r="G30" s="83">
        <f t="shared" si="13"/>
        <v>100</v>
      </c>
      <c r="H30" s="111">
        <f t="shared" si="8"/>
        <v>6.6438561897747244</v>
      </c>
      <c r="I30" s="97">
        <f t="shared" si="12"/>
        <v>9.6077250022418781</v>
      </c>
      <c r="J30" s="97">
        <f t="shared" si="9"/>
        <v>9.6911867637164875</v>
      </c>
      <c r="K30" s="97">
        <f t="shared" si="10"/>
        <v>9.5682161826618</v>
      </c>
      <c r="L30" s="102">
        <f t="shared" si="11"/>
        <v>9.6223759828733879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>
      <c r="A31" s="83"/>
      <c r="B31" s="89" t="s">
        <v>194</v>
      </c>
      <c r="C31" s="97">
        <v>18.410284042358398</v>
      </c>
      <c r="D31" s="97">
        <v>18.640316009521484</v>
      </c>
      <c r="E31" s="97">
        <v>18.454940795898438</v>
      </c>
      <c r="F31" s="102">
        <f t="shared" si="6"/>
        <v>18.501846949259441</v>
      </c>
      <c r="G31" s="83">
        <f t="shared" si="13"/>
        <v>100</v>
      </c>
      <c r="H31" s="111">
        <f t="shared" si="8"/>
        <v>6.6438561897747244</v>
      </c>
      <c r="I31" s="97">
        <f t="shared" si="12"/>
        <v>11.766427852583675</v>
      </c>
      <c r="J31" s="97">
        <f t="shared" si="9"/>
        <v>11.996459819746761</v>
      </c>
      <c r="K31" s="97">
        <f t="shared" si="10"/>
        <v>11.811084606123714</v>
      </c>
      <c r="L31" s="102">
        <f t="shared" si="11"/>
        <v>11.857990759484716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89" t="s">
        <v>195</v>
      </c>
      <c r="C32" s="97">
        <v>18.648725509643555</v>
      </c>
      <c r="D32" s="97">
        <v>18.836643218994141</v>
      </c>
      <c r="E32" s="97">
        <v>18.618749618530273</v>
      </c>
      <c r="F32" s="102">
        <f t="shared" si="6"/>
        <v>18.701372782389324</v>
      </c>
      <c r="G32" s="83">
        <f t="shared" si="13"/>
        <v>100</v>
      </c>
      <c r="H32" s="111">
        <f t="shared" si="8"/>
        <v>6.6438561897747244</v>
      </c>
      <c r="I32" s="97">
        <f t="shared" si="12"/>
        <v>12.004869319868831</v>
      </c>
      <c r="J32" s="97">
        <f t="shared" si="9"/>
        <v>12.192787029219417</v>
      </c>
      <c r="K32" s="97">
        <f t="shared" si="10"/>
        <v>11.97489342875555</v>
      </c>
      <c r="L32" s="102">
        <f t="shared" si="11"/>
        <v>12.057516592614599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89" t="s">
        <v>196</v>
      </c>
      <c r="C33" s="97">
        <v>19.173038482666016</v>
      </c>
      <c r="D33" s="97">
        <v>19.267778396606445</v>
      </c>
      <c r="E33" s="97">
        <v>19.15654182434082</v>
      </c>
      <c r="F33" s="102">
        <f t="shared" si="6"/>
        <v>19.199119567871094</v>
      </c>
      <c r="G33" s="83">
        <f t="shared" si="13"/>
        <v>100</v>
      </c>
      <c r="H33" s="111">
        <f t="shared" si="8"/>
        <v>6.6438561897747244</v>
      </c>
      <c r="I33" s="97">
        <f t="shared" si="12"/>
        <v>12.529182292891292</v>
      </c>
      <c r="J33" s="97">
        <f t="shared" si="9"/>
        <v>12.623922206831722</v>
      </c>
      <c r="K33" s="97">
        <f t="shared" si="10"/>
        <v>12.512685634566097</v>
      </c>
      <c r="L33" s="102">
        <f t="shared" si="11"/>
        <v>12.55526337809637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89" t="s">
        <v>197</v>
      </c>
      <c r="C34" s="97">
        <v>20.283313751220703</v>
      </c>
      <c r="D34" s="97">
        <v>20.449991226196289</v>
      </c>
      <c r="E34" s="97">
        <v>20.311237335205078</v>
      </c>
      <c r="F34" s="102">
        <f t="shared" si="6"/>
        <v>20.348180770874023</v>
      </c>
      <c r="G34" s="83">
        <f t="shared" si="13"/>
        <v>100</v>
      </c>
      <c r="H34" s="111">
        <f t="shared" si="8"/>
        <v>6.6438561897747244</v>
      </c>
      <c r="I34" s="97">
        <f t="shared" si="12"/>
        <v>13.63945756144598</v>
      </c>
      <c r="J34" s="97">
        <f t="shared" si="9"/>
        <v>13.806135036421566</v>
      </c>
      <c r="K34" s="97">
        <f t="shared" si="10"/>
        <v>13.667381145430355</v>
      </c>
      <c r="L34" s="102">
        <f t="shared" si="11"/>
        <v>13.7043245810993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89" t="s">
        <v>198</v>
      </c>
      <c r="C35" s="97">
        <v>21.243825912475586</v>
      </c>
      <c r="D35" s="97">
        <v>21.539775848388672</v>
      </c>
      <c r="E35" s="97">
        <v>21.392797470092773</v>
      </c>
      <c r="F35" s="102">
        <f t="shared" si="6"/>
        <v>21.392133076985676</v>
      </c>
      <c r="G35" s="83">
        <f t="shared" si="13"/>
        <v>100</v>
      </c>
      <c r="H35" s="111">
        <f t="shared" si="8"/>
        <v>6.6438561897747244</v>
      </c>
      <c r="I35" s="97">
        <f t="shared" si="12"/>
        <v>14.599969722700862</v>
      </c>
      <c r="J35" s="97">
        <f t="shared" si="9"/>
        <v>14.895919658613948</v>
      </c>
      <c r="K35" s="97">
        <f t="shared" si="10"/>
        <v>14.74894128031805</v>
      </c>
      <c r="L35" s="102">
        <f t="shared" si="11"/>
        <v>14.748276887210954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89" t="s">
        <v>199</v>
      </c>
      <c r="C36" s="97">
        <v>22.513101577758789</v>
      </c>
      <c r="D36" s="97">
        <v>22.496644973754883</v>
      </c>
      <c r="E36" s="97">
        <v>22.572574615478516</v>
      </c>
      <c r="F36" s="102">
        <f t="shared" si="6"/>
        <v>22.527440388997395</v>
      </c>
      <c r="G36" s="83">
        <f t="shared" si="13"/>
        <v>100</v>
      </c>
      <c r="H36" s="111">
        <f t="shared" si="8"/>
        <v>6.6438561897747244</v>
      </c>
      <c r="I36" s="97">
        <f t="shared" si="12"/>
        <v>15.869245387984066</v>
      </c>
      <c r="J36" s="97">
        <f t="shared" si="9"/>
        <v>15.852788783980159</v>
      </c>
      <c r="K36" s="97">
        <f t="shared" si="10"/>
        <v>15.928718425703792</v>
      </c>
      <c r="L36" s="102">
        <f t="shared" si="11"/>
        <v>15.883584199222673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89" t="s">
        <v>200</v>
      </c>
      <c r="C37" s="97">
        <v>25.11761474609375</v>
      </c>
      <c r="D37" s="97">
        <v>25.00200080871582</v>
      </c>
      <c r="E37" s="97">
        <v>25.069990158081055</v>
      </c>
      <c r="F37" s="102">
        <f t="shared" si="6"/>
        <v>25.063201904296875</v>
      </c>
      <c r="G37" s="83">
        <f t="shared" si="13"/>
        <v>100</v>
      </c>
      <c r="H37" s="111">
        <f t="shared" si="8"/>
        <v>6.6438561897747244</v>
      </c>
      <c r="I37" s="97">
        <f t="shared" si="12"/>
        <v>18.473758556319027</v>
      </c>
      <c r="J37" s="97">
        <f t="shared" si="9"/>
        <v>18.358144618941097</v>
      </c>
      <c r="K37" s="97">
        <f t="shared" si="10"/>
        <v>18.426133968306331</v>
      </c>
      <c r="L37" s="102">
        <f t="shared" si="11"/>
        <v>18.419345714522152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89" t="s">
        <v>201</v>
      </c>
      <c r="C38" s="97">
        <v>25.78911018371582</v>
      </c>
      <c r="D38" s="97">
        <v>25.811565399169922</v>
      </c>
      <c r="E38" s="97">
        <v>25.885698318481445</v>
      </c>
      <c r="F38" s="102">
        <f t="shared" si="6"/>
        <v>25.82879130045573</v>
      </c>
      <c r="G38" s="83">
        <f t="shared" si="13"/>
        <v>100</v>
      </c>
      <c r="H38" s="111">
        <f t="shared" si="8"/>
        <v>6.6438561897747244</v>
      </c>
      <c r="I38" s="97">
        <f t="shared" si="12"/>
        <v>19.145253993941097</v>
      </c>
      <c r="J38" s="97">
        <f t="shared" si="9"/>
        <v>19.167709209395198</v>
      </c>
      <c r="K38" s="97">
        <f t="shared" si="10"/>
        <v>19.241842128706722</v>
      </c>
      <c r="L38" s="102">
        <f t="shared" si="11"/>
        <v>19.184935110681007</v>
      </c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83"/>
      <c r="C39" s="83"/>
      <c r="D39" s="83"/>
      <c r="E39" s="83"/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89" t="s">
        <v>286</v>
      </c>
      <c r="C40" s="97">
        <v>10.746070861816406</v>
      </c>
      <c r="D40" s="97">
        <v>10.822755813598633</v>
      </c>
      <c r="E40" s="97">
        <v>10.731834411621094</v>
      </c>
      <c r="F40" s="102">
        <f>AVERAGE(C40:E40)</f>
        <v>10.766887029012045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>
      <c r="A42" s="83"/>
      <c r="B42" s="96" t="s">
        <v>214</v>
      </c>
      <c r="C42" s="83" t="s">
        <v>215</v>
      </c>
      <c r="D42" s="83"/>
      <c r="E42" s="83"/>
      <c r="F42" t="s">
        <v>264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>
      <c r="A43" s="83"/>
      <c r="B43" s="83" t="s">
        <v>265</v>
      </c>
      <c r="C43" s="83" t="s">
        <v>215</v>
      </c>
      <c r="D43" s="83"/>
      <c r="E43" s="83"/>
      <c r="F43">
        <v>0.34642903804779052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>
      <c r="A44" s="83"/>
      <c r="B44" s="83"/>
      <c r="C44" s="100" t="s">
        <v>217</v>
      </c>
      <c r="D44" s="98">
        <v>-3.9893000000000001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>
      <c r="A45" s="83"/>
      <c r="B45" s="83"/>
      <c r="C45" s="100" t="s">
        <v>218</v>
      </c>
      <c r="D45" s="98">
        <v>40.134999999999998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>
      <c r="A48" s="83"/>
      <c r="B48" s="96" t="s">
        <v>219</v>
      </c>
      <c r="C48" s="83"/>
      <c r="D48" s="83">
        <f>-1+ POWER(10,-(1/D44))</f>
        <v>0.78102716558460528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>
      <c r="A50" s="83"/>
      <c r="B50" s="96" t="s">
        <v>287</v>
      </c>
      <c r="C50" s="119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2016-04-13T16:10:36Z</dcterms:modified>
</cp:coreProperties>
</file>