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B. hydrogenotrophica" sheetId="29" r:id="rId5"/>
    <sheet name="Determination cell count GOOD" sheetId="27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7" l="1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42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3" i="27"/>
  <c r="H44" i="27"/>
  <c r="H45" i="27"/>
  <c r="H46" i="27"/>
  <c r="H47" i="27"/>
  <c r="H48" i="27"/>
  <c r="H49" i="27"/>
  <c r="H50" i="27"/>
  <c r="H5" i="27"/>
  <c r="I5" i="27"/>
  <c r="J5" i="27"/>
  <c r="H6" i="27"/>
  <c r="I6" i="27"/>
  <c r="J6" i="27"/>
  <c r="H7" i="27"/>
  <c r="I7" i="27"/>
  <c r="J7" i="27"/>
  <c r="H8" i="27"/>
  <c r="I8" i="27"/>
  <c r="J8" i="27"/>
  <c r="H9" i="27"/>
  <c r="I9" i="27"/>
  <c r="J9" i="27"/>
  <c r="H10" i="27"/>
  <c r="I10" i="27"/>
  <c r="J10" i="27"/>
  <c r="H11" i="27"/>
  <c r="I11" i="27"/>
  <c r="J11" i="27"/>
  <c r="H12" i="27"/>
  <c r="I12" i="27"/>
  <c r="J12" i="27"/>
  <c r="H13" i="27"/>
  <c r="I13" i="27"/>
  <c r="J13" i="27"/>
  <c r="H14" i="27"/>
  <c r="I14" i="27"/>
  <c r="J14" i="27"/>
  <c r="H15" i="27"/>
  <c r="I15" i="27"/>
  <c r="J15" i="27"/>
  <c r="H16" i="27"/>
  <c r="I16" i="27"/>
  <c r="J16" i="27"/>
  <c r="H17" i="27"/>
  <c r="I17" i="27"/>
  <c r="J17" i="27"/>
  <c r="H18" i="27"/>
  <c r="I18" i="27"/>
  <c r="J18" i="27"/>
  <c r="H19" i="27"/>
  <c r="I19" i="27"/>
  <c r="J19" i="27"/>
  <c r="H20" i="27"/>
  <c r="I20" i="27"/>
  <c r="J20" i="27"/>
  <c r="I4" i="27"/>
  <c r="J4" i="27"/>
  <c r="H4" i="27"/>
  <c r="B25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H37" i="29"/>
  <c r="H38" i="29"/>
  <c r="B24" i="27"/>
  <c r="L4" i="27"/>
  <c r="M4" i="27"/>
  <c r="L5" i="27"/>
  <c r="M5" i="27"/>
  <c r="L6" i="27"/>
  <c r="M6" i="27"/>
  <c r="L7" i="27"/>
  <c r="M7" i="27"/>
  <c r="L8" i="27"/>
  <c r="M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4" i="27"/>
  <c r="G29" i="29"/>
  <c r="G30" i="29"/>
  <c r="G31" i="29"/>
  <c r="G32" i="29"/>
  <c r="G33" i="29"/>
  <c r="G34" i="29"/>
  <c r="G35" i="29"/>
  <c r="G36" i="29"/>
  <c r="G37" i="29"/>
  <c r="G38" i="29"/>
  <c r="G28" i="29"/>
  <c r="G24" i="29"/>
  <c r="G25" i="29"/>
  <c r="G26" i="29"/>
  <c r="G27" i="29"/>
  <c r="G23" i="29"/>
  <c r="G4" i="29"/>
  <c r="K4" i="29"/>
  <c r="H27" i="29"/>
  <c r="I27" i="29"/>
  <c r="D48" i="29"/>
  <c r="F40" i="29"/>
  <c r="I38" i="29"/>
  <c r="J38" i="29"/>
  <c r="K38" i="29"/>
  <c r="L38" i="29"/>
  <c r="F38" i="29"/>
  <c r="I37" i="29"/>
  <c r="J37" i="29"/>
  <c r="K37" i="29"/>
  <c r="L37" i="29"/>
  <c r="F37" i="29"/>
  <c r="H36" i="29"/>
  <c r="I36" i="29"/>
  <c r="J36" i="29"/>
  <c r="K36" i="29"/>
  <c r="L36" i="29"/>
  <c r="F36" i="29"/>
  <c r="H35" i="29"/>
  <c r="I35" i="29"/>
  <c r="J35" i="29"/>
  <c r="K35" i="29"/>
  <c r="L35" i="29"/>
  <c r="F35" i="29"/>
  <c r="H34" i="29"/>
  <c r="I34" i="29"/>
  <c r="J34" i="29"/>
  <c r="K34" i="29"/>
  <c r="L34" i="29"/>
  <c r="F34" i="29"/>
  <c r="H33" i="29"/>
  <c r="I33" i="29"/>
  <c r="J33" i="29"/>
  <c r="K33" i="29"/>
  <c r="L33" i="29"/>
  <c r="F33" i="29"/>
  <c r="H32" i="29"/>
  <c r="I32" i="29"/>
  <c r="J32" i="29"/>
  <c r="K32" i="29"/>
  <c r="L32" i="29"/>
  <c r="F32" i="29"/>
  <c r="H31" i="29"/>
  <c r="I31" i="29"/>
  <c r="J31" i="29"/>
  <c r="K31" i="29"/>
  <c r="L31" i="29"/>
  <c r="F31" i="29"/>
  <c r="H30" i="29"/>
  <c r="I30" i="29"/>
  <c r="J30" i="29"/>
  <c r="K30" i="29"/>
  <c r="L30" i="29"/>
  <c r="F30" i="29"/>
  <c r="H29" i="29"/>
  <c r="I29" i="29"/>
  <c r="J29" i="29"/>
  <c r="K29" i="29"/>
  <c r="L29" i="29"/>
  <c r="F29" i="29"/>
  <c r="H28" i="29"/>
  <c r="I28" i="29"/>
  <c r="J28" i="29"/>
  <c r="K28" i="29"/>
  <c r="L28" i="29"/>
  <c r="F28" i="29"/>
  <c r="J27" i="29"/>
  <c r="K27" i="29"/>
  <c r="L27" i="29"/>
  <c r="F27" i="29"/>
  <c r="H26" i="29"/>
  <c r="I26" i="29"/>
  <c r="J26" i="29"/>
  <c r="K26" i="29"/>
  <c r="L26" i="29"/>
  <c r="F26" i="29"/>
  <c r="H25" i="29"/>
  <c r="I25" i="29"/>
  <c r="J25" i="29"/>
  <c r="K25" i="29"/>
  <c r="L25" i="29"/>
  <c r="F25" i="29"/>
  <c r="H24" i="29"/>
  <c r="I24" i="29"/>
  <c r="J24" i="29"/>
  <c r="K24" i="29"/>
  <c r="L24" i="29"/>
  <c r="F24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P4" i="29"/>
  <c r="R4" i="29"/>
  <c r="Q4" i="29"/>
  <c r="O20" i="27"/>
  <c r="S20" i="27"/>
  <c r="P20" i="27"/>
  <c r="R20" i="27"/>
  <c r="Q20" i="27"/>
  <c r="N20" i="27"/>
  <c r="O19" i="27"/>
  <c r="S19" i="27"/>
  <c r="P19" i="27"/>
  <c r="R19" i="27"/>
  <c r="Q19" i="27"/>
  <c r="N19" i="27"/>
  <c r="O18" i="27"/>
  <c r="S18" i="27"/>
  <c r="P18" i="27"/>
  <c r="R18" i="27"/>
  <c r="Q18" i="27"/>
  <c r="N18" i="27"/>
  <c r="O17" i="27"/>
  <c r="S17" i="27"/>
  <c r="P17" i="27"/>
  <c r="R17" i="27"/>
  <c r="Q17" i="27"/>
  <c r="N17" i="27"/>
  <c r="O16" i="27"/>
  <c r="S16" i="27"/>
  <c r="P16" i="27"/>
  <c r="R16" i="27"/>
  <c r="Q16" i="27"/>
  <c r="N16" i="27"/>
  <c r="O15" i="27"/>
  <c r="S15" i="27"/>
  <c r="P15" i="27"/>
  <c r="R15" i="27"/>
  <c r="Q15" i="27"/>
  <c r="N15" i="27"/>
  <c r="O14" i="27"/>
  <c r="S14" i="27"/>
  <c r="P14" i="27"/>
  <c r="R14" i="27"/>
  <c r="Q14" i="27"/>
  <c r="N14" i="27"/>
  <c r="O13" i="27"/>
  <c r="S13" i="27"/>
  <c r="P13" i="27"/>
  <c r="R13" i="27"/>
  <c r="Q13" i="27"/>
  <c r="N13" i="27"/>
  <c r="O12" i="27"/>
  <c r="S12" i="27"/>
  <c r="P12" i="27"/>
  <c r="R12" i="27"/>
  <c r="Q12" i="27"/>
  <c r="N12" i="27"/>
  <c r="O11" i="27"/>
  <c r="S11" i="27"/>
  <c r="P11" i="27"/>
  <c r="R11" i="27"/>
  <c r="Q11" i="27"/>
  <c r="N11" i="27"/>
  <c r="O10" i="27"/>
  <c r="S10" i="27"/>
  <c r="P10" i="27"/>
  <c r="R10" i="27"/>
  <c r="Q10" i="27"/>
  <c r="N10" i="27"/>
  <c r="O9" i="27"/>
  <c r="S9" i="27"/>
  <c r="P9" i="27"/>
  <c r="R9" i="27"/>
  <c r="Q9" i="27"/>
  <c r="N9" i="27"/>
  <c r="O8" i="27"/>
  <c r="S8" i="27"/>
  <c r="P8" i="27"/>
  <c r="R8" i="27"/>
  <c r="Q8" i="27"/>
  <c r="N8" i="27"/>
  <c r="O7" i="27"/>
  <c r="S7" i="27"/>
  <c r="P7" i="27"/>
  <c r="R7" i="27"/>
  <c r="Q7" i="27"/>
  <c r="N7" i="27"/>
  <c r="O6" i="27"/>
  <c r="S6" i="27"/>
  <c r="P6" i="27"/>
  <c r="R6" i="27"/>
  <c r="Q6" i="27"/>
  <c r="N6" i="27"/>
  <c r="O5" i="27"/>
  <c r="S5" i="27"/>
  <c r="P5" i="27"/>
  <c r="R5" i="27"/>
  <c r="Q5" i="27"/>
  <c r="N5" i="27"/>
  <c r="O4" i="27"/>
  <c r="S4" i="27"/>
  <c r="P4" i="27"/>
  <c r="R4" i="27"/>
  <c r="Q4" i="27"/>
  <c r="N4" i="27"/>
  <c r="P20" i="23"/>
  <c r="P19" i="23"/>
  <c r="O19" i="23"/>
  <c r="H4" i="8"/>
  <c r="H20" i="8"/>
  <c r="B2" i="23"/>
  <c r="T4" i="8"/>
  <c r="T20" i="8"/>
  <c r="B4" i="23"/>
  <c r="P20" i="8"/>
  <c r="P4" i="8"/>
  <c r="B3" i="23"/>
  <c r="L20" i="8"/>
  <c r="L4" i="8"/>
  <c r="B5" i="23"/>
  <c r="B12" i="23"/>
  <c r="I4" i="8"/>
  <c r="I20" i="8"/>
  <c r="C2" i="23"/>
  <c r="G24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1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2" i="19"/>
  <c r="G23" i="19"/>
  <c r="G24" i="19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5" i="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F3" i="2"/>
  <c r="I4" i="2"/>
  <c r="I3" i="2"/>
  <c r="J3" i="2"/>
  <c r="K3" i="2"/>
  <c r="H4" i="22"/>
  <c r="U4" i="22"/>
  <c r="L4" i="22"/>
  <c r="V4" i="22"/>
  <c r="P4" i="22"/>
  <c r="W4" i="22"/>
  <c r="X4" i="22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L41" i="8"/>
  <c r="L25" i="8"/>
  <c r="B6" i="23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B8" i="23"/>
  <c r="D25" i="23"/>
  <c r="C25" i="23"/>
  <c r="C24" i="23"/>
  <c r="C20" i="23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D95" i="17"/>
  <c r="E95" i="17"/>
  <c r="F95" i="17"/>
  <c r="G95" i="17"/>
  <c r="D96" i="17"/>
  <c r="E96" i="17"/>
  <c r="F96" i="17"/>
  <c r="G96" i="17"/>
  <c r="D97" i="17"/>
  <c r="E97" i="17"/>
  <c r="F97" i="17"/>
  <c r="G97" i="17"/>
  <c r="D98" i="17"/>
  <c r="E98" i="17"/>
  <c r="F98" i="17"/>
  <c r="G98" i="17"/>
  <c r="D99" i="17"/>
  <c r="E99" i="17"/>
  <c r="F99" i="17"/>
  <c r="G99" i="17"/>
  <c r="D100" i="17"/>
  <c r="E100" i="17"/>
  <c r="F100" i="17"/>
  <c r="G100" i="17"/>
  <c r="D101" i="17"/>
  <c r="E101" i="17"/>
  <c r="F101" i="17"/>
  <c r="G101" i="17"/>
  <c r="B7" i="23"/>
  <c r="N6" i="23"/>
  <c r="C21" i="23"/>
  <c r="C18" i="23"/>
  <c r="C19" i="23"/>
  <c r="C22" i="23"/>
  <c r="C23" i="23"/>
  <c r="B28" i="23"/>
  <c r="N7" i="23"/>
  <c r="N12" i="23"/>
  <c r="L8" i="23"/>
  <c r="L10" i="23"/>
  <c r="L12" i="23"/>
  <c r="N11" i="23"/>
  <c r="L9" i="23"/>
  <c r="L11" i="23"/>
  <c r="J28" i="23"/>
  <c r="L26" i="23"/>
  <c r="K26" i="23"/>
  <c r="F20" i="2"/>
  <c r="H20" i="22"/>
  <c r="U20" i="22"/>
  <c r="L20" i="22"/>
  <c r="V20" i="22"/>
  <c r="X20" i="2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19" i="2"/>
  <c r="D19" i="2"/>
  <c r="C4" i="2"/>
  <c r="C5" i="2"/>
  <c r="C6" i="2"/>
  <c r="C7" i="2"/>
  <c r="C8" i="2"/>
  <c r="C9" i="2"/>
  <c r="C10" i="2"/>
  <c r="C11" i="2"/>
  <c r="C12" i="2"/>
  <c r="C13" i="2"/>
  <c r="D13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D20" i="2"/>
  <c r="C3" i="2"/>
  <c r="H19" i="8"/>
  <c r="L40" i="8"/>
  <c r="L19" i="8"/>
  <c r="T19" i="8"/>
  <c r="I20" i="4"/>
  <c r="J20" i="4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7" i="18"/>
  <c r="H7" i="18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3" i="5"/>
  <c r="G14" i="5"/>
  <c r="G15" i="5"/>
  <c r="G16" i="5"/>
  <c r="G17" i="5"/>
  <c r="G18" i="5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G7" i="19"/>
  <c r="H7" i="19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<sst xmlns="http://schemas.openxmlformats.org/spreadsheetml/2006/main" count="604" uniqueCount="273">
  <si>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</si>
  <si>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</si>
  <si>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</si>
  <si>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</si>
  <si>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</si>
  <si>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</si>
  <si>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</si>
  <si>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</si>
  <si>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</si>
  <si>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</si>
  <si>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</si>
  <si>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</si>
  <si>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</si>
  <si>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</si>
  <si>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</si>
  <si>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</si>
  <si>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</si>
  <si>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</si>
  <si>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</si>
  <si>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</si>
  <si>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</si>
  <si>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</si>
  <si>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</si>
  <si>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</si>
  <si>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</si>
  <si>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</si>
  <si>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</si>
  <si>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</si>
  <si>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</si>
  <si>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</si>
  <si>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</si>
  <si>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</si>
  <si>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</si>
  <si>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</si>
  <si>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</si>
  <si>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</si>
  <si>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</si>
  <si>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</si>
  <si>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</si>
  <si>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</si>
  <si>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</si>
  <si>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</si>
  <si>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</si>
  <si>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</si>
  <si>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</si>
  <si>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</si>
  <si>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</si>
  <si>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</si>
  <si>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</si>
  <si>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</si>
  <si>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</si>
  <si>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</si>
  <si>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</si>
  <si>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</si>
  <si>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</si>
  <si>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</si>
  <si>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</si>
  <si>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</si>
  <si>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</si>
  <si>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</si>
  <si>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</si>
  <si>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</si>
  <si>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</si>
  <si>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</si>
  <si>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</si>
  <si>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</si>
  <si>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</si>
  <si>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</si>
  <si>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</si>
  <si>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</si>
  <si>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</si>
  <si>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</si>
  <si>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</si>
  <si>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</si>
  <si>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</si>
  <si>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</si>
  <si>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</si>
  <si>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</si>
  <si>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</si>
  <si>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</si>
  <si>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</si>
  <si>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</si>
  <si>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</si>
  <si>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</si>
  <si>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</si>
  <si>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</si>
  <si>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</si>
  <si>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</si>
  <si>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</si>
  <si>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</si>
  <si>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</si>
  <si>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</si>
  <si>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</si>
  <si>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</si>
  <si>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</si>
  <si>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</si>
  <si>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</si>
  <si>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</si>
  <si>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</si>
  <si>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</si>
  <si>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</si>
  <si>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</si>
  <si>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</si>
  <si>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</si>
  <si>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</si>
  <si>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</si>
  <si>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</si>
  <si>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</si>
  <si>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</si>
  <si>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</si>
  <si>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</si>
  <si>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</si>
  <si>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</si>
  <si>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</si>
  <si>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</si>
  <si>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</si>
  <si>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</si>
  <si>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</si>
  <si>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</si>
  <si>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</si>
  <si>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</si>
  <si>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</si>
  <si>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</si>
  <si>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</si>
  <si>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</si>
  <si>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</si>
  <si>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</si>
  <si>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</si>
  <si>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</si>
  <si>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</si>
  <si>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</si>
  <si>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</si>
  <si>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</si>
  <si>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</si>
  <si>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</si>
  <si>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 mol CO2 geproduceerd</t>
  </si>
  <si>
    <t>2x-z-f</t>
  </si>
  <si>
    <t>y mol acetaat verbruikt</t>
  </si>
  <si>
    <t>y</t>
  </si>
  <si>
    <t>LN(Count/mL)</t>
  </si>
  <si>
    <t>(2x-2+y)/2 mol butyraat gevormd</t>
  </si>
  <si>
    <t>2x-z+y mol acetyl-CoA gevormd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</si>
  <si>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</si>
  <si>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</si>
  <si>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</si>
  <si>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</si>
  <si>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</si>
  <si>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</si>
  <si>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</si>
  <si>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</si>
  <si>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</si>
  <si>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x mol D-Fructose consumed</t>
  </si>
  <si>
    <t>total amount</t>
  </si>
  <si>
    <t>LOG</t>
  </si>
  <si>
    <t>STDEV LOG(Count/mL)</t>
  </si>
  <si>
    <t>mol H2 geproduceerd</t>
  </si>
  <si>
    <t>mol H2 vrijgekomen</t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</si>
  <si>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 xml:space="preserve">DSM 17677T </t>
    </r>
  </si>
  <si>
    <r>
      <rPr>
        <i/>
        <sz val="11"/>
        <color theme="1"/>
        <rFont val="Calibri"/>
        <family val="2"/>
        <scheme val="minor"/>
      </rPr>
      <t>Blautia hydrogenotrophic</t>
    </r>
    <r>
      <rPr>
        <sz val="11"/>
        <color theme="1"/>
        <rFont val="Calibri"/>
        <family val="2"/>
        <scheme val="minor"/>
      </rPr>
      <t>a DSM 10507T</t>
    </r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</si>
  <si>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</si>
  <si>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</si>
  <si>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</si>
  <si>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</si>
  <si>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</si>
  <si>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</si>
  <si>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</si>
  <si>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</si>
  <si>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</si>
  <si>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</si>
  <si>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</si>
  <si>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</si>
  <si>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</si>
  <si>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</si>
  <si>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r>
      <rPr>
        <sz val="11"/>
        <color rgb="FFFF0000"/>
        <rFont val="Calibri"/>
        <scheme val="minor"/>
      </rPr>
      <t>red means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scheme val="minor"/>
      </rPr>
      <t>wrong values</t>
    </r>
  </si>
  <si>
    <t>Na-acetate trihydrate (0 mM)</t>
  </si>
  <si>
    <t>0.00</t>
  </si>
  <si>
    <t>Sodium Formate (50 mM)</t>
  </si>
  <si>
    <t>3.40</t>
  </si>
  <si>
    <r>
      <t>5.10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</si>
  <si>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0.40</t>
  </si>
  <si>
    <t>0.20</t>
  </si>
  <si>
    <r>
      <rPr>
        <sz val="11"/>
        <color theme="1"/>
        <rFont val="Calibri"/>
        <family val="2"/>
        <scheme val="minor"/>
      </rPr>
      <t>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</si>
  <si>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Formic acid consumed</t>
  </si>
  <si>
    <t>Acetic acid produced</t>
  </si>
  <si>
    <t>acetate</t>
  </si>
  <si>
    <t>overschot acetate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</si>
  <si>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</si>
  <si>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</si>
  <si>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</si>
  <si>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</si>
  <si>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</si>
  <si>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</si>
  <si>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</si>
  <si>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</si>
  <si>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</si>
  <si>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</si>
  <si>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</si>
  <si>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</si>
  <si>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</si>
  <si>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</si>
  <si>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</si>
  <si>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</si>
  <si>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</si>
  <si>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</si>
  <si>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</si>
  <si>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</si>
  <si>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</si>
  <si>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</si>
  <si>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</si>
  <si>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</si>
  <si>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</si>
  <si>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</si>
  <si>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</si>
  <si>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Threshold</t>
  </si>
  <si>
    <t>AUTO</t>
  </si>
  <si>
    <t>Ct Threshold</t>
  </si>
  <si>
    <t>baseline</t>
  </si>
  <si>
    <t>Rico</t>
  </si>
  <si>
    <t>intercept</t>
  </si>
  <si>
    <t>Efficiency E (%)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</si>
  <si>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</si>
  <si>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</si>
  <si>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</si>
  <si>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</si>
  <si>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</si>
  <si>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</si>
  <si>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</si>
  <si>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</si>
  <si>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</si>
  <si>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</si>
  <si>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</si>
  <si>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</si>
  <si>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</si>
  <si>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STDV Log (cells/ml medium)</t>
  </si>
  <si>
    <t>Dilution log (10x)</t>
  </si>
  <si>
    <t>IPC BH10 epp</t>
  </si>
  <si>
    <t>Log (cells/ml medium)</t>
  </si>
  <si>
    <t>Outliers</t>
  </si>
  <si>
    <t xml:space="preserve">Dilution per ml </t>
  </si>
  <si>
    <t>B. hydrogenotrophica</t>
  </si>
  <si>
    <t>IPC value  epp 10 plate  20150724</t>
  </si>
  <si>
    <t>Taqman probe BH4O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</si>
  <si>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</si>
  <si>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</si>
  <si>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</si>
  <si>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</si>
  <si>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</si>
  <si>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</si>
  <si>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</si>
  <si>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</si>
  <si>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</si>
  <si>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 xml:space="preserve">Total Average 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</si>
  <si>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</si>
  <si>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</si>
  <si>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</si>
  <si>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</si>
  <si>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</si>
  <si>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</si>
  <si>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</si>
  <si>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</si>
  <si>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</si>
  <si>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</si>
  <si>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>IPC value  epp 3 plate  20160222</t>
  </si>
  <si>
    <t>IPC value  epp 2 plate  20160223</t>
  </si>
  <si>
    <t>IPC value  epp 2 plate  20160224</t>
  </si>
  <si>
    <t>IPC value  epp 2 plate  20160308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</si>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</sst>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62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1" fontId="27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4" fillId="0" borderId="0" xfId="0" applyFont="1"/>
    <xf numFmtId="164" fontId="24" fillId="0" borderId="18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4" fillId="0" borderId="0" xfId="0" applyNumberFormat="1" applyFont="1"/>
    <xf numFmtId="1" fontId="28" fillId="0" borderId="0" xfId="0" applyNumberFormat="1" applyFont="1"/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11" borderId="0" xfId="0" applyFont="1" applyFill="1"/>
    <xf numFmtId="165" fontId="0" fillId="0" borderId="16" xfId="0" applyNumberFormat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18" fillId="0" borderId="21" xfId="0" applyNumberFormat="1" applyFont="1" applyFill="1" applyBorder="1" applyAlignment="1">
      <alignment horizontal="center"/>
    </xf>
    <xf numFmtId="0" fontId="29" fillId="0" borderId="0" xfId="427"/>
    <xf numFmtId="0" fontId="29" fillId="0" borderId="3" xfId="427" applyFill="1" applyBorder="1" applyAlignment="1">
      <alignment horizontal="center" vertical="center"/>
    </xf>
    <xf numFmtId="0" fontId="29" fillId="0" borderId="16" xfId="427" applyFill="1" applyBorder="1" applyAlignment="1">
      <alignment horizontal="center" vertical="center"/>
    </xf>
    <xf numFmtId="11" fontId="29" fillId="0" borderId="16" xfId="427" applyNumberFormat="1" applyFill="1" applyBorder="1" applyAlignment="1">
      <alignment horizontal="center" vertical="center"/>
    </xf>
    <xf numFmtId="0" fontId="0" fillId="0" borderId="16" xfId="427" applyFont="1" applyBorder="1" applyAlignment="1">
      <alignment horizontal="center" vertical="center"/>
    </xf>
    <xf numFmtId="0" fontId="29" fillId="0" borderId="16" xfId="427" applyBorder="1" applyAlignment="1">
      <alignment horizontal="center" vertical="center"/>
    </xf>
    <xf numFmtId="11" fontId="29" fillId="0" borderId="16" xfId="427" applyNumberFormat="1" applyBorder="1" applyAlignment="1">
      <alignment horizontal="center" vertical="center"/>
    </xf>
    <xf numFmtId="2" fontId="29" fillId="0" borderId="16" xfId="427" applyNumberFormat="1" applyBorder="1" applyAlignment="1">
      <alignment horizontal="center" vertical="center"/>
    </xf>
    <xf numFmtId="0" fontId="29" fillId="2" borderId="22" xfId="427" applyFill="1" applyBorder="1" applyAlignment="1">
      <alignment wrapText="1"/>
    </xf>
    <xf numFmtId="0" fontId="0" fillId="2" borderId="22" xfId="427" applyFont="1" applyFill="1" applyBorder="1" applyAlignment="1">
      <alignment wrapText="1"/>
    </xf>
    <xf numFmtId="0" fontId="0" fillId="2" borderId="22" xfId="427" applyFont="1" applyFill="1" applyBorder="1" applyAlignment="1">
      <alignment horizontal="center" vertical="center" wrapText="1"/>
    </xf>
    <xf numFmtId="165" fontId="29" fillId="0" borderId="16" xfId="427" applyNumberFormat="1" applyBorder="1" applyAlignment="1">
      <alignment horizontal="center" vertical="center"/>
    </xf>
    <xf numFmtId="165" fontId="29" fillId="0" borderId="16" xfId="427" applyNumberFormat="1" applyBorder="1"/>
    <xf numFmtId="165" fontId="29" fillId="0" borderId="0" xfId="427" applyNumberFormat="1"/>
    <xf numFmtId="0" fontId="0" fillId="0" borderId="0" xfId="427" applyFont="1"/>
    <xf numFmtId="0" fontId="29" fillId="2" borderId="16" xfId="427" applyFill="1" applyBorder="1"/>
    <xf numFmtId="0" fontId="29" fillId="0" borderId="16" xfId="427" applyBorder="1"/>
    <xf numFmtId="0" fontId="30" fillId="12" borderId="0" xfId="427" applyFont="1" applyFill="1"/>
    <xf numFmtId="165" fontId="25" fillId="0" borderId="18" xfId="0" applyNumberFormat="1" applyFont="1" applyBorder="1" applyAlignment="1">
      <alignment horizontal="center" vertical="center"/>
    </xf>
    <xf numFmtId="0" fontId="0" fillId="0" borderId="16" xfId="427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427" applyFont="1" applyFill="1" applyBorder="1"/>
    <xf numFmtId="165" fontId="0" fillId="0" borderId="0" xfId="0" applyNumberFormat="1"/>
    <xf numFmtId="2" fontId="29" fillId="0" borderId="16" xfId="427" applyNumberFormat="1" applyBorder="1"/>
    <xf numFmtId="1" fontId="29" fillId="0" borderId="16" xfId="427" applyNumberFormat="1" applyBorder="1"/>
    <xf numFmtId="165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427" applyNumberFormat="1" applyBorder="1" applyAlignment="1">
      <alignment horizontal="center" vertical="center"/>
    </xf>
    <xf numFmtId="165" fontId="29" fillId="0" borderId="0" xfId="427" applyNumberFormat="1" applyBorder="1"/>
    <xf numFmtId="2" fontId="29" fillId="0" borderId="0" xfId="427" applyNumberFormat="1" applyBorder="1"/>
    <xf numFmtId="1" fontId="29" fillId="0" borderId="0" xfId="427" applyNumberFormat="1" applyBorder="1"/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31" fillId="2" borderId="0" xfId="427" applyFont="1" applyFill="1"/>
    <xf numFmtId="1" fontId="29" fillId="0" borderId="0" xfId="427" applyNumberFormat="1"/>
    <xf numFmtId="165" fontId="29" fillId="0" borderId="16" xfId="427" applyNumberFormat="1" applyFont="1" applyBorder="1" applyAlignment="1">
      <alignment horizontal="center" vertical="center"/>
    </xf>
    <xf numFmtId="165" fontId="29" fillId="0" borderId="16" xfId="427" applyNumberFormat="1" applyFont="1" applyBorder="1"/>
    <xf numFmtId="165" fontId="29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3" xfId="427" applyFont="1" applyBorder="1" applyAlignment="1">
      <alignment horizontal="center"/>
    </xf>
    <xf numFmtId="0" fontId="29" fillId="0" borderId="23" xfId="427" applyBorder="1" applyAlignment="1">
      <alignment horizontal="center"/>
    </xf>
    <xf numFmtId="0" fontId="29" fillId="0" borderId="17" xfId="427" applyNumberFormat="1" applyFill="1" applyBorder="1" applyAlignment="1">
      <alignment horizontal="center" vertical="center"/>
    </xf>
    <xf numFmtId="0" fontId="29" fillId="0" borderId="5" xfId="427" applyNumberFormat="1" applyFill="1" applyBorder="1" applyAlignment="1">
      <alignment horizontal="center" vertical="center"/>
    </xf>
    <xf numFmtId="0" fontId="29" fillId="0" borderId="18" xfId="427" applyNumberFormat="1" applyFill="1" applyBorder="1" applyAlignment="1">
      <alignment horizontal="center" vertical="center"/>
    </xf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0" fillId="2" borderId="4" xfId="427" applyFont="1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427" applyFont="1" applyFill="1"/>
  </cellXfs>
  <cellStyles count="462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Input" xfId="10"/>
    <cellStyle name="Linked Cell" xfId="11"/>
    <cellStyle name="Neutral" xfId="12"/>
    <cellStyle name="Normal" xfId="0" builtinId="0"/>
    <cellStyle name="Normal 2" xfId="42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35512"/>
        <c:axId val="-2090971640"/>
      </c:scatterChart>
      <c:valAx>
        <c:axId val="-210993551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0971640"/>
        <c:crosses val="autoZero"/>
        <c:crossBetween val="midCat"/>
        <c:majorUnit val="2.0"/>
      </c:valAx>
      <c:valAx>
        <c:axId val="-2090971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993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7767522912095"/>
          <c:y val="0.044999011629822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0.0384558349815469</c:v>
                  </c:pt>
                  <c:pt idx="1">
                    <c:v>0.0128186116605156</c:v>
                  </c:pt>
                  <c:pt idx="2">
                    <c:v>0.0222024866785079</c:v>
                  </c:pt>
                  <c:pt idx="3">
                    <c:v>0.022202486678508</c:v>
                  </c:pt>
                  <c:pt idx="4">
                    <c:v>0.0128186116605156</c:v>
                  </c:pt>
                  <c:pt idx="5">
                    <c:v>0.0256372233210314</c:v>
                  </c:pt>
                  <c:pt idx="6">
                    <c:v>0.022202486678508</c:v>
                  </c:pt>
                  <c:pt idx="7">
                    <c:v>0.0587422582385566</c:v>
                  </c:pt>
                  <c:pt idx="8">
                    <c:v>0.0222222046950964</c:v>
                  </c:pt>
                  <c:pt idx="9">
                    <c:v>0.033976350813118</c:v>
                  </c:pt>
                  <c:pt idx="10">
                    <c:v>0.0128542491413721</c:v>
                  </c:pt>
                  <c:pt idx="11">
                    <c:v>0.051468880517623</c:v>
                  </c:pt>
                  <c:pt idx="12">
                    <c:v>0.0257617302272726</c:v>
                  </c:pt>
                  <c:pt idx="13">
                    <c:v>0.046442619639551</c:v>
                  </c:pt>
                  <c:pt idx="14">
                    <c:v>0.046442619639551</c:v>
                  </c:pt>
                  <c:pt idx="15">
                    <c:v>0.0819606426618507</c:v>
                  </c:pt>
                  <c:pt idx="16">
                    <c:v>0.0349095706507308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0.0384558349815469</c:v>
                  </c:pt>
                  <c:pt idx="1">
                    <c:v>0.0128186116605156</c:v>
                  </c:pt>
                  <c:pt idx="2">
                    <c:v>0.0222024866785079</c:v>
                  </c:pt>
                  <c:pt idx="3">
                    <c:v>0.022202486678508</c:v>
                  </c:pt>
                  <c:pt idx="4">
                    <c:v>0.0128186116605156</c:v>
                  </c:pt>
                  <c:pt idx="5">
                    <c:v>0.0256372233210314</c:v>
                  </c:pt>
                  <c:pt idx="6">
                    <c:v>0.022202486678508</c:v>
                  </c:pt>
                  <c:pt idx="7">
                    <c:v>0.0587422582385566</c:v>
                  </c:pt>
                  <c:pt idx="8">
                    <c:v>0.0222222046950964</c:v>
                  </c:pt>
                  <c:pt idx="9">
                    <c:v>0.033976350813118</c:v>
                  </c:pt>
                  <c:pt idx="10">
                    <c:v>0.0128542491413721</c:v>
                  </c:pt>
                  <c:pt idx="11">
                    <c:v>0.051468880517623</c:v>
                  </c:pt>
                  <c:pt idx="12">
                    <c:v>0.0257617302272726</c:v>
                  </c:pt>
                  <c:pt idx="13">
                    <c:v>0.046442619639551</c:v>
                  </c:pt>
                  <c:pt idx="14">
                    <c:v>0.046442619639551</c:v>
                  </c:pt>
                  <c:pt idx="15">
                    <c:v>0.0819606426618507</c:v>
                  </c:pt>
                  <c:pt idx="16">
                    <c:v>0.0349095706507308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0.754884547069272</c:v>
                </c:pt>
                <c:pt idx="1">
                  <c:v>0.784487862640616</c:v>
                </c:pt>
                <c:pt idx="2">
                  <c:v>0.799289520426288</c:v>
                </c:pt>
                <c:pt idx="3">
                  <c:v>0.821492007104796</c:v>
                </c:pt>
                <c:pt idx="4">
                  <c:v>0.784487862640616</c:v>
                </c:pt>
                <c:pt idx="5">
                  <c:v>0.814091178211959</c:v>
                </c:pt>
                <c:pt idx="6">
                  <c:v>0.843694493783304</c:v>
                </c:pt>
                <c:pt idx="7">
                  <c:v>0.88809946714032</c:v>
                </c:pt>
                <c:pt idx="8">
                  <c:v>0.866665983108758</c:v>
                </c:pt>
                <c:pt idx="9">
                  <c:v>1.037994662929917</c:v>
                </c:pt>
                <c:pt idx="10">
                  <c:v>1.053839396684239</c:v>
                </c:pt>
                <c:pt idx="11">
                  <c:v>1.218338452891271</c:v>
                </c:pt>
                <c:pt idx="12">
                  <c:v>1.546848355676661</c:v>
                </c:pt>
                <c:pt idx="13">
                  <c:v>2.082295863410889</c:v>
                </c:pt>
                <c:pt idx="14">
                  <c:v>4.588487670444709</c:v>
                </c:pt>
                <c:pt idx="15">
                  <c:v>5.592020901774759</c:v>
                </c:pt>
                <c:pt idx="16">
                  <c:v>6.779924642237644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0.0576869544569151</c:v>
                  </c:pt>
                  <c:pt idx="1">
                    <c:v>0.0508751117952354</c:v>
                  </c:pt>
                  <c:pt idx="2">
                    <c:v>0.0838172016127755</c:v>
                  </c:pt>
                  <c:pt idx="3">
                    <c:v>0.10706245640847</c:v>
                  </c:pt>
                  <c:pt idx="4">
                    <c:v>0.0666111573688592</c:v>
                  </c:pt>
                  <c:pt idx="5">
                    <c:v>0.0693310907399212</c:v>
                  </c:pt>
                  <c:pt idx="6">
                    <c:v>0.0333055786844294</c:v>
                  </c:pt>
                  <c:pt idx="7">
                    <c:v>0.0508751117952356</c:v>
                  </c:pt>
                  <c:pt idx="8">
                    <c:v>0.0192460620701431</c:v>
                  </c:pt>
                  <c:pt idx="9">
                    <c:v>0.0333659661841538</c:v>
                  </c:pt>
                  <c:pt idx="10">
                    <c:v>0.395642672555797</c:v>
                  </c:pt>
                  <c:pt idx="11">
                    <c:v>0.217521383624497</c:v>
                  </c:pt>
                  <c:pt idx="12">
                    <c:v>0.139335592910267</c:v>
                  </c:pt>
                  <c:pt idx="13">
                    <c:v>0.100401980634262</c:v>
                  </c:pt>
                  <c:pt idx="14">
                    <c:v>0.135256591274846</c:v>
                  </c:pt>
                  <c:pt idx="15">
                    <c:v>0.29134694918066</c:v>
                  </c:pt>
                  <c:pt idx="16">
                    <c:v>0.332969206407353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0.0576869544569151</c:v>
                  </c:pt>
                  <c:pt idx="1">
                    <c:v>0.0508751117952354</c:v>
                  </c:pt>
                  <c:pt idx="2">
                    <c:v>0.0838172016127755</c:v>
                  </c:pt>
                  <c:pt idx="3">
                    <c:v>0.10706245640847</c:v>
                  </c:pt>
                  <c:pt idx="4">
                    <c:v>0.0666111573688592</c:v>
                  </c:pt>
                  <c:pt idx="5">
                    <c:v>0.0693310907399212</c:v>
                  </c:pt>
                  <c:pt idx="6">
                    <c:v>0.0333055786844294</c:v>
                  </c:pt>
                  <c:pt idx="7">
                    <c:v>0.0508751117952356</c:v>
                  </c:pt>
                  <c:pt idx="8">
                    <c:v>0.0192460620701431</c:v>
                  </c:pt>
                  <c:pt idx="9">
                    <c:v>0.0333659661841538</c:v>
                  </c:pt>
                  <c:pt idx="10">
                    <c:v>0.395642672555797</c:v>
                  </c:pt>
                  <c:pt idx="11">
                    <c:v>0.217521383624497</c:v>
                  </c:pt>
                  <c:pt idx="12">
                    <c:v>0.139335592910267</c:v>
                  </c:pt>
                  <c:pt idx="13">
                    <c:v>0.100401980634262</c:v>
                  </c:pt>
                  <c:pt idx="14">
                    <c:v>0.135256591274846</c:v>
                  </c:pt>
                  <c:pt idx="15">
                    <c:v>0.29134694918066</c:v>
                  </c:pt>
                  <c:pt idx="16">
                    <c:v>0.332969206407353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1.232306411323897</c:v>
                </c:pt>
                <c:pt idx="1">
                  <c:v>1.187898973077991</c:v>
                </c:pt>
                <c:pt idx="2">
                  <c:v>1.287815709131279</c:v>
                </c:pt>
                <c:pt idx="3">
                  <c:v>1.354426866500139</c:v>
                </c:pt>
                <c:pt idx="4">
                  <c:v>1.398834304746045</c:v>
                </c:pt>
                <c:pt idx="5">
                  <c:v>1.554260338606717</c:v>
                </c:pt>
                <c:pt idx="6">
                  <c:v>2.331390507910075</c:v>
                </c:pt>
                <c:pt idx="7">
                  <c:v>3.252844851512629</c:v>
                </c:pt>
                <c:pt idx="8">
                  <c:v>5.144725951188298</c:v>
                </c:pt>
                <c:pt idx="9">
                  <c:v>8.341491546038444</c:v>
                </c:pt>
                <c:pt idx="10">
                  <c:v>11.37764417165146</c:v>
                </c:pt>
                <c:pt idx="11">
                  <c:v>13.79622008707376</c:v>
                </c:pt>
                <c:pt idx="12">
                  <c:v>15.87466871583938</c:v>
                </c:pt>
                <c:pt idx="13">
                  <c:v>17.3360753228492</c:v>
                </c:pt>
                <c:pt idx="14">
                  <c:v>19.29949183303031</c:v>
                </c:pt>
                <c:pt idx="15">
                  <c:v>20.28925079269733</c:v>
                </c:pt>
                <c:pt idx="16">
                  <c:v>20.14663592241275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0.125429126480478</c:v>
                  </c:pt>
                  <c:pt idx="1">
                    <c:v>0.109346577380992</c:v>
                  </c:pt>
                  <c:pt idx="2">
                    <c:v>0.264295569424213</c:v>
                  </c:pt>
                  <c:pt idx="3">
                    <c:v>0.217249619813165</c:v>
                  </c:pt>
                  <c:pt idx="4">
                    <c:v>0.0904482293924029</c:v>
                  </c:pt>
                  <c:pt idx="5">
                    <c:v>0.23930352149842</c:v>
                  </c:pt>
                  <c:pt idx="6">
                    <c:v>0.19911256549884</c:v>
                  </c:pt>
                  <c:pt idx="7">
                    <c:v>0.807436301818603</c:v>
                  </c:pt>
                  <c:pt idx="8">
                    <c:v>0.279592013385331</c:v>
                  </c:pt>
                  <c:pt idx="9">
                    <c:v>0.584539343332099</c:v>
                  </c:pt>
                  <c:pt idx="10">
                    <c:v>0.963494350958974</c:v>
                  </c:pt>
                  <c:pt idx="11">
                    <c:v>0.19986760490576</c:v>
                  </c:pt>
                  <c:pt idx="12">
                    <c:v>0.190313616795787</c:v>
                  </c:pt>
                  <c:pt idx="13">
                    <c:v>0.265579118085867</c:v>
                  </c:pt>
                  <c:pt idx="14">
                    <c:v>0.176453580405268</c:v>
                  </c:pt>
                  <c:pt idx="15">
                    <c:v>0.128419347380229</c:v>
                  </c:pt>
                  <c:pt idx="16">
                    <c:v>0.0931010472669645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0.125429126480478</c:v>
                  </c:pt>
                  <c:pt idx="1">
                    <c:v>0.109346577380992</c:v>
                  </c:pt>
                  <c:pt idx="2">
                    <c:v>0.264295569424213</c:v>
                  </c:pt>
                  <c:pt idx="3">
                    <c:v>0.217249619813165</c:v>
                  </c:pt>
                  <c:pt idx="4">
                    <c:v>0.0904482293924029</c:v>
                  </c:pt>
                  <c:pt idx="5">
                    <c:v>0.23930352149842</c:v>
                  </c:pt>
                  <c:pt idx="6">
                    <c:v>0.19911256549884</c:v>
                  </c:pt>
                  <c:pt idx="7">
                    <c:v>0.807436301818603</c:v>
                  </c:pt>
                  <c:pt idx="8">
                    <c:v>0.279592013385331</c:v>
                  </c:pt>
                  <c:pt idx="9">
                    <c:v>0.584539343332099</c:v>
                  </c:pt>
                  <c:pt idx="10">
                    <c:v>0.963494350958974</c:v>
                  </c:pt>
                  <c:pt idx="11">
                    <c:v>0.19986760490576</c:v>
                  </c:pt>
                  <c:pt idx="12">
                    <c:v>0.190313616795787</c:v>
                  </c:pt>
                  <c:pt idx="13">
                    <c:v>0.265579118085867</c:v>
                  </c:pt>
                  <c:pt idx="14">
                    <c:v>0.176453580405268</c:v>
                  </c:pt>
                  <c:pt idx="15">
                    <c:v>0.128419347380229</c:v>
                  </c:pt>
                  <c:pt idx="16">
                    <c:v>0.0931010472669645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47.54870012310812</c:v>
                </c:pt>
                <c:pt idx="1">
                  <c:v>47.38938373524513</c:v>
                </c:pt>
                <c:pt idx="2">
                  <c:v>47.27351727134477</c:v>
                </c:pt>
                <c:pt idx="3">
                  <c:v>47.7080165109711</c:v>
                </c:pt>
                <c:pt idx="4">
                  <c:v>47.5052501991455</c:v>
                </c:pt>
                <c:pt idx="5">
                  <c:v>45.1589543051633</c:v>
                </c:pt>
                <c:pt idx="6">
                  <c:v>46.36106886812949</c:v>
                </c:pt>
                <c:pt idx="7">
                  <c:v>45.9410529364907</c:v>
                </c:pt>
                <c:pt idx="8">
                  <c:v>43.8654122526985</c:v>
                </c:pt>
                <c:pt idx="9">
                  <c:v>42.0632381408509</c:v>
                </c:pt>
                <c:pt idx="10">
                  <c:v>38.90865354102105</c:v>
                </c:pt>
                <c:pt idx="11">
                  <c:v>36.8544105733522</c:v>
                </c:pt>
                <c:pt idx="12">
                  <c:v>34.9724113882759</c:v>
                </c:pt>
                <c:pt idx="13">
                  <c:v>34.05553168895781</c:v>
                </c:pt>
                <c:pt idx="14">
                  <c:v>28.05942952833788</c:v>
                </c:pt>
                <c:pt idx="15">
                  <c:v>23.78505668514525</c:v>
                </c:pt>
                <c:pt idx="16">
                  <c:v>11.15125791450201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0.00663186880887637</c:v>
                </c:pt>
                <c:pt idx="1">
                  <c:v>0.0225005503726814</c:v>
                </c:pt>
                <c:pt idx="2">
                  <c:v>0.0417965378265514</c:v>
                </c:pt>
                <c:pt idx="3">
                  <c:v>0.0608962689375546</c:v>
                </c:pt>
                <c:pt idx="4">
                  <c:v>0.0820705731948626</c:v>
                </c:pt>
                <c:pt idx="5">
                  <c:v>0.107717288257502</c:v>
                </c:pt>
                <c:pt idx="6">
                  <c:v>0.136403902380548</c:v>
                </c:pt>
                <c:pt idx="7">
                  <c:v>0.168364327595416</c:v>
                </c:pt>
                <c:pt idx="8">
                  <c:v>0.203672598815189</c:v>
                </c:pt>
                <c:pt idx="9">
                  <c:v>0.243315422726279</c:v>
                </c:pt>
                <c:pt idx="10">
                  <c:v>0.288131117072934</c:v>
                </c:pt>
                <c:pt idx="11">
                  <c:v>0.339334556484898</c:v>
                </c:pt>
                <c:pt idx="12">
                  <c:v>0.397541315735166</c:v>
                </c:pt>
                <c:pt idx="13">
                  <c:v>0.462146350878897</c:v>
                </c:pt>
                <c:pt idx="14">
                  <c:v>0.533149661916092</c:v>
                </c:pt>
                <c:pt idx="15">
                  <c:v>0.612190866878702</c:v>
                </c:pt>
                <c:pt idx="16">
                  <c:v>0.701821936456006</c:v>
                </c:pt>
                <c:pt idx="17">
                  <c:v>0.80415446125085</c:v>
                </c:pt>
                <c:pt idx="18">
                  <c:v>0.921522774837331</c:v>
                </c:pt>
                <c:pt idx="19">
                  <c:v>1.058648836736428</c:v>
                </c:pt>
                <c:pt idx="20">
                  <c:v>1.220673605783238</c:v>
                </c:pt>
                <c:pt idx="21">
                  <c:v>1.412648050099543</c:v>
                </c:pt>
                <c:pt idx="22">
                  <c:v>1.638482298090463</c:v>
                </c:pt>
                <c:pt idx="23">
                  <c:v>1.902118070645576</c:v>
                </c:pt>
                <c:pt idx="24">
                  <c:v>2.208404973687724</c:v>
                </c:pt>
                <c:pt idx="25">
                  <c:v>2.561884347079246</c:v>
                </c:pt>
                <c:pt idx="26">
                  <c:v>2.96045513104545</c:v>
                </c:pt>
                <c:pt idx="27">
                  <c:v>3.396965616805866</c:v>
                </c:pt>
                <c:pt idx="28">
                  <c:v>3.86709178249733</c:v>
                </c:pt>
                <c:pt idx="29">
                  <c:v>4.362334292451685</c:v>
                </c:pt>
                <c:pt idx="30">
                  <c:v>4.87099435393804</c:v>
                </c:pt>
                <c:pt idx="31">
                  <c:v>5.387899096520831</c:v>
                </c:pt>
                <c:pt idx="32">
                  <c:v>5.909419532995047</c:v>
                </c:pt>
                <c:pt idx="33">
                  <c:v>6.430154624981791</c:v>
                </c:pt>
                <c:pt idx="34">
                  <c:v>6.944735564818636</c:v>
                </c:pt>
                <c:pt idx="35">
                  <c:v>7.295116640920899</c:v>
                </c:pt>
                <c:pt idx="36">
                  <c:v>7.634090596320529</c:v>
                </c:pt>
                <c:pt idx="37">
                  <c:v>8.108163907873651</c:v>
                </c:pt>
                <c:pt idx="38">
                  <c:v>8.553407322217633</c:v>
                </c:pt>
                <c:pt idx="39">
                  <c:v>8.969274193636493</c:v>
                </c:pt>
                <c:pt idx="40">
                  <c:v>9.357822820360297</c:v>
                </c:pt>
                <c:pt idx="41">
                  <c:v>9.720024272391228</c:v>
                </c:pt>
                <c:pt idx="42">
                  <c:v>10.06047860693648</c:v>
                </c:pt>
                <c:pt idx="43">
                  <c:v>10.38207190914222</c:v>
                </c:pt>
                <c:pt idx="44">
                  <c:v>10.68520211666626</c:v>
                </c:pt>
                <c:pt idx="45">
                  <c:v>10.96958776919248</c:v>
                </c:pt>
                <c:pt idx="46">
                  <c:v>11.23530322074997</c:v>
                </c:pt>
                <c:pt idx="47">
                  <c:v>11.48739943946052</c:v>
                </c:pt>
                <c:pt idx="48">
                  <c:v>11.73358020479266</c:v>
                </c:pt>
                <c:pt idx="49">
                  <c:v>11.97310803965961</c:v>
                </c:pt>
                <c:pt idx="50">
                  <c:v>12.2031230264276</c:v>
                </c:pt>
                <c:pt idx="51">
                  <c:v>12.42608682595659</c:v>
                </c:pt>
                <c:pt idx="52">
                  <c:v>12.64420676365082</c:v>
                </c:pt>
                <c:pt idx="53">
                  <c:v>12.85854932519787</c:v>
                </c:pt>
                <c:pt idx="54">
                  <c:v>13.06935289025323</c:v>
                </c:pt>
                <c:pt idx="55">
                  <c:v>13.27656991053219</c:v>
                </c:pt>
                <c:pt idx="56">
                  <c:v>13.48240771143901</c:v>
                </c:pt>
                <c:pt idx="57">
                  <c:v>13.68627177985699</c:v>
                </c:pt>
                <c:pt idx="58">
                  <c:v>13.88689394878362</c:v>
                </c:pt>
                <c:pt idx="59">
                  <c:v>14.08745261362532</c:v>
                </c:pt>
                <c:pt idx="60">
                  <c:v>14.29273866296008</c:v>
                </c:pt>
                <c:pt idx="61">
                  <c:v>14.502279805101</c:v>
                </c:pt>
                <c:pt idx="62">
                  <c:v>14.70688677557784</c:v>
                </c:pt>
                <c:pt idx="63">
                  <c:v>14.90275539249903</c:v>
                </c:pt>
                <c:pt idx="64">
                  <c:v>15.0927561043265</c:v>
                </c:pt>
                <c:pt idx="65">
                  <c:v>15.27879371449208</c:v>
                </c:pt>
                <c:pt idx="66">
                  <c:v>15.46165867333932</c:v>
                </c:pt>
                <c:pt idx="67">
                  <c:v>15.64154723721108</c:v>
                </c:pt>
                <c:pt idx="68">
                  <c:v>15.8207832088533</c:v>
                </c:pt>
                <c:pt idx="69">
                  <c:v>15.99892620817957</c:v>
                </c:pt>
                <c:pt idx="70">
                  <c:v>16.17453319261678</c:v>
                </c:pt>
                <c:pt idx="71">
                  <c:v>16.34996498236744</c:v>
                </c:pt>
                <c:pt idx="72">
                  <c:v>16.52424540157327</c:v>
                </c:pt>
                <c:pt idx="73">
                  <c:v>16.69645667260488</c:v>
                </c:pt>
                <c:pt idx="74">
                  <c:v>16.86768634280615</c:v>
                </c:pt>
                <c:pt idx="75">
                  <c:v>17.03666113931848</c:v>
                </c:pt>
                <c:pt idx="76">
                  <c:v>17.20374198234315</c:v>
                </c:pt>
                <c:pt idx="77">
                  <c:v>17.36749093516315</c:v>
                </c:pt>
                <c:pt idx="78">
                  <c:v>17.52721296312032</c:v>
                </c:pt>
                <c:pt idx="79">
                  <c:v>17.68545493104788</c:v>
                </c:pt>
                <c:pt idx="80">
                  <c:v>17.84348468683233</c:v>
                </c:pt>
                <c:pt idx="81">
                  <c:v>17.9974769869258</c:v>
                </c:pt>
                <c:pt idx="82">
                  <c:v>18.14715611510027</c:v>
                </c:pt>
                <c:pt idx="83">
                  <c:v>18.29596501393003</c:v>
                </c:pt>
                <c:pt idx="84">
                  <c:v>18.44335735681509</c:v>
                </c:pt>
                <c:pt idx="85">
                  <c:v>18.58722155315261</c:v>
                </c:pt>
                <c:pt idx="86">
                  <c:v>18.72630539174031</c:v>
                </c:pt>
                <c:pt idx="87">
                  <c:v>18.86191948200932</c:v>
                </c:pt>
                <c:pt idx="88">
                  <c:v>18.99454122150262</c:v>
                </c:pt>
                <c:pt idx="89">
                  <c:v>19.12459503450641</c:v>
                </c:pt>
                <c:pt idx="90">
                  <c:v>19.25165649673448</c:v>
                </c:pt>
                <c:pt idx="91">
                  <c:v>19.37549233438744</c:v>
                </c:pt>
                <c:pt idx="92">
                  <c:v>19.49593788360687</c:v>
                </c:pt>
                <c:pt idx="93">
                  <c:v>19.61277040142153</c:v>
                </c:pt>
                <c:pt idx="94">
                  <c:v>19.72698744446198</c:v>
                </c:pt>
                <c:pt idx="95">
                  <c:v>19.83833946401257</c:v>
                </c:pt>
                <c:pt idx="96">
                  <c:v>19.95059330539235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0.16125487396019</c:v>
                  </c:pt>
                  <c:pt idx="1">
                    <c:v>0.306509597245095</c:v>
                  </c:pt>
                  <c:pt idx="2">
                    <c:v>0.271091665295918</c:v>
                  </c:pt>
                  <c:pt idx="3">
                    <c:v>0.115545404055628</c:v>
                  </c:pt>
                  <c:pt idx="4">
                    <c:v>0.205398003054735</c:v>
                  </c:pt>
                  <c:pt idx="5">
                    <c:v>0.186531722337601</c:v>
                  </c:pt>
                  <c:pt idx="6">
                    <c:v>0.133830234754479</c:v>
                  </c:pt>
                  <c:pt idx="7">
                    <c:v>0.176343288298457</c:v>
                  </c:pt>
                  <c:pt idx="8">
                    <c:v>0.186697381060814</c:v>
                  </c:pt>
                  <c:pt idx="9">
                    <c:v>0.690451185037286</c:v>
                  </c:pt>
                  <c:pt idx="10">
                    <c:v>1.208042990832848</c:v>
                  </c:pt>
                  <c:pt idx="11">
                    <c:v>0.253209761426641</c:v>
                  </c:pt>
                  <c:pt idx="12">
                    <c:v>0.293234245201217</c:v>
                  </c:pt>
                  <c:pt idx="13">
                    <c:v>0.320666284781251</c:v>
                  </c:pt>
                  <c:pt idx="14">
                    <c:v>0.25339644336749</c:v>
                  </c:pt>
                  <c:pt idx="15">
                    <c:v>0.22388218978151</c:v>
                  </c:pt>
                  <c:pt idx="16">
                    <c:v>0.224792388408912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0.16125487396019</c:v>
                  </c:pt>
                  <c:pt idx="1">
                    <c:v>0.306509597245095</c:v>
                  </c:pt>
                  <c:pt idx="2">
                    <c:v>0.271091665295918</c:v>
                  </c:pt>
                  <c:pt idx="3">
                    <c:v>0.115545404055628</c:v>
                  </c:pt>
                  <c:pt idx="4">
                    <c:v>0.205398003054735</c:v>
                  </c:pt>
                  <c:pt idx="5">
                    <c:v>0.186531722337601</c:v>
                  </c:pt>
                  <c:pt idx="6">
                    <c:v>0.133830234754479</c:v>
                  </c:pt>
                  <c:pt idx="7">
                    <c:v>0.176343288298457</c:v>
                  </c:pt>
                  <c:pt idx="8">
                    <c:v>0.186697381060814</c:v>
                  </c:pt>
                  <c:pt idx="9">
                    <c:v>0.690451185037286</c:v>
                  </c:pt>
                  <c:pt idx="10">
                    <c:v>1.208042990832848</c:v>
                  </c:pt>
                  <c:pt idx="11">
                    <c:v>0.253209761426641</c:v>
                  </c:pt>
                  <c:pt idx="12">
                    <c:v>0.293234245201217</c:v>
                  </c:pt>
                  <c:pt idx="13">
                    <c:v>0.320666284781251</c:v>
                  </c:pt>
                  <c:pt idx="14">
                    <c:v>0.25339644336749</c:v>
                  </c:pt>
                  <c:pt idx="15">
                    <c:v>0.22388218978151</c:v>
                  </c:pt>
                  <c:pt idx="16">
                    <c:v>0.224792388408912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49.91119005328597</c:v>
                </c:pt>
                <c:pt idx="1">
                  <c:v>50.10731201894612</c:v>
                </c:pt>
                <c:pt idx="2">
                  <c:v>49.85938425103611</c:v>
                </c:pt>
                <c:pt idx="3">
                  <c:v>50.60316755476614</c:v>
                </c:pt>
                <c:pt idx="4">
                  <c:v>50.56986382474837</c:v>
                </c:pt>
                <c:pt idx="5">
                  <c:v>48.28300769686206</c:v>
                </c:pt>
                <c:pt idx="6">
                  <c:v>50.41444641799882</c:v>
                </c:pt>
                <c:pt idx="7">
                  <c:v>49.68546477205447</c:v>
                </c:pt>
                <c:pt idx="8">
                  <c:v>48.91477623468963</c:v>
                </c:pt>
                <c:pt idx="9">
                  <c:v>47.79594710412651</c:v>
                </c:pt>
                <c:pt idx="10">
                  <c:v>45.27798703641227</c:v>
                </c:pt>
                <c:pt idx="11">
                  <c:v>43.59645860239284</c:v>
                </c:pt>
                <c:pt idx="12">
                  <c:v>41.77606075968096</c:v>
                </c:pt>
                <c:pt idx="13">
                  <c:v>40.57502225274933</c:v>
                </c:pt>
                <c:pt idx="14">
                  <c:v>37.23591210035115</c:v>
                </c:pt>
                <c:pt idx="15">
                  <c:v>36.83686939563412</c:v>
                </c:pt>
                <c:pt idx="16">
                  <c:v>34.34907888971858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0.0153526709842673</c:v>
                </c:pt>
                <c:pt idx="1">
                  <c:v>0.0550899532327377</c:v>
                </c:pt>
                <c:pt idx="2">
                  <c:v>0.108717716932116</c:v>
                </c:pt>
                <c:pt idx="3">
                  <c:v>0.137960869367291</c:v>
                </c:pt>
                <c:pt idx="4">
                  <c:v>0.173250631858794</c:v>
                </c:pt>
                <c:pt idx="5">
                  <c:v>0.244393715706031</c:v>
                </c:pt>
                <c:pt idx="6">
                  <c:v>0.319283540563999</c:v>
                </c:pt>
                <c:pt idx="7">
                  <c:v>0.401087971010974</c:v>
                </c:pt>
                <c:pt idx="8">
                  <c:v>0.490629688106973</c:v>
                </c:pt>
                <c:pt idx="9">
                  <c:v>0.587512668890211</c:v>
                </c:pt>
                <c:pt idx="10">
                  <c:v>0.690107187924881</c:v>
                </c:pt>
                <c:pt idx="11">
                  <c:v>0.798687365858988</c:v>
                </c:pt>
                <c:pt idx="12">
                  <c:v>0.914943879285229</c:v>
                </c:pt>
                <c:pt idx="13">
                  <c:v>1.03819126702559</c:v>
                </c:pt>
                <c:pt idx="14">
                  <c:v>1.169343158201418</c:v>
                </c:pt>
                <c:pt idx="15">
                  <c:v>1.314477117121491</c:v>
                </c:pt>
                <c:pt idx="16">
                  <c:v>1.473623459806254</c:v>
                </c:pt>
                <c:pt idx="17">
                  <c:v>1.65465637367073</c:v>
                </c:pt>
                <c:pt idx="18">
                  <c:v>1.84881835819899</c:v>
                </c:pt>
                <c:pt idx="19">
                  <c:v>2.056413850059483</c:v>
                </c:pt>
                <c:pt idx="20">
                  <c:v>2.310920032837234</c:v>
                </c:pt>
                <c:pt idx="21">
                  <c:v>2.615520088678741</c:v>
                </c:pt>
                <c:pt idx="22">
                  <c:v>2.95502920161819</c:v>
                </c:pt>
                <c:pt idx="23">
                  <c:v>3.324147173934156</c:v>
                </c:pt>
                <c:pt idx="24">
                  <c:v>3.733276230030592</c:v>
                </c:pt>
                <c:pt idx="25">
                  <c:v>4.157712004406624</c:v>
                </c:pt>
                <c:pt idx="26">
                  <c:v>4.601688847328106</c:v>
                </c:pt>
                <c:pt idx="27">
                  <c:v>5.069486742649558</c:v>
                </c:pt>
                <c:pt idx="28">
                  <c:v>5.52838991757308</c:v>
                </c:pt>
                <c:pt idx="29">
                  <c:v>5.985754634238127</c:v>
                </c:pt>
                <c:pt idx="30">
                  <c:v>6.448678670820385</c:v>
                </c:pt>
                <c:pt idx="31">
                  <c:v>6.916156811905167</c:v>
                </c:pt>
                <c:pt idx="32">
                  <c:v>7.391889845798534</c:v>
                </c:pt>
                <c:pt idx="33">
                  <c:v>7.868125487399243</c:v>
                </c:pt>
                <c:pt idx="34">
                  <c:v>8.324713475708945</c:v>
                </c:pt>
                <c:pt idx="35">
                  <c:v>8.671365681296738</c:v>
                </c:pt>
                <c:pt idx="36">
                  <c:v>8.99504983156502</c:v>
                </c:pt>
                <c:pt idx="37">
                  <c:v>9.394461486203506</c:v>
                </c:pt>
                <c:pt idx="38">
                  <c:v>9.779693540290861</c:v>
                </c:pt>
                <c:pt idx="39">
                  <c:v>10.13097611910629</c:v>
                </c:pt>
                <c:pt idx="40">
                  <c:v>10.45415766166723</c:v>
                </c:pt>
                <c:pt idx="41">
                  <c:v>10.76305269981548</c:v>
                </c:pt>
                <c:pt idx="42">
                  <c:v>11.06028117594931</c:v>
                </c:pt>
                <c:pt idx="43">
                  <c:v>11.3419744467442</c:v>
                </c:pt>
                <c:pt idx="44">
                  <c:v>11.61504711778916</c:v>
                </c:pt>
                <c:pt idx="45">
                  <c:v>11.89806535823541</c:v>
                </c:pt>
                <c:pt idx="46">
                  <c:v>12.17512825580266</c:v>
                </c:pt>
                <c:pt idx="47">
                  <c:v>12.43595516928474</c:v>
                </c:pt>
                <c:pt idx="48">
                  <c:v>12.69510672374235</c:v>
                </c:pt>
                <c:pt idx="49">
                  <c:v>12.93835736591969</c:v>
                </c:pt>
                <c:pt idx="50">
                  <c:v>13.18890363819559</c:v>
                </c:pt>
                <c:pt idx="51">
                  <c:v>13.44610571298072</c:v>
                </c:pt>
                <c:pt idx="52">
                  <c:v>13.68445186128241</c:v>
                </c:pt>
                <c:pt idx="53">
                  <c:v>13.92071162914563</c:v>
                </c:pt>
                <c:pt idx="54">
                  <c:v>14.17061839294819</c:v>
                </c:pt>
                <c:pt idx="55">
                  <c:v>14.4255662322764</c:v>
                </c:pt>
                <c:pt idx="56">
                  <c:v>14.67845768807055</c:v>
                </c:pt>
                <c:pt idx="57">
                  <c:v>14.93293323571186</c:v>
                </c:pt>
                <c:pt idx="58">
                  <c:v>15.18786575747184</c:v>
                </c:pt>
                <c:pt idx="59">
                  <c:v>15.44263074332937</c:v>
                </c:pt>
                <c:pt idx="60">
                  <c:v>15.68020016327571</c:v>
                </c:pt>
                <c:pt idx="61">
                  <c:v>15.91507369121467</c:v>
                </c:pt>
                <c:pt idx="62">
                  <c:v>16.1657721818248</c:v>
                </c:pt>
                <c:pt idx="63">
                  <c:v>16.41963885612921</c:v>
                </c:pt>
                <c:pt idx="64">
                  <c:v>16.67023076199378</c:v>
                </c:pt>
                <c:pt idx="65">
                  <c:v>16.91654268400383</c:v>
                </c:pt>
                <c:pt idx="66">
                  <c:v>17.16265675409099</c:v>
                </c:pt>
                <c:pt idx="67">
                  <c:v>17.40854233711882</c:v>
                </c:pt>
                <c:pt idx="68">
                  <c:v>17.64822877264008</c:v>
                </c:pt>
                <c:pt idx="69">
                  <c:v>17.87731481271851</c:v>
                </c:pt>
                <c:pt idx="70">
                  <c:v>18.09940997848281</c:v>
                </c:pt>
                <c:pt idx="71">
                  <c:v>18.32426166829537</c:v>
                </c:pt>
                <c:pt idx="72">
                  <c:v>18.5472554647288</c:v>
                </c:pt>
                <c:pt idx="73">
                  <c:v>18.76147644307808</c:v>
                </c:pt>
                <c:pt idx="74">
                  <c:v>18.99022741135161</c:v>
                </c:pt>
                <c:pt idx="75">
                  <c:v>19.22062342262916</c:v>
                </c:pt>
                <c:pt idx="76">
                  <c:v>19.42957451927746</c:v>
                </c:pt>
                <c:pt idx="77">
                  <c:v>19.63033135515806</c:v>
                </c:pt>
                <c:pt idx="78">
                  <c:v>19.82735676759614</c:v>
                </c:pt>
                <c:pt idx="79">
                  <c:v>20.02535707942847</c:v>
                </c:pt>
                <c:pt idx="80">
                  <c:v>20.22049396335098</c:v>
                </c:pt>
                <c:pt idx="81">
                  <c:v>20.4063704199342</c:v>
                </c:pt>
                <c:pt idx="82">
                  <c:v>20.58272764609838</c:v>
                </c:pt>
                <c:pt idx="83">
                  <c:v>20.75871916532121</c:v>
                </c:pt>
                <c:pt idx="84">
                  <c:v>20.93352261565869</c:v>
                </c:pt>
                <c:pt idx="85">
                  <c:v>21.09742091476886</c:v>
                </c:pt>
                <c:pt idx="86">
                  <c:v>21.26037494962125</c:v>
                </c:pt>
                <c:pt idx="87">
                  <c:v>21.42061809401403</c:v>
                </c:pt>
                <c:pt idx="88">
                  <c:v>21.57114383694887</c:v>
                </c:pt>
                <c:pt idx="89">
                  <c:v>21.72048151099835</c:v>
                </c:pt>
                <c:pt idx="90">
                  <c:v>21.86902713912426</c:v>
                </c:pt>
                <c:pt idx="91">
                  <c:v>22.01181559541006</c:v>
                </c:pt>
                <c:pt idx="92">
                  <c:v>22.1508269946647</c:v>
                </c:pt>
                <c:pt idx="93">
                  <c:v>22.28389836860857</c:v>
                </c:pt>
                <c:pt idx="94">
                  <c:v>22.41045084080921</c:v>
                </c:pt>
                <c:pt idx="95">
                  <c:v>22.52553460291832</c:v>
                </c:pt>
                <c:pt idx="96">
                  <c:v>22.6321959363164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78440"/>
        <c:axId val="-211199632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7403.0</c:v>
                </c:pt>
                <c:pt idx="1">
                  <c:v>11200.0</c:v>
                </c:pt>
                <c:pt idx="2">
                  <c:v>12323.0</c:v>
                </c:pt>
                <c:pt idx="3">
                  <c:v>21247.0</c:v>
                </c:pt>
                <c:pt idx="4">
                  <c:v>36509.0</c:v>
                </c:pt>
                <c:pt idx="5">
                  <c:v>4587.0</c:v>
                </c:pt>
                <c:pt idx="6">
                  <c:v>9338.0</c:v>
                </c:pt>
                <c:pt idx="7">
                  <c:v>18864.0</c:v>
                </c:pt>
                <c:pt idx="8">
                  <c:v>38108.0</c:v>
                </c:pt>
                <c:pt idx="9">
                  <c:v>5553.0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0.012596441304768</c:v>
                  </c:pt>
                  <c:pt idx="1">
                    <c:v>0.0327209051723696</c:v>
                  </c:pt>
                  <c:pt idx="2">
                    <c:v>0.0394849189717053</c:v>
                  </c:pt>
                  <c:pt idx="3">
                    <c:v>0.0184015661769023</c:v>
                  </c:pt>
                  <c:pt idx="4">
                    <c:v>0.0155017023212156</c:v>
                  </c:pt>
                  <c:pt idx="5">
                    <c:v>0.0391510610789211</c:v>
                  </c:pt>
                  <c:pt idx="6">
                    <c:v>0.00850016186074571</c:v>
                  </c:pt>
                  <c:pt idx="7">
                    <c:v>0.0201642705446374</c:v>
                  </c:pt>
                  <c:pt idx="8">
                    <c:v>0.020200752745472</c:v>
                  </c:pt>
                  <c:pt idx="9">
                    <c:v>0.010530976014603</c:v>
                  </c:pt>
                  <c:pt idx="10">
                    <c:v>0.0490446508837046</c:v>
                  </c:pt>
                  <c:pt idx="11">
                    <c:v>0.0142372289708849</c:v>
                  </c:pt>
                  <c:pt idx="12">
                    <c:v>0.0246900493876709</c:v>
                  </c:pt>
                  <c:pt idx="13">
                    <c:v>0.0173863497591366</c:v>
                  </c:pt>
                  <c:pt idx="14">
                    <c:v>0.00485784498414232</c:v>
                  </c:pt>
                  <c:pt idx="15">
                    <c:v>0.0304917219905111</c:v>
                  </c:pt>
                  <c:pt idx="16">
                    <c:v>0.00753602212820339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0.012596441304768</c:v>
                  </c:pt>
                  <c:pt idx="1">
                    <c:v>0.0327209051723696</c:v>
                  </c:pt>
                  <c:pt idx="2">
                    <c:v>0.0394849189717053</c:v>
                  </c:pt>
                  <c:pt idx="3">
                    <c:v>0.0184015661769023</c:v>
                  </c:pt>
                  <c:pt idx="4">
                    <c:v>0.0155017023212156</c:v>
                  </c:pt>
                  <c:pt idx="5">
                    <c:v>0.0391510610789211</c:v>
                  </c:pt>
                  <c:pt idx="6">
                    <c:v>0.00850016186074571</c:v>
                  </c:pt>
                  <c:pt idx="7">
                    <c:v>0.0201642705446374</c:v>
                  </c:pt>
                  <c:pt idx="8">
                    <c:v>0.020200752745472</c:v>
                  </c:pt>
                  <c:pt idx="9">
                    <c:v>0.010530976014603</c:v>
                  </c:pt>
                  <c:pt idx="10">
                    <c:v>0.0490446508837046</c:v>
                  </c:pt>
                  <c:pt idx="11">
                    <c:v>0.0142372289708849</c:v>
                  </c:pt>
                  <c:pt idx="12">
                    <c:v>0.0246900493876709</c:v>
                  </c:pt>
                  <c:pt idx="13">
                    <c:v>0.0173863497591366</c:v>
                  </c:pt>
                  <c:pt idx="14">
                    <c:v>0.00485784498414232</c:v>
                  </c:pt>
                  <c:pt idx="15">
                    <c:v>0.0304917219905111</c:v>
                  </c:pt>
                  <c:pt idx="16">
                    <c:v>0.00753602212820339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7.025553962661922</c:v>
                </c:pt>
                <c:pt idx="1">
                  <c:v>7.17905747125471</c:v>
                </c:pt>
                <c:pt idx="2">
                  <c:v>7.298995219896283</c:v>
                </c:pt>
                <c:pt idx="3">
                  <c:v>7.506444339037539</c:v>
                </c:pt>
                <c:pt idx="4">
                  <c:v>7.708499811448058</c:v>
                </c:pt>
                <c:pt idx="5">
                  <c:v>7.867938650890784</c:v>
                </c:pt>
                <c:pt idx="6">
                  <c:v>8.141149538337847</c:v>
                </c:pt>
                <c:pt idx="7">
                  <c:v>8.438959378584025</c:v>
                </c:pt>
                <c:pt idx="8">
                  <c:v>8.729026809248228</c:v>
                </c:pt>
                <c:pt idx="9">
                  <c:v>8.91973173930033</c:v>
                </c:pt>
                <c:pt idx="10">
                  <c:v>9.095673856206564</c:v>
                </c:pt>
                <c:pt idx="11">
                  <c:v>9.181636003402767</c:v>
                </c:pt>
                <c:pt idx="12">
                  <c:v>9.194976421394035</c:v>
                </c:pt>
                <c:pt idx="13">
                  <c:v>9.213633425393379</c:v>
                </c:pt>
                <c:pt idx="14">
                  <c:v>9.21390551944348</c:v>
                </c:pt>
                <c:pt idx="15">
                  <c:v>9.287800020878651</c:v>
                </c:pt>
                <c:pt idx="16">
                  <c:v>9.318414804210732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 w="19050"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('Determination cell count GOOD'!$S$4:$S$8,'Determination cell count GOOD'!$S$11:$S$20)</c:f>
                <c:numCache>
                  <c:formatCode>General</c:formatCode>
                  <c:ptCount val="15"/>
                  <c:pt idx="0">
                    <c:v>0.20292581894028</c:v>
                  </c:pt>
                  <c:pt idx="1">
                    <c:v>0.217464870337263</c:v>
                  </c:pt>
                  <c:pt idx="2">
                    <c:v>0.0395524064197126</c:v>
                  </c:pt>
                  <c:pt idx="3">
                    <c:v>0.131157194458588</c:v>
                  </c:pt>
                  <c:pt idx="4">
                    <c:v>0.0947910340160921</c:v>
                  </c:pt>
                  <c:pt idx="5">
                    <c:v>0.181894274661725</c:v>
                  </c:pt>
                  <c:pt idx="6">
                    <c:v>0.122471505245613</c:v>
                  </c:pt>
                  <c:pt idx="7">
                    <c:v>0.166538967337899</c:v>
                  </c:pt>
                  <c:pt idx="8">
                    <c:v>0.117814453942713</c:v>
                  </c:pt>
                  <c:pt idx="9">
                    <c:v>0.114268762643582</c:v>
                  </c:pt>
                  <c:pt idx="10">
                    <c:v>0.151033199507063</c:v>
                  </c:pt>
                  <c:pt idx="11">
                    <c:v>0.145043990165325</c:v>
                  </c:pt>
                  <c:pt idx="12">
                    <c:v>0.0918454997928553</c:v>
                  </c:pt>
                  <c:pt idx="13">
                    <c:v>0.0848676113889053</c:v>
                  </c:pt>
                  <c:pt idx="14">
                    <c:v>0.0523366424863434</c:v>
                  </c:pt>
                </c:numCache>
              </c:numRef>
            </c:plus>
            <c:minus>
              <c:numRef>
                <c:f>('Determination cell count GOOD'!$S$4:$S$8,'Determination cell count GOOD'!$S$11:$S$20)</c:f>
                <c:numCache>
                  <c:formatCode>General</c:formatCode>
                  <c:ptCount val="15"/>
                  <c:pt idx="0">
                    <c:v>0.20292581894028</c:v>
                  </c:pt>
                  <c:pt idx="1">
                    <c:v>0.217464870337263</c:v>
                  </c:pt>
                  <c:pt idx="2">
                    <c:v>0.0395524064197126</c:v>
                  </c:pt>
                  <c:pt idx="3">
                    <c:v>0.131157194458588</c:v>
                  </c:pt>
                  <c:pt idx="4">
                    <c:v>0.0947910340160921</c:v>
                  </c:pt>
                  <c:pt idx="5">
                    <c:v>0.181894274661725</c:v>
                  </c:pt>
                  <c:pt idx="6">
                    <c:v>0.122471505245613</c:v>
                  </c:pt>
                  <c:pt idx="7">
                    <c:v>0.166538967337899</c:v>
                  </c:pt>
                  <c:pt idx="8">
                    <c:v>0.117814453942713</c:v>
                  </c:pt>
                  <c:pt idx="9">
                    <c:v>0.114268762643582</c:v>
                  </c:pt>
                  <c:pt idx="10">
                    <c:v>0.151033199507063</c:v>
                  </c:pt>
                  <c:pt idx="11">
                    <c:v>0.145043990165325</c:v>
                  </c:pt>
                  <c:pt idx="12">
                    <c:v>0.0918454997928553</c:v>
                  </c:pt>
                  <c:pt idx="13">
                    <c:v>0.0848676113889053</c:v>
                  </c:pt>
                  <c:pt idx="14">
                    <c:v>0.0523366424863434</c:v>
                  </c:pt>
                </c:numCache>
              </c:numRef>
            </c:minus>
          </c:errBars>
          <c:xVal>
            <c:numRef>
              <c:f>('Determination cell count GOOD'!$D$4:$D$8,'Determination cell count GOOD'!$D$11:$D$20)</c:f>
              <c:numCache>
                <c:formatCode>0</c:formatCode>
                <c:ptCount val="15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10.0</c:v>
                </c:pt>
                <c:pt idx="6">
                  <c:v>11.33333333333333</c:v>
                </c:pt>
                <c:pt idx="7">
                  <c:v>12.66666666666667</c:v>
                </c:pt>
                <c:pt idx="8">
                  <c:v>14.0</c:v>
                </c:pt>
                <c:pt idx="9">
                  <c:v>15.33333333333333</c:v>
                </c:pt>
                <c:pt idx="10">
                  <c:v>16.66666666666667</c:v>
                </c:pt>
                <c:pt idx="11">
                  <c:v>18.0</c:v>
                </c:pt>
                <c:pt idx="12">
                  <c:v>24.0</c:v>
                </c:pt>
                <c:pt idx="13">
                  <c:v>30.0</c:v>
                </c:pt>
                <c:pt idx="14">
                  <c:v>48.0</c:v>
                </c:pt>
              </c:numCache>
            </c:numRef>
          </c:xVal>
          <c:yVal>
            <c:numRef>
              <c:f>('Determination cell count GOOD'!$R$4:$R$8,'Determination cell count GOOD'!$R$11:$R$20)</c:f>
              <c:numCache>
                <c:formatCode>0.00</c:formatCode>
                <c:ptCount val="15"/>
                <c:pt idx="0">
                  <c:v>6.929513493094857</c:v>
                </c:pt>
                <c:pt idx="1">
                  <c:v>7.382710246361323</c:v>
                </c:pt>
                <c:pt idx="2">
                  <c:v>7.704809468550091</c:v>
                </c:pt>
                <c:pt idx="3">
                  <c:v>7.85167616936135</c:v>
                </c:pt>
                <c:pt idx="4">
                  <c:v>8.024637759240821</c:v>
                </c:pt>
                <c:pt idx="5">
                  <c:v>8.68437781578085</c:v>
                </c:pt>
                <c:pt idx="6">
                  <c:v>9.04620323833942</c:v>
                </c:pt>
                <c:pt idx="7">
                  <c:v>9.132893313058423</c:v>
                </c:pt>
                <c:pt idx="8">
                  <c:v>9.10277502614994</c:v>
                </c:pt>
                <c:pt idx="9">
                  <c:v>9.324600483017067</c:v>
                </c:pt>
                <c:pt idx="10">
                  <c:v>9.474306045931876</c:v>
                </c:pt>
                <c:pt idx="11">
                  <c:v>9.460611766090267</c:v>
                </c:pt>
                <c:pt idx="12">
                  <c:v>9.393066001343583</c:v>
                </c:pt>
                <c:pt idx="13">
                  <c:v>9.404200082670156</c:v>
                </c:pt>
                <c:pt idx="14">
                  <c:v>9.446848302765962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95880"/>
        <c:axId val="-2076727736"/>
      </c:scatterChart>
      <c:valAx>
        <c:axId val="-21131784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1996328"/>
        <c:crosses val="autoZero"/>
        <c:crossBetween val="midCat"/>
        <c:majorUnit val="6.0"/>
      </c:valAx>
      <c:valAx>
        <c:axId val="-21119963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3178440"/>
        <c:crosses val="autoZero"/>
        <c:crossBetween val="midCat"/>
      </c:valAx>
      <c:valAx>
        <c:axId val="-2076727736"/>
        <c:scaling>
          <c:orientation val="minMax"/>
          <c:max val="11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395880"/>
        <c:crosses val="max"/>
        <c:crossBetween val="midCat"/>
        <c:majorUnit val="1.0"/>
        <c:minorUnit val="0.2"/>
      </c:valAx>
      <c:valAx>
        <c:axId val="-211239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67277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0.0384558349815469</c:v>
                  </c:pt>
                  <c:pt idx="1">
                    <c:v>0.0128186116605156</c:v>
                  </c:pt>
                  <c:pt idx="2">
                    <c:v>0.0222024866785079</c:v>
                  </c:pt>
                  <c:pt idx="3">
                    <c:v>0.022202486678508</c:v>
                  </c:pt>
                  <c:pt idx="4">
                    <c:v>0.0128186116605156</c:v>
                  </c:pt>
                  <c:pt idx="5">
                    <c:v>0.0256372233210314</c:v>
                  </c:pt>
                  <c:pt idx="6">
                    <c:v>0.022202486678508</c:v>
                  </c:pt>
                  <c:pt idx="7">
                    <c:v>0.0587422582385566</c:v>
                  </c:pt>
                  <c:pt idx="8">
                    <c:v>0.0222222046950964</c:v>
                  </c:pt>
                  <c:pt idx="9">
                    <c:v>0.033976350813118</c:v>
                  </c:pt>
                  <c:pt idx="10">
                    <c:v>0.0128542491413721</c:v>
                  </c:pt>
                  <c:pt idx="11">
                    <c:v>0.051468880517623</c:v>
                  </c:pt>
                  <c:pt idx="12">
                    <c:v>0.0257617302272726</c:v>
                  </c:pt>
                  <c:pt idx="13">
                    <c:v>0.046442619639551</c:v>
                  </c:pt>
                  <c:pt idx="14">
                    <c:v>0.046442619639551</c:v>
                  </c:pt>
                  <c:pt idx="15">
                    <c:v>0.0819606426618507</c:v>
                  </c:pt>
                  <c:pt idx="16">
                    <c:v>0.0349095706507308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0.0384558349815469</c:v>
                  </c:pt>
                  <c:pt idx="1">
                    <c:v>0.0128186116605156</c:v>
                  </c:pt>
                  <c:pt idx="2">
                    <c:v>0.0222024866785079</c:v>
                  </c:pt>
                  <c:pt idx="3">
                    <c:v>0.022202486678508</c:v>
                  </c:pt>
                  <c:pt idx="4">
                    <c:v>0.0128186116605156</c:v>
                  </c:pt>
                  <c:pt idx="5">
                    <c:v>0.0256372233210314</c:v>
                  </c:pt>
                  <c:pt idx="6">
                    <c:v>0.022202486678508</c:v>
                  </c:pt>
                  <c:pt idx="7">
                    <c:v>0.0587422582385566</c:v>
                  </c:pt>
                  <c:pt idx="8">
                    <c:v>0.0222222046950964</c:v>
                  </c:pt>
                  <c:pt idx="9">
                    <c:v>0.033976350813118</c:v>
                  </c:pt>
                  <c:pt idx="10">
                    <c:v>0.0128542491413721</c:v>
                  </c:pt>
                  <c:pt idx="11">
                    <c:v>0.051468880517623</c:v>
                  </c:pt>
                  <c:pt idx="12">
                    <c:v>0.0257617302272726</c:v>
                  </c:pt>
                  <c:pt idx="13">
                    <c:v>0.046442619639551</c:v>
                  </c:pt>
                  <c:pt idx="14">
                    <c:v>0.046442619639551</c:v>
                  </c:pt>
                  <c:pt idx="15">
                    <c:v>0.0819606426618507</c:v>
                  </c:pt>
                  <c:pt idx="16">
                    <c:v>0.0349095706507308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0.754884547069272</c:v>
                </c:pt>
                <c:pt idx="1">
                  <c:v>0.784487862640616</c:v>
                </c:pt>
                <c:pt idx="2">
                  <c:v>0.799289520426288</c:v>
                </c:pt>
                <c:pt idx="3">
                  <c:v>0.821492007104796</c:v>
                </c:pt>
                <c:pt idx="4">
                  <c:v>0.784487862640616</c:v>
                </c:pt>
                <c:pt idx="5">
                  <c:v>0.814091178211959</c:v>
                </c:pt>
                <c:pt idx="6">
                  <c:v>0.843694493783304</c:v>
                </c:pt>
                <c:pt idx="7">
                  <c:v>0.88809946714032</c:v>
                </c:pt>
                <c:pt idx="8">
                  <c:v>0.866665983108758</c:v>
                </c:pt>
                <c:pt idx="9">
                  <c:v>1.037994662929917</c:v>
                </c:pt>
                <c:pt idx="10">
                  <c:v>1.053839396684239</c:v>
                </c:pt>
                <c:pt idx="11">
                  <c:v>1.218338452891271</c:v>
                </c:pt>
                <c:pt idx="12">
                  <c:v>1.546848355676661</c:v>
                </c:pt>
                <c:pt idx="13">
                  <c:v>2.082295863410889</c:v>
                </c:pt>
                <c:pt idx="14">
                  <c:v>4.588487670444709</c:v>
                </c:pt>
                <c:pt idx="15">
                  <c:v>5.592020901774759</c:v>
                </c:pt>
                <c:pt idx="16">
                  <c:v>6.779924642237644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0.0576869544569151</c:v>
                  </c:pt>
                  <c:pt idx="1">
                    <c:v>0.0508751117952354</c:v>
                  </c:pt>
                  <c:pt idx="2">
                    <c:v>0.0838172016127755</c:v>
                  </c:pt>
                  <c:pt idx="3">
                    <c:v>0.10706245640847</c:v>
                  </c:pt>
                  <c:pt idx="4">
                    <c:v>0.0666111573688592</c:v>
                  </c:pt>
                  <c:pt idx="5">
                    <c:v>0.0693310907399212</c:v>
                  </c:pt>
                  <c:pt idx="6">
                    <c:v>0.0333055786844294</c:v>
                  </c:pt>
                  <c:pt idx="7">
                    <c:v>0.0508751117952356</c:v>
                  </c:pt>
                  <c:pt idx="8">
                    <c:v>0.0192460620701431</c:v>
                  </c:pt>
                  <c:pt idx="9">
                    <c:v>0.0333659661841538</c:v>
                  </c:pt>
                  <c:pt idx="10">
                    <c:v>0.395642672555797</c:v>
                  </c:pt>
                  <c:pt idx="11">
                    <c:v>0.217521383624497</c:v>
                  </c:pt>
                  <c:pt idx="12">
                    <c:v>0.139335592910267</c:v>
                  </c:pt>
                  <c:pt idx="13">
                    <c:v>0.100401980634262</c:v>
                  </c:pt>
                  <c:pt idx="14">
                    <c:v>0.135256591274846</c:v>
                  </c:pt>
                  <c:pt idx="15">
                    <c:v>0.29134694918066</c:v>
                  </c:pt>
                  <c:pt idx="16">
                    <c:v>0.332969206407353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0.0576869544569151</c:v>
                  </c:pt>
                  <c:pt idx="1">
                    <c:v>0.0508751117952354</c:v>
                  </c:pt>
                  <c:pt idx="2">
                    <c:v>0.0838172016127755</c:v>
                  </c:pt>
                  <c:pt idx="3">
                    <c:v>0.10706245640847</c:v>
                  </c:pt>
                  <c:pt idx="4">
                    <c:v>0.0666111573688592</c:v>
                  </c:pt>
                  <c:pt idx="5">
                    <c:v>0.0693310907399212</c:v>
                  </c:pt>
                  <c:pt idx="6">
                    <c:v>0.0333055786844294</c:v>
                  </c:pt>
                  <c:pt idx="7">
                    <c:v>0.0508751117952356</c:v>
                  </c:pt>
                  <c:pt idx="8">
                    <c:v>0.0192460620701431</c:v>
                  </c:pt>
                  <c:pt idx="9">
                    <c:v>0.0333659661841538</c:v>
                  </c:pt>
                  <c:pt idx="10">
                    <c:v>0.395642672555797</c:v>
                  </c:pt>
                  <c:pt idx="11">
                    <c:v>0.217521383624497</c:v>
                  </c:pt>
                  <c:pt idx="12">
                    <c:v>0.139335592910267</c:v>
                  </c:pt>
                  <c:pt idx="13">
                    <c:v>0.100401980634262</c:v>
                  </c:pt>
                  <c:pt idx="14">
                    <c:v>0.135256591274846</c:v>
                  </c:pt>
                  <c:pt idx="15">
                    <c:v>0.29134694918066</c:v>
                  </c:pt>
                  <c:pt idx="16">
                    <c:v>0.332969206407353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1.232306411323897</c:v>
                </c:pt>
                <c:pt idx="1">
                  <c:v>1.187898973077991</c:v>
                </c:pt>
                <c:pt idx="2">
                  <c:v>1.287815709131279</c:v>
                </c:pt>
                <c:pt idx="3">
                  <c:v>1.354426866500139</c:v>
                </c:pt>
                <c:pt idx="4">
                  <c:v>1.398834304746045</c:v>
                </c:pt>
                <c:pt idx="5">
                  <c:v>1.554260338606717</c:v>
                </c:pt>
                <c:pt idx="6">
                  <c:v>2.331390507910075</c:v>
                </c:pt>
                <c:pt idx="7">
                  <c:v>3.252844851512629</c:v>
                </c:pt>
                <c:pt idx="8">
                  <c:v>5.144725951188298</c:v>
                </c:pt>
                <c:pt idx="9">
                  <c:v>8.341491546038444</c:v>
                </c:pt>
                <c:pt idx="10">
                  <c:v>11.37764417165146</c:v>
                </c:pt>
                <c:pt idx="11">
                  <c:v>13.79622008707376</c:v>
                </c:pt>
                <c:pt idx="12">
                  <c:v>15.87466871583938</c:v>
                </c:pt>
                <c:pt idx="13">
                  <c:v>17.3360753228492</c:v>
                </c:pt>
                <c:pt idx="14">
                  <c:v>19.29949183303031</c:v>
                </c:pt>
                <c:pt idx="15">
                  <c:v>20.28925079269733</c:v>
                </c:pt>
                <c:pt idx="16">
                  <c:v>20.14663592241275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0.125429126480478</c:v>
                  </c:pt>
                  <c:pt idx="1">
                    <c:v>0.109346577380992</c:v>
                  </c:pt>
                  <c:pt idx="2">
                    <c:v>0.264295569424213</c:v>
                  </c:pt>
                  <c:pt idx="3">
                    <c:v>0.217249619813165</c:v>
                  </c:pt>
                  <c:pt idx="4">
                    <c:v>0.0904482293924029</c:v>
                  </c:pt>
                  <c:pt idx="5">
                    <c:v>0.23930352149842</c:v>
                  </c:pt>
                  <c:pt idx="6">
                    <c:v>0.19911256549884</c:v>
                  </c:pt>
                  <c:pt idx="7">
                    <c:v>0.807436301818603</c:v>
                  </c:pt>
                  <c:pt idx="8">
                    <c:v>0.279592013385331</c:v>
                  </c:pt>
                  <c:pt idx="9">
                    <c:v>0.584539343332099</c:v>
                  </c:pt>
                  <c:pt idx="10">
                    <c:v>0.963494350958974</c:v>
                  </c:pt>
                  <c:pt idx="11">
                    <c:v>0.19986760490576</c:v>
                  </c:pt>
                  <c:pt idx="12">
                    <c:v>0.190313616795787</c:v>
                  </c:pt>
                  <c:pt idx="13">
                    <c:v>0.265579118085867</c:v>
                  </c:pt>
                  <c:pt idx="14">
                    <c:v>0.176453580405268</c:v>
                  </c:pt>
                  <c:pt idx="15">
                    <c:v>0.128419347380229</c:v>
                  </c:pt>
                  <c:pt idx="16">
                    <c:v>0.0931010472669645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0.125429126480478</c:v>
                  </c:pt>
                  <c:pt idx="1">
                    <c:v>0.109346577380992</c:v>
                  </c:pt>
                  <c:pt idx="2">
                    <c:v>0.264295569424213</c:v>
                  </c:pt>
                  <c:pt idx="3">
                    <c:v>0.217249619813165</c:v>
                  </c:pt>
                  <c:pt idx="4">
                    <c:v>0.0904482293924029</c:v>
                  </c:pt>
                  <c:pt idx="5">
                    <c:v>0.23930352149842</c:v>
                  </c:pt>
                  <c:pt idx="6">
                    <c:v>0.19911256549884</c:v>
                  </c:pt>
                  <c:pt idx="7">
                    <c:v>0.807436301818603</c:v>
                  </c:pt>
                  <c:pt idx="8">
                    <c:v>0.279592013385331</c:v>
                  </c:pt>
                  <c:pt idx="9">
                    <c:v>0.584539343332099</c:v>
                  </c:pt>
                  <c:pt idx="10">
                    <c:v>0.963494350958974</c:v>
                  </c:pt>
                  <c:pt idx="11">
                    <c:v>0.19986760490576</c:v>
                  </c:pt>
                  <c:pt idx="12">
                    <c:v>0.190313616795787</c:v>
                  </c:pt>
                  <c:pt idx="13">
                    <c:v>0.265579118085867</c:v>
                  </c:pt>
                  <c:pt idx="14">
                    <c:v>0.176453580405268</c:v>
                  </c:pt>
                  <c:pt idx="15">
                    <c:v>0.128419347380229</c:v>
                  </c:pt>
                  <c:pt idx="16">
                    <c:v>0.0931010472669645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47.54870012310812</c:v>
                </c:pt>
                <c:pt idx="1">
                  <c:v>47.38938373524513</c:v>
                </c:pt>
                <c:pt idx="2">
                  <c:v>47.27351727134477</c:v>
                </c:pt>
                <c:pt idx="3">
                  <c:v>47.7080165109711</c:v>
                </c:pt>
                <c:pt idx="4">
                  <c:v>47.5052501991455</c:v>
                </c:pt>
                <c:pt idx="5">
                  <c:v>45.1589543051633</c:v>
                </c:pt>
                <c:pt idx="6">
                  <c:v>46.36106886812949</c:v>
                </c:pt>
                <c:pt idx="7">
                  <c:v>45.9410529364907</c:v>
                </c:pt>
                <c:pt idx="8">
                  <c:v>43.8654122526985</c:v>
                </c:pt>
                <c:pt idx="9">
                  <c:v>42.0632381408509</c:v>
                </c:pt>
                <c:pt idx="10">
                  <c:v>38.90865354102105</c:v>
                </c:pt>
                <c:pt idx="11">
                  <c:v>36.8544105733522</c:v>
                </c:pt>
                <c:pt idx="12">
                  <c:v>34.9724113882759</c:v>
                </c:pt>
                <c:pt idx="13">
                  <c:v>34.05553168895781</c:v>
                </c:pt>
                <c:pt idx="14">
                  <c:v>28.05942952833788</c:v>
                </c:pt>
                <c:pt idx="15">
                  <c:v>23.78505668514525</c:v>
                </c:pt>
                <c:pt idx="16">
                  <c:v>11.15125791450201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0.00663186880887637</c:v>
                </c:pt>
                <c:pt idx="1">
                  <c:v>0.0225005503726814</c:v>
                </c:pt>
                <c:pt idx="2">
                  <c:v>0.0417965378265514</c:v>
                </c:pt>
                <c:pt idx="3">
                  <c:v>0.0608962689375546</c:v>
                </c:pt>
                <c:pt idx="4">
                  <c:v>0.0820705731948626</c:v>
                </c:pt>
                <c:pt idx="5">
                  <c:v>0.107717288257502</c:v>
                </c:pt>
                <c:pt idx="6">
                  <c:v>0.136403902380548</c:v>
                </c:pt>
                <c:pt idx="7">
                  <c:v>0.168364327595416</c:v>
                </c:pt>
                <c:pt idx="8">
                  <c:v>0.203672598815189</c:v>
                </c:pt>
                <c:pt idx="9">
                  <c:v>0.243315422726279</c:v>
                </c:pt>
                <c:pt idx="10">
                  <c:v>0.288131117072934</c:v>
                </c:pt>
                <c:pt idx="11">
                  <c:v>0.339334556484898</c:v>
                </c:pt>
                <c:pt idx="12">
                  <c:v>0.397541315735166</c:v>
                </c:pt>
                <c:pt idx="13">
                  <c:v>0.462146350878897</c:v>
                </c:pt>
                <c:pt idx="14">
                  <c:v>0.533149661916092</c:v>
                </c:pt>
                <c:pt idx="15">
                  <c:v>0.612190866878702</c:v>
                </c:pt>
                <c:pt idx="16">
                  <c:v>0.701821936456006</c:v>
                </c:pt>
                <c:pt idx="17">
                  <c:v>0.80415446125085</c:v>
                </c:pt>
                <c:pt idx="18">
                  <c:v>0.921522774837331</c:v>
                </c:pt>
                <c:pt idx="19">
                  <c:v>1.058648836736428</c:v>
                </c:pt>
                <c:pt idx="20">
                  <c:v>1.220673605783238</c:v>
                </c:pt>
                <c:pt idx="21">
                  <c:v>1.412648050099543</c:v>
                </c:pt>
                <c:pt idx="22">
                  <c:v>1.638482298090463</c:v>
                </c:pt>
                <c:pt idx="23">
                  <c:v>1.902118070645576</c:v>
                </c:pt>
                <c:pt idx="24">
                  <c:v>2.208404973687724</c:v>
                </c:pt>
                <c:pt idx="25">
                  <c:v>2.561884347079246</c:v>
                </c:pt>
                <c:pt idx="26">
                  <c:v>2.96045513104545</c:v>
                </c:pt>
                <c:pt idx="27">
                  <c:v>3.396965616805866</c:v>
                </c:pt>
                <c:pt idx="28">
                  <c:v>3.86709178249733</c:v>
                </c:pt>
                <c:pt idx="29">
                  <c:v>4.362334292451685</c:v>
                </c:pt>
                <c:pt idx="30">
                  <c:v>4.87099435393804</c:v>
                </c:pt>
                <c:pt idx="31">
                  <c:v>5.387899096520831</c:v>
                </c:pt>
                <c:pt idx="32">
                  <c:v>5.909419532995047</c:v>
                </c:pt>
                <c:pt idx="33">
                  <c:v>6.430154624981791</c:v>
                </c:pt>
                <c:pt idx="34">
                  <c:v>6.944735564818636</c:v>
                </c:pt>
                <c:pt idx="35">
                  <c:v>7.295116640920899</c:v>
                </c:pt>
                <c:pt idx="36">
                  <c:v>7.634090596320529</c:v>
                </c:pt>
                <c:pt idx="37">
                  <c:v>8.108163907873651</c:v>
                </c:pt>
                <c:pt idx="38">
                  <c:v>8.553407322217633</c:v>
                </c:pt>
                <c:pt idx="39">
                  <c:v>8.969274193636493</c:v>
                </c:pt>
                <c:pt idx="40">
                  <c:v>9.357822820360297</c:v>
                </c:pt>
                <c:pt idx="41">
                  <c:v>9.720024272391228</c:v>
                </c:pt>
                <c:pt idx="42">
                  <c:v>10.06047860693648</c:v>
                </c:pt>
                <c:pt idx="43">
                  <c:v>10.38207190914222</c:v>
                </c:pt>
                <c:pt idx="44">
                  <c:v>10.68520211666626</c:v>
                </c:pt>
                <c:pt idx="45">
                  <c:v>10.96958776919248</c:v>
                </c:pt>
                <c:pt idx="46">
                  <c:v>11.23530322074997</c:v>
                </c:pt>
                <c:pt idx="47">
                  <c:v>11.48739943946052</c:v>
                </c:pt>
                <c:pt idx="48">
                  <c:v>11.73358020479266</c:v>
                </c:pt>
                <c:pt idx="49">
                  <c:v>11.97310803965961</c:v>
                </c:pt>
                <c:pt idx="50">
                  <c:v>12.2031230264276</c:v>
                </c:pt>
                <c:pt idx="51">
                  <c:v>12.42608682595659</c:v>
                </c:pt>
                <c:pt idx="52">
                  <c:v>12.64420676365082</c:v>
                </c:pt>
                <c:pt idx="53">
                  <c:v>12.85854932519787</c:v>
                </c:pt>
                <c:pt idx="54">
                  <c:v>13.06935289025323</c:v>
                </c:pt>
                <c:pt idx="55">
                  <c:v>13.27656991053219</c:v>
                </c:pt>
                <c:pt idx="56">
                  <c:v>13.48240771143901</c:v>
                </c:pt>
                <c:pt idx="57">
                  <c:v>13.68627177985699</c:v>
                </c:pt>
                <c:pt idx="58">
                  <c:v>13.88689394878362</c:v>
                </c:pt>
                <c:pt idx="59">
                  <c:v>14.08745261362532</c:v>
                </c:pt>
                <c:pt idx="60">
                  <c:v>14.29273866296008</c:v>
                </c:pt>
                <c:pt idx="61">
                  <c:v>14.502279805101</c:v>
                </c:pt>
                <c:pt idx="62">
                  <c:v>14.70688677557784</c:v>
                </c:pt>
                <c:pt idx="63">
                  <c:v>14.90275539249903</c:v>
                </c:pt>
                <c:pt idx="64">
                  <c:v>15.0927561043265</c:v>
                </c:pt>
                <c:pt idx="65">
                  <c:v>15.27879371449208</c:v>
                </c:pt>
                <c:pt idx="66">
                  <c:v>15.46165867333932</c:v>
                </c:pt>
                <c:pt idx="67">
                  <c:v>15.64154723721108</c:v>
                </c:pt>
                <c:pt idx="68">
                  <c:v>15.8207832088533</c:v>
                </c:pt>
                <c:pt idx="69">
                  <c:v>15.99892620817957</c:v>
                </c:pt>
                <c:pt idx="70">
                  <c:v>16.17453319261678</c:v>
                </c:pt>
                <c:pt idx="71">
                  <c:v>16.34996498236744</c:v>
                </c:pt>
                <c:pt idx="72">
                  <c:v>16.52424540157327</c:v>
                </c:pt>
                <c:pt idx="73">
                  <c:v>16.69645667260488</c:v>
                </c:pt>
                <c:pt idx="74">
                  <c:v>16.86768634280615</c:v>
                </c:pt>
                <c:pt idx="75">
                  <c:v>17.03666113931848</c:v>
                </c:pt>
                <c:pt idx="76">
                  <c:v>17.20374198234315</c:v>
                </c:pt>
                <c:pt idx="77">
                  <c:v>17.36749093516315</c:v>
                </c:pt>
                <c:pt idx="78">
                  <c:v>17.52721296312032</c:v>
                </c:pt>
                <c:pt idx="79">
                  <c:v>17.68545493104788</c:v>
                </c:pt>
                <c:pt idx="80">
                  <c:v>17.84348468683233</c:v>
                </c:pt>
                <c:pt idx="81">
                  <c:v>17.9974769869258</c:v>
                </c:pt>
                <c:pt idx="82">
                  <c:v>18.14715611510027</c:v>
                </c:pt>
                <c:pt idx="83">
                  <c:v>18.29596501393003</c:v>
                </c:pt>
                <c:pt idx="84">
                  <c:v>18.44335735681509</c:v>
                </c:pt>
                <c:pt idx="85">
                  <c:v>18.58722155315261</c:v>
                </c:pt>
                <c:pt idx="86">
                  <c:v>18.72630539174031</c:v>
                </c:pt>
                <c:pt idx="87">
                  <c:v>18.86191948200932</c:v>
                </c:pt>
                <c:pt idx="88">
                  <c:v>18.99454122150262</c:v>
                </c:pt>
                <c:pt idx="89">
                  <c:v>19.12459503450641</c:v>
                </c:pt>
                <c:pt idx="90">
                  <c:v>19.25165649673448</c:v>
                </c:pt>
                <c:pt idx="91">
                  <c:v>19.37549233438744</c:v>
                </c:pt>
                <c:pt idx="92">
                  <c:v>19.49593788360687</c:v>
                </c:pt>
                <c:pt idx="93">
                  <c:v>19.61277040142153</c:v>
                </c:pt>
                <c:pt idx="94">
                  <c:v>19.72698744446198</c:v>
                </c:pt>
                <c:pt idx="95">
                  <c:v>19.83833946401257</c:v>
                </c:pt>
                <c:pt idx="96">
                  <c:v>19.95059330539235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0.16125487396019</c:v>
                  </c:pt>
                  <c:pt idx="1">
                    <c:v>0.306509597245095</c:v>
                  </c:pt>
                  <c:pt idx="2">
                    <c:v>0.271091665295918</c:v>
                  </c:pt>
                  <c:pt idx="3">
                    <c:v>0.115545404055628</c:v>
                  </c:pt>
                  <c:pt idx="4">
                    <c:v>0.205398003054735</c:v>
                  </c:pt>
                  <c:pt idx="5">
                    <c:v>0.186531722337601</c:v>
                  </c:pt>
                  <c:pt idx="6">
                    <c:v>0.133830234754479</c:v>
                  </c:pt>
                  <c:pt idx="7">
                    <c:v>0.176343288298457</c:v>
                  </c:pt>
                  <c:pt idx="8">
                    <c:v>0.186697381060814</c:v>
                  </c:pt>
                  <c:pt idx="9">
                    <c:v>0.690451185037286</c:v>
                  </c:pt>
                  <c:pt idx="10">
                    <c:v>1.208042990832848</c:v>
                  </c:pt>
                  <c:pt idx="11">
                    <c:v>0.253209761426641</c:v>
                  </c:pt>
                  <c:pt idx="12">
                    <c:v>0.293234245201217</c:v>
                  </c:pt>
                  <c:pt idx="13">
                    <c:v>0.320666284781251</c:v>
                  </c:pt>
                  <c:pt idx="14">
                    <c:v>0.25339644336749</c:v>
                  </c:pt>
                  <c:pt idx="15">
                    <c:v>0.22388218978151</c:v>
                  </c:pt>
                  <c:pt idx="16">
                    <c:v>0.224792388408912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0.16125487396019</c:v>
                  </c:pt>
                  <c:pt idx="1">
                    <c:v>0.306509597245095</c:v>
                  </c:pt>
                  <c:pt idx="2">
                    <c:v>0.271091665295918</c:v>
                  </c:pt>
                  <c:pt idx="3">
                    <c:v>0.115545404055628</c:v>
                  </c:pt>
                  <c:pt idx="4">
                    <c:v>0.205398003054735</c:v>
                  </c:pt>
                  <c:pt idx="5">
                    <c:v>0.186531722337601</c:v>
                  </c:pt>
                  <c:pt idx="6">
                    <c:v>0.133830234754479</c:v>
                  </c:pt>
                  <c:pt idx="7">
                    <c:v>0.176343288298457</c:v>
                  </c:pt>
                  <c:pt idx="8">
                    <c:v>0.186697381060814</c:v>
                  </c:pt>
                  <c:pt idx="9">
                    <c:v>0.690451185037286</c:v>
                  </c:pt>
                  <c:pt idx="10">
                    <c:v>1.208042990832848</c:v>
                  </c:pt>
                  <c:pt idx="11">
                    <c:v>0.253209761426641</c:v>
                  </c:pt>
                  <c:pt idx="12">
                    <c:v>0.293234245201217</c:v>
                  </c:pt>
                  <c:pt idx="13">
                    <c:v>0.320666284781251</c:v>
                  </c:pt>
                  <c:pt idx="14">
                    <c:v>0.25339644336749</c:v>
                  </c:pt>
                  <c:pt idx="15">
                    <c:v>0.22388218978151</c:v>
                  </c:pt>
                  <c:pt idx="16">
                    <c:v>0.224792388408912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49.91119005328597</c:v>
                </c:pt>
                <c:pt idx="1">
                  <c:v>50.10731201894612</c:v>
                </c:pt>
                <c:pt idx="2">
                  <c:v>49.85938425103611</c:v>
                </c:pt>
                <c:pt idx="3">
                  <c:v>50.60316755476614</c:v>
                </c:pt>
                <c:pt idx="4">
                  <c:v>50.56986382474837</c:v>
                </c:pt>
                <c:pt idx="5">
                  <c:v>48.28300769686206</c:v>
                </c:pt>
                <c:pt idx="6">
                  <c:v>50.41444641799882</c:v>
                </c:pt>
                <c:pt idx="7">
                  <c:v>49.68546477205447</c:v>
                </c:pt>
                <c:pt idx="8">
                  <c:v>48.91477623468963</c:v>
                </c:pt>
                <c:pt idx="9">
                  <c:v>47.79594710412651</c:v>
                </c:pt>
                <c:pt idx="10">
                  <c:v>45.27798703641227</c:v>
                </c:pt>
                <c:pt idx="11">
                  <c:v>43.59645860239284</c:v>
                </c:pt>
                <c:pt idx="12">
                  <c:v>41.77606075968096</c:v>
                </c:pt>
                <c:pt idx="13">
                  <c:v>40.57502225274933</c:v>
                </c:pt>
                <c:pt idx="14">
                  <c:v>37.23591210035115</c:v>
                </c:pt>
                <c:pt idx="15">
                  <c:v>36.83686939563412</c:v>
                </c:pt>
                <c:pt idx="16">
                  <c:v>34.34907888971858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0.0153526709842673</c:v>
                </c:pt>
                <c:pt idx="1">
                  <c:v>0.0550899532327377</c:v>
                </c:pt>
                <c:pt idx="2">
                  <c:v>0.108717716932116</c:v>
                </c:pt>
                <c:pt idx="3">
                  <c:v>0.137960869367291</c:v>
                </c:pt>
                <c:pt idx="4">
                  <c:v>0.173250631858794</c:v>
                </c:pt>
                <c:pt idx="5">
                  <c:v>0.244393715706031</c:v>
                </c:pt>
                <c:pt idx="6">
                  <c:v>0.319283540563999</c:v>
                </c:pt>
                <c:pt idx="7">
                  <c:v>0.401087971010974</c:v>
                </c:pt>
                <c:pt idx="8">
                  <c:v>0.490629688106973</c:v>
                </c:pt>
                <c:pt idx="9">
                  <c:v>0.587512668890211</c:v>
                </c:pt>
                <c:pt idx="10">
                  <c:v>0.690107187924881</c:v>
                </c:pt>
                <c:pt idx="11">
                  <c:v>0.798687365858988</c:v>
                </c:pt>
                <c:pt idx="12">
                  <c:v>0.914943879285229</c:v>
                </c:pt>
                <c:pt idx="13">
                  <c:v>1.03819126702559</c:v>
                </c:pt>
                <c:pt idx="14">
                  <c:v>1.169343158201418</c:v>
                </c:pt>
                <c:pt idx="15">
                  <c:v>1.314477117121491</c:v>
                </c:pt>
                <c:pt idx="16">
                  <c:v>1.473623459806254</c:v>
                </c:pt>
                <c:pt idx="17">
                  <c:v>1.65465637367073</c:v>
                </c:pt>
                <c:pt idx="18">
                  <c:v>1.84881835819899</c:v>
                </c:pt>
                <c:pt idx="19">
                  <c:v>2.056413850059483</c:v>
                </c:pt>
                <c:pt idx="20">
                  <c:v>2.310920032837234</c:v>
                </c:pt>
                <c:pt idx="21">
                  <c:v>2.615520088678741</c:v>
                </c:pt>
                <c:pt idx="22">
                  <c:v>2.95502920161819</c:v>
                </c:pt>
                <c:pt idx="23">
                  <c:v>3.324147173934156</c:v>
                </c:pt>
                <c:pt idx="24">
                  <c:v>3.733276230030592</c:v>
                </c:pt>
                <c:pt idx="25">
                  <c:v>4.157712004406624</c:v>
                </c:pt>
                <c:pt idx="26">
                  <c:v>4.601688847328106</c:v>
                </c:pt>
                <c:pt idx="27">
                  <c:v>5.069486742649558</c:v>
                </c:pt>
                <c:pt idx="28">
                  <c:v>5.52838991757308</c:v>
                </c:pt>
                <c:pt idx="29">
                  <c:v>5.985754634238127</c:v>
                </c:pt>
                <c:pt idx="30">
                  <c:v>6.448678670820385</c:v>
                </c:pt>
                <c:pt idx="31">
                  <c:v>6.916156811905167</c:v>
                </c:pt>
                <c:pt idx="32">
                  <c:v>7.391889845798534</c:v>
                </c:pt>
                <c:pt idx="33">
                  <c:v>7.868125487399243</c:v>
                </c:pt>
                <c:pt idx="34">
                  <c:v>8.324713475708945</c:v>
                </c:pt>
                <c:pt idx="35">
                  <c:v>8.671365681296738</c:v>
                </c:pt>
                <c:pt idx="36">
                  <c:v>8.99504983156502</c:v>
                </c:pt>
                <c:pt idx="37">
                  <c:v>9.394461486203506</c:v>
                </c:pt>
                <c:pt idx="38">
                  <c:v>9.779693540290861</c:v>
                </c:pt>
                <c:pt idx="39">
                  <c:v>10.13097611910629</c:v>
                </c:pt>
                <c:pt idx="40">
                  <c:v>10.45415766166723</c:v>
                </c:pt>
                <c:pt idx="41">
                  <c:v>10.76305269981548</c:v>
                </c:pt>
                <c:pt idx="42">
                  <c:v>11.06028117594931</c:v>
                </c:pt>
                <c:pt idx="43">
                  <c:v>11.3419744467442</c:v>
                </c:pt>
                <c:pt idx="44">
                  <c:v>11.61504711778916</c:v>
                </c:pt>
                <c:pt idx="45">
                  <c:v>11.89806535823541</c:v>
                </c:pt>
                <c:pt idx="46">
                  <c:v>12.17512825580266</c:v>
                </c:pt>
                <c:pt idx="47">
                  <c:v>12.43595516928474</c:v>
                </c:pt>
                <c:pt idx="48">
                  <c:v>12.69510672374235</c:v>
                </c:pt>
                <c:pt idx="49">
                  <c:v>12.93835736591969</c:v>
                </c:pt>
                <c:pt idx="50">
                  <c:v>13.18890363819559</c:v>
                </c:pt>
                <c:pt idx="51">
                  <c:v>13.44610571298072</c:v>
                </c:pt>
                <c:pt idx="52">
                  <c:v>13.68445186128241</c:v>
                </c:pt>
                <c:pt idx="53">
                  <c:v>13.92071162914563</c:v>
                </c:pt>
                <c:pt idx="54">
                  <c:v>14.17061839294819</c:v>
                </c:pt>
                <c:pt idx="55">
                  <c:v>14.4255662322764</c:v>
                </c:pt>
                <c:pt idx="56">
                  <c:v>14.67845768807055</c:v>
                </c:pt>
                <c:pt idx="57">
                  <c:v>14.93293323571186</c:v>
                </c:pt>
                <c:pt idx="58">
                  <c:v>15.18786575747184</c:v>
                </c:pt>
                <c:pt idx="59">
                  <c:v>15.44263074332937</c:v>
                </c:pt>
                <c:pt idx="60">
                  <c:v>15.68020016327571</c:v>
                </c:pt>
                <c:pt idx="61">
                  <c:v>15.91507369121467</c:v>
                </c:pt>
                <c:pt idx="62">
                  <c:v>16.1657721818248</c:v>
                </c:pt>
                <c:pt idx="63">
                  <c:v>16.41963885612921</c:v>
                </c:pt>
                <c:pt idx="64">
                  <c:v>16.67023076199378</c:v>
                </c:pt>
                <c:pt idx="65">
                  <c:v>16.91654268400383</c:v>
                </c:pt>
                <c:pt idx="66">
                  <c:v>17.16265675409099</c:v>
                </c:pt>
                <c:pt idx="67">
                  <c:v>17.40854233711882</c:v>
                </c:pt>
                <c:pt idx="68">
                  <c:v>17.64822877264008</c:v>
                </c:pt>
                <c:pt idx="69">
                  <c:v>17.87731481271851</c:v>
                </c:pt>
                <c:pt idx="70">
                  <c:v>18.09940997848281</c:v>
                </c:pt>
                <c:pt idx="71">
                  <c:v>18.32426166829537</c:v>
                </c:pt>
                <c:pt idx="72">
                  <c:v>18.5472554647288</c:v>
                </c:pt>
                <c:pt idx="73">
                  <c:v>18.76147644307808</c:v>
                </c:pt>
                <c:pt idx="74">
                  <c:v>18.99022741135161</c:v>
                </c:pt>
                <c:pt idx="75">
                  <c:v>19.22062342262916</c:v>
                </c:pt>
                <c:pt idx="76">
                  <c:v>19.42957451927746</c:v>
                </c:pt>
                <c:pt idx="77">
                  <c:v>19.63033135515806</c:v>
                </c:pt>
                <c:pt idx="78">
                  <c:v>19.82735676759614</c:v>
                </c:pt>
                <c:pt idx="79">
                  <c:v>20.02535707942847</c:v>
                </c:pt>
                <c:pt idx="80">
                  <c:v>20.22049396335098</c:v>
                </c:pt>
                <c:pt idx="81">
                  <c:v>20.4063704199342</c:v>
                </c:pt>
                <c:pt idx="82">
                  <c:v>20.58272764609838</c:v>
                </c:pt>
                <c:pt idx="83">
                  <c:v>20.75871916532121</c:v>
                </c:pt>
                <c:pt idx="84">
                  <c:v>20.93352261565869</c:v>
                </c:pt>
                <c:pt idx="85">
                  <c:v>21.09742091476886</c:v>
                </c:pt>
                <c:pt idx="86">
                  <c:v>21.26037494962125</c:v>
                </c:pt>
                <c:pt idx="87">
                  <c:v>21.42061809401403</c:v>
                </c:pt>
                <c:pt idx="88">
                  <c:v>21.57114383694887</c:v>
                </c:pt>
                <c:pt idx="89">
                  <c:v>21.72048151099835</c:v>
                </c:pt>
                <c:pt idx="90">
                  <c:v>21.86902713912426</c:v>
                </c:pt>
                <c:pt idx="91">
                  <c:v>22.01181559541006</c:v>
                </c:pt>
                <c:pt idx="92">
                  <c:v>22.1508269946647</c:v>
                </c:pt>
                <c:pt idx="93">
                  <c:v>22.28389836860857</c:v>
                </c:pt>
                <c:pt idx="94">
                  <c:v>22.41045084080921</c:v>
                </c:pt>
                <c:pt idx="95">
                  <c:v>22.52553460291832</c:v>
                </c:pt>
                <c:pt idx="96">
                  <c:v>22.6321959363164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78872"/>
        <c:axId val="-212550725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7403.0</c:v>
                </c:pt>
                <c:pt idx="1">
                  <c:v>11200.0</c:v>
                </c:pt>
                <c:pt idx="2">
                  <c:v>12323.0</c:v>
                </c:pt>
                <c:pt idx="3">
                  <c:v>21247.0</c:v>
                </c:pt>
                <c:pt idx="4">
                  <c:v>36509.0</c:v>
                </c:pt>
                <c:pt idx="5">
                  <c:v>4587.0</c:v>
                </c:pt>
                <c:pt idx="6">
                  <c:v>9338.0</c:v>
                </c:pt>
                <c:pt idx="7">
                  <c:v>18864.0</c:v>
                </c:pt>
                <c:pt idx="8">
                  <c:v>38108.0</c:v>
                </c:pt>
                <c:pt idx="9">
                  <c:v>5553.0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2.72066968348211E-17</c:v>
                  </c:pt>
                  <c:pt idx="1">
                    <c:v>2.72066968348211E-17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5.44133936696422E-17</c:v>
                  </c:pt>
                  <c:pt idx="7">
                    <c:v>0.0</c:v>
                  </c:pt>
                  <c:pt idx="8">
                    <c:v>0.016007</c:v>
                  </c:pt>
                  <c:pt idx="9">
                    <c:v>0.0606015239274832</c:v>
                  </c:pt>
                  <c:pt idx="10">
                    <c:v>0.0462082287945917</c:v>
                  </c:pt>
                  <c:pt idx="11">
                    <c:v>0.0402833999351263</c:v>
                  </c:pt>
                  <c:pt idx="12">
                    <c:v>0.0514553059104048</c:v>
                  </c:pt>
                  <c:pt idx="13">
                    <c:v>0.0333212276534544</c:v>
                  </c:pt>
                  <c:pt idx="14">
                    <c:v>0.0244510963830527</c:v>
                  </c:pt>
                  <c:pt idx="15">
                    <c:v>0.00924164575891835</c:v>
                  </c:pt>
                  <c:pt idx="16">
                    <c:v>0.0489021927661054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2.72066968348211E-17</c:v>
                  </c:pt>
                  <c:pt idx="1">
                    <c:v>2.72066968348211E-17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5.44133936696422E-17</c:v>
                  </c:pt>
                  <c:pt idx="7">
                    <c:v>0.0</c:v>
                  </c:pt>
                  <c:pt idx="8">
                    <c:v>0.016007</c:v>
                  </c:pt>
                  <c:pt idx="9">
                    <c:v>0.0606015239274832</c:v>
                  </c:pt>
                  <c:pt idx="10">
                    <c:v>0.0462082287945917</c:v>
                  </c:pt>
                  <c:pt idx="11">
                    <c:v>0.0402833999351263</c:v>
                  </c:pt>
                  <c:pt idx="12">
                    <c:v>0.0514553059104048</c:v>
                  </c:pt>
                  <c:pt idx="13">
                    <c:v>0.0333212276534544</c:v>
                  </c:pt>
                  <c:pt idx="14">
                    <c:v>0.0244510963830527</c:v>
                  </c:pt>
                  <c:pt idx="15">
                    <c:v>0.00924164575891835</c:v>
                  </c:pt>
                  <c:pt idx="16">
                    <c:v>0.0489021927661054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0.1338637</c:v>
                </c:pt>
                <c:pt idx="1">
                  <c:v>0.14827</c:v>
                </c:pt>
                <c:pt idx="2">
                  <c:v>0.1450686</c:v>
                </c:pt>
                <c:pt idx="3">
                  <c:v>0.1690791</c:v>
                </c:pt>
                <c:pt idx="4">
                  <c:v>0.1914889</c:v>
                </c:pt>
                <c:pt idx="5">
                  <c:v>0.228305</c:v>
                </c:pt>
                <c:pt idx="6">
                  <c:v>0.2907323</c:v>
                </c:pt>
                <c:pt idx="7">
                  <c:v>0.3803715</c:v>
                </c:pt>
                <c:pt idx="8">
                  <c:v>0.602315</c:v>
                </c:pt>
                <c:pt idx="9">
                  <c:v>0.981147333333333</c:v>
                </c:pt>
                <c:pt idx="10">
                  <c:v>1.327965666666667</c:v>
                </c:pt>
                <c:pt idx="11">
                  <c:v>1.327965666666667</c:v>
                </c:pt>
                <c:pt idx="12">
                  <c:v>1.413336333333334</c:v>
                </c:pt>
                <c:pt idx="13">
                  <c:v>1.365315333333333</c:v>
                </c:pt>
                <c:pt idx="14">
                  <c:v>1.199909666666666</c:v>
                </c:pt>
                <c:pt idx="15">
                  <c:v>1.029168333333333</c:v>
                </c:pt>
                <c:pt idx="16">
                  <c:v>0.847755666666666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03544"/>
        <c:axId val="-2126016696"/>
      </c:scatterChart>
      <c:valAx>
        <c:axId val="21175788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5507256"/>
        <c:crosses val="autoZero"/>
        <c:crossBetween val="midCat"/>
        <c:majorUnit val="6.0"/>
      </c:valAx>
      <c:valAx>
        <c:axId val="-21255072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578872"/>
        <c:crosses val="autoZero"/>
        <c:crossBetween val="midCat"/>
      </c:valAx>
      <c:valAx>
        <c:axId val="-2126016696"/>
        <c:scaling>
          <c:orientation val="minMax"/>
          <c:max val="2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0503544"/>
        <c:crosses val="max"/>
        <c:crossBetween val="midCat"/>
        <c:majorUnit val="1.0"/>
        <c:minorUnit val="0.2"/>
      </c:valAx>
      <c:valAx>
        <c:axId val="-209050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601669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9" t="s">
        <v>0</v>
      </c>
      <c r="B1" s="130"/>
      <c r="C1" s="34">
        <v>42046</v>
      </c>
    </row>
    <row r="2" spans="1:3" ht="16">
      <c r="A2" s="129" t="s">
        <v>1</v>
      </c>
      <c r="B2" s="131"/>
      <c r="C2" s="32" t="s">
        <v>181</v>
      </c>
    </row>
    <row r="3" spans="1:3">
      <c r="A3" s="11"/>
      <c r="B3" s="11"/>
      <c r="C3" s="10"/>
    </row>
    <row r="4" spans="1:3">
      <c r="A4" s="132" t="s">
        <v>49</v>
      </c>
      <c r="B4" s="132"/>
      <c r="C4" s="7" t="s">
        <v>106</v>
      </c>
    </row>
    <row r="6" spans="1:3">
      <c r="A6" s="41" t="s">
        <v>82</v>
      </c>
      <c r="B6" s="41" t="s">
        <v>83</v>
      </c>
      <c r="C6" s="41" t="s">
        <v>69</v>
      </c>
    </row>
    <row r="7" spans="1:3">
      <c r="A7" s="32" t="s">
        <v>84</v>
      </c>
      <c r="B7" s="37" t="s">
        <v>85</v>
      </c>
      <c r="C7" s="37" t="s">
        <v>100</v>
      </c>
    </row>
    <row r="8" spans="1:3">
      <c r="A8" s="32" t="s">
        <v>86</v>
      </c>
      <c r="B8" s="37" t="s">
        <v>87</v>
      </c>
      <c r="C8" s="37" t="s">
        <v>100</v>
      </c>
    </row>
    <row r="9" spans="1:3">
      <c r="A9" s="32" t="s">
        <v>88</v>
      </c>
      <c r="B9" s="37" t="s">
        <v>89</v>
      </c>
      <c r="C9" s="37" t="s">
        <v>100</v>
      </c>
    </row>
    <row r="10" spans="1:3">
      <c r="A10" s="32" t="s">
        <v>90</v>
      </c>
      <c r="B10" s="37" t="s">
        <v>91</v>
      </c>
      <c r="C10" s="37" t="s">
        <v>100</v>
      </c>
    </row>
    <row r="11" spans="1:3">
      <c r="A11" s="32" t="s">
        <v>174</v>
      </c>
      <c r="B11" s="37" t="s">
        <v>175</v>
      </c>
      <c r="C11" s="37" t="s">
        <v>100</v>
      </c>
    </row>
    <row r="12" spans="1:3">
      <c r="A12" s="32" t="s">
        <v>73</v>
      </c>
      <c r="B12" s="37" t="s">
        <v>92</v>
      </c>
      <c r="C12" s="37" t="s">
        <v>100</v>
      </c>
    </row>
    <row r="13" spans="1:3" ht="16">
      <c r="A13" s="71" t="s">
        <v>77</v>
      </c>
      <c r="B13" s="37" t="s">
        <v>93</v>
      </c>
      <c r="C13" s="37" t="s">
        <v>100</v>
      </c>
    </row>
    <row r="14" spans="1:3" ht="16">
      <c r="A14" s="71" t="s">
        <v>76</v>
      </c>
      <c r="B14" s="37" t="s">
        <v>93</v>
      </c>
      <c r="C14" s="37" t="s">
        <v>100</v>
      </c>
    </row>
    <row r="15" spans="1:3" ht="16">
      <c r="A15" s="32" t="s">
        <v>108</v>
      </c>
      <c r="B15" s="37" t="s">
        <v>94</v>
      </c>
      <c r="C15" s="37" t="s">
        <v>100</v>
      </c>
    </row>
    <row r="16" spans="1:3" ht="16">
      <c r="A16" s="32" t="s">
        <v>107</v>
      </c>
      <c r="B16" s="37" t="s">
        <v>93</v>
      </c>
      <c r="C16" s="37" t="s">
        <v>100</v>
      </c>
    </row>
    <row r="17" spans="1:3" ht="16">
      <c r="A17" s="32" t="s">
        <v>109</v>
      </c>
      <c r="B17" s="37" t="s">
        <v>93</v>
      </c>
      <c r="C17" s="37" t="s">
        <v>100</v>
      </c>
    </row>
    <row r="18" spans="1:3" ht="16">
      <c r="A18" s="32" t="s">
        <v>110</v>
      </c>
      <c r="B18" s="37" t="s">
        <v>179</v>
      </c>
      <c r="C18" s="37" t="s">
        <v>100</v>
      </c>
    </row>
    <row r="19" spans="1:3" ht="16">
      <c r="A19" s="32" t="s">
        <v>75</v>
      </c>
      <c r="B19" s="37" t="s">
        <v>180</v>
      </c>
      <c r="C19" s="37" t="s">
        <v>100</v>
      </c>
    </row>
    <row r="20" spans="1:3" ht="16">
      <c r="A20" s="32" t="s">
        <v>111</v>
      </c>
      <c r="B20" s="37" t="s">
        <v>95</v>
      </c>
      <c r="C20" s="37" t="s">
        <v>100</v>
      </c>
    </row>
    <row r="21" spans="1:3" ht="16">
      <c r="A21" s="32" t="s">
        <v>112</v>
      </c>
      <c r="B21" s="37" t="s">
        <v>96</v>
      </c>
      <c r="C21" s="37" t="s">
        <v>100</v>
      </c>
    </row>
    <row r="22" spans="1:3" ht="16">
      <c r="A22" s="32" t="s">
        <v>113</v>
      </c>
      <c r="B22" s="37" t="s">
        <v>97</v>
      </c>
      <c r="C22" s="37" t="s">
        <v>100</v>
      </c>
    </row>
    <row r="23" spans="1:3" ht="16">
      <c r="A23" s="32" t="s">
        <v>114</v>
      </c>
      <c r="B23" s="37" t="s">
        <v>97</v>
      </c>
      <c r="C23" s="37" t="s">
        <v>100</v>
      </c>
    </row>
    <row r="24" spans="1:3">
      <c r="A24" s="32" t="s">
        <v>98</v>
      </c>
      <c r="B24" s="37" t="s">
        <v>97</v>
      </c>
      <c r="C24" s="37" t="s">
        <v>100</v>
      </c>
    </row>
    <row r="25" spans="1:3">
      <c r="A25" s="32" t="s">
        <v>99</v>
      </c>
      <c r="B25" s="37" t="s">
        <v>97</v>
      </c>
      <c r="C25" s="37" t="s">
        <v>100</v>
      </c>
    </row>
    <row r="26" spans="1:3">
      <c r="A26" s="32" t="s">
        <v>74</v>
      </c>
      <c r="B26" s="37" t="s">
        <v>101</v>
      </c>
      <c r="C26" s="37" t="s">
        <v>102</v>
      </c>
    </row>
    <row r="27" spans="1:3">
      <c r="A27" s="32" t="s">
        <v>103</v>
      </c>
      <c r="B27" s="37" t="s">
        <v>100</v>
      </c>
      <c r="C27" s="37" t="s">
        <v>105</v>
      </c>
    </row>
    <row r="28" spans="1:3">
      <c r="A28" s="32" t="s">
        <v>104</v>
      </c>
      <c r="B28" s="37" t="s">
        <v>100</v>
      </c>
      <c r="C28" s="37" t="s">
        <v>105</v>
      </c>
    </row>
    <row r="29" spans="1:3" ht="16">
      <c r="A29" s="29" t="s">
        <v>148</v>
      </c>
      <c r="B29" s="29" t="s">
        <v>149</v>
      </c>
      <c r="C29" s="29" t="s">
        <v>150</v>
      </c>
    </row>
    <row r="30" spans="1:3" ht="16">
      <c r="A30" s="29" t="s">
        <v>176</v>
      </c>
      <c r="B30" s="29" t="s">
        <v>177</v>
      </c>
      <c r="C30" s="29" t="s">
        <v>178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59" zoomScale="98" zoomScaleNormal="98" zoomScalePageLayoutView="98" workbookViewId="0">
      <selection activeCell="B102" sqref="B102:B106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70.099999999999994</v>
      </c>
      <c r="C1" s="9" t="s">
        <v>51</v>
      </c>
    </row>
    <row r="3" spans="1:12">
      <c r="A3" s="132" t="s">
        <v>5</v>
      </c>
      <c r="B3" s="132" t="s">
        <v>36</v>
      </c>
      <c r="C3" s="132"/>
      <c r="D3" s="132" t="s">
        <v>52</v>
      </c>
      <c r="E3" s="132"/>
      <c r="F3" s="132"/>
      <c r="G3" s="8" t="s">
        <v>53</v>
      </c>
    </row>
    <row r="4" spans="1:12">
      <c r="A4" s="132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84">
        <v>207.82</v>
      </c>
      <c r="C5" s="36">
        <f>B5/1000</f>
        <v>0.20782</v>
      </c>
      <c r="D5" s="12">
        <f>C5/1000*$B$1</f>
        <v>1.4568181999999999E-2</v>
      </c>
      <c r="E5" s="12">
        <f>D5/22.4</f>
        <v>6.503652678571429E-4</v>
      </c>
      <c r="F5" s="12">
        <f>E5/Calculation!K$4*1000</f>
        <v>4.4212458725842484E-4</v>
      </c>
      <c r="G5" s="12">
        <f>(0+F5)/2*30</f>
        <v>6.631868808876373E-3</v>
      </c>
    </row>
    <row r="6" spans="1:12">
      <c r="A6" s="35">
        <v>0.5</v>
      </c>
      <c r="B6" s="84">
        <v>289.45</v>
      </c>
      <c r="C6" s="36">
        <f t="shared" ref="C6:C69" si="0">B6/1000</f>
        <v>0.28944999999999999</v>
      </c>
      <c r="D6" s="12">
        <f>C6/1000*$B$1</f>
        <v>2.0290444999999997E-2</v>
      </c>
      <c r="E6" s="12">
        <f t="shared" ref="E6:E69" si="1">D6/22.4</f>
        <v>9.0582343749999992E-4</v>
      </c>
      <c r="F6" s="12">
        <f>E6/Calculation!K$4*1000</f>
        <v>6.1578751699524134E-4</v>
      </c>
      <c r="G6" s="12">
        <f>G5+(F6+F5)/2*30</f>
        <v>2.2500550372681366E-2</v>
      </c>
    </row>
    <row r="7" spans="1:12">
      <c r="A7" s="35">
        <v>1</v>
      </c>
      <c r="B7" s="84">
        <v>315.22000000000003</v>
      </c>
      <c r="C7" s="36">
        <f t="shared" si="0"/>
        <v>0.31522</v>
      </c>
      <c r="D7" s="12">
        <f t="shared" ref="D7:D69" si="2">C7/1000*$B$1</f>
        <v>2.2096921999999998E-2</v>
      </c>
      <c r="E7" s="12">
        <f t="shared" si="1"/>
        <v>9.8646973214285721E-4</v>
      </c>
      <c r="F7" s="12">
        <f>E7/Calculation!K$4*1000</f>
        <v>6.70611646596096E-4</v>
      </c>
      <c r="G7" s="12">
        <f>G6+(F7+F6)/2*30</f>
        <v>4.1796537826551426E-2</v>
      </c>
    </row>
    <row r="8" spans="1:12">
      <c r="A8" s="35">
        <v>1.5</v>
      </c>
      <c r="B8" s="84">
        <v>283.3</v>
      </c>
      <c r="C8" s="36">
        <f t="shared" si="0"/>
        <v>0.2833</v>
      </c>
      <c r="D8" s="12">
        <f t="shared" si="2"/>
        <v>1.9859329999999998E-2</v>
      </c>
      <c r="E8" s="12">
        <f t="shared" si="1"/>
        <v>8.8657723214285707E-4</v>
      </c>
      <c r="F8" s="12">
        <f>E8/Calculation!K$4*1000</f>
        <v>6.0270376080411763E-4</v>
      </c>
      <c r="G8" s="12">
        <f t="shared" ref="G8:G70" si="3">G7+(F8+F7)/2*30</f>
        <v>6.0896268937554628E-2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84">
        <v>380.23</v>
      </c>
      <c r="C9" s="36">
        <f t="shared" si="0"/>
        <v>0.38023000000000001</v>
      </c>
      <c r="D9" s="12">
        <f t="shared" si="2"/>
        <v>2.6654122999999998E-2</v>
      </c>
      <c r="E9" s="12">
        <f t="shared" si="1"/>
        <v>1.1899162053571428E-3</v>
      </c>
      <c r="F9" s="12">
        <f>E9/Calculation!K$4*1000</f>
        <v>8.0891652301641253E-4</v>
      </c>
      <c r="G9" s="12">
        <f t="shared" si="3"/>
        <v>8.2070573194862578E-2</v>
      </c>
    </row>
    <row r="10" spans="1:12">
      <c r="A10" s="35">
        <v>2.5</v>
      </c>
      <c r="B10" s="84">
        <v>423.45</v>
      </c>
      <c r="C10" s="36">
        <f t="shared" si="0"/>
        <v>0.42344999999999999</v>
      </c>
      <c r="D10" s="12">
        <f t="shared" si="2"/>
        <v>2.9683845E-2</v>
      </c>
      <c r="E10" s="12">
        <f t="shared" si="1"/>
        <v>1.3251716517857144E-3</v>
      </c>
      <c r="F10" s="12">
        <f>E10/Calculation!K$4*1000</f>
        <v>9.0086448115956111E-4</v>
      </c>
      <c r="G10" s="12">
        <f t="shared" si="3"/>
        <v>0.10771728825750218</v>
      </c>
    </row>
    <row r="11" spans="1:12">
      <c r="A11" s="35">
        <v>3</v>
      </c>
      <c r="B11" s="84">
        <v>475.49</v>
      </c>
      <c r="C11" s="36">
        <f t="shared" si="0"/>
        <v>0.47549000000000002</v>
      </c>
      <c r="D11" s="12">
        <f t="shared" si="2"/>
        <v>3.3331848999999997E-2</v>
      </c>
      <c r="E11" s="12">
        <f t="shared" si="1"/>
        <v>1.4880289732142856E-3</v>
      </c>
      <c r="F11" s="12">
        <f>E11/Calculation!K$4*1000</f>
        <v>1.0115764603768086E-3</v>
      </c>
      <c r="G11" s="12">
        <f t="shared" si="3"/>
        <v>0.13640390238054773</v>
      </c>
    </row>
    <row r="12" spans="1:12">
      <c r="A12" s="35">
        <v>3.5</v>
      </c>
      <c r="B12" s="84">
        <v>526.04</v>
      </c>
      <c r="C12" s="36">
        <f t="shared" si="0"/>
        <v>0.52603999999999995</v>
      </c>
      <c r="D12" s="12">
        <f t="shared" si="2"/>
        <v>3.6875403999999994E-2</v>
      </c>
      <c r="E12" s="12">
        <f t="shared" si="1"/>
        <v>1.6462233928571427E-3</v>
      </c>
      <c r="F12" s="12">
        <f>E12/Calculation!K$4*1000</f>
        <v>1.1191185539477515E-3</v>
      </c>
      <c r="G12" s="12">
        <f t="shared" si="3"/>
        <v>0.16836432759541614</v>
      </c>
    </row>
    <row r="13" spans="1:12">
      <c r="A13" s="35">
        <v>4</v>
      </c>
      <c r="B13" s="84">
        <v>580.4</v>
      </c>
      <c r="C13" s="36">
        <f t="shared" si="0"/>
        <v>0.58040000000000003</v>
      </c>
      <c r="D13" s="12">
        <f t="shared" si="2"/>
        <v>4.068604E-2</v>
      </c>
      <c r="E13" s="12">
        <f t="shared" si="1"/>
        <v>1.8163410714285716E-3</v>
      </c>
      <c r="F13" s="12">
        <f>E13/Calculation!K$4*1000</f>
        <v>1.2347661940370984E-3</v>
      </c>
      <c r="G13" s="12">
        <f t="shared" si="3"/>
        <v>0.2036725988151889</v>
      </c>
    </row>
    <row r="14" spans="1:12">
      <c r="A14" s="35">
        <v>4.5</v>
      </c>
      <c r="B14" s="84">
        <v>661.87</v>
      </c>
      <c r="C14" s="36">
        <f t="shared" si="0"/>
        <v>0.66186999999999996</v>
      </c>
      <c r="D14" s="12">
        <f t="shared" si="2"/>
        <v>4.639708699999999E-2</v>
      </c>
      <c r="E14" s="12">
        <f t="shared" si="1"/>
        <v>2.0712985267857141E-3</v>
      </c>
      <c r="F14" s="12">
        <f>E14/Calculation!K$4*1000</f>
        <v>1.4080887333689424E-3</v>
      </c>
      <c r="G14" s="12">
        <f t="shared" si="3"/>
        <v>0.24331542272627951</v>
      </c>
    </row>
    <row r="15" spans="1:12">
      <c r="A15" s="35">
        <v>5</v>
      </c>
      <c r="B15" s="84">
        <v>742.5</v>
      </c>
      <c r="C15" s="36">
        <f t="shared" si="0"/>
        <v>0.74250000000000005</v>
      </c>
      <c r="D15" s="12">
        <f t="shared" si="2"/>
        <v>5.2049249999999998E-2</v>
      </c>
      <c r="E15" s="12">
        <f t="shared" si="1"/>
        <v>2.323627232142857E-3</v>
      </c>
      <c r="F15" s="12">
        <f>E15/Calculation!K$4*1000</f>
        <v>1.5796242230746817E-3</v>
      </c>
      <c r="G15" s="12">
        <f t="shared" si="3"/>
        <v>0.28813111707293387</v>
      </c>
    </row>
    <row r="16" spans="1:12">
      <c r="A16" s="35">
        <v>5.5</v>
      </c>
      <c r="B16" s="84">
        <v>862.04</v>
      </c>
      <c r="C16" s="36">
        <f t="shared" si="0"/>
        <v>0.86203999999999992</v>
      </c>
      <c r="D16" s="12">
        <f t="shared" si="2"/>
        <v>6.0429003999999988E-2</v>
      </c>
      <c r="E16" s="12">
        <f t="shared" si="1"/>
        <v>2.6977233928571426E-3</v>
      </c>
      <c r="F16" s="12">
        <f>E16/Calculation!K$4*1000</f>
        <v>1.8339384043896279E-3</v>
      </c>
      <c r="G16" s="12">
        <f t="shared" si="3"/>
        <v>0.33933455648489852</v>
      </c>
    </row>
    <row r="17" spans="1:7">
      <c r="A17" s="35">
        <v>6</v>
      </c>
      <c r="B17" s="84">
        <v>961.96</v>
      </c>
      <c r="C17" s="36">
        <f t="shared" si="0"/>
        <v>0.96196000000000004</v>
      </c>
      <c r="D17" s="12">
        <f t="shared" si="2"/>
        <v>6.7433395999999993E-2</v>
      </c>
      <c r="E17" s="12">
        <f t="shared" si="1"/>
        <v>3.0104194642857143E-3</v>
      </c>
      <c r="F17" s="12">
        <f>E17/Calculation!K$4*1000</f>
        <v>2.0465122122948435E-3</v>
      </c>
      <c r="G17" s="12">
        <f t="shared" si="3"/>
        <v>0.3975413157351656</v>
      </c>
    </row>
    <row r="18" spans="1:7">
      <c r="A18" s="35">
        <v>6.5</v>
      </c>
      <c r="B18" s="84">
        <v>1062.54</v>
      </c>
      <c r="C18" s="36">
        <f t="shared" si="0"/>
        <v>1.06254</v>
      </c>
      <c r="D18" s="12">
        <f t="shared" si="2"/>
        <v>7.4484053999999994E-2</v>
      </c>
      <c r="E18" s="12">
        <f t="shared" si="1"/>
        <v>3.3251809821428571E-3</v>
      </c>
      <c r="F18" s="12">
        <f>E18/Calculation!K$4*1000</f>
        <v>2.260490130620569E-3</v>
      </c>
      <c r="G18" s="12">
        <f t="shared" si="3"/>
        <v>0.46214635087889677</v>
      </c>
    </row>
    <row r="19" spans="1:7">
      <c r="A19" s="35">
        <v>7</v>
      </c>
      <c r="B19" s="84">
        <v>1162.46</v>
      </c>
      <c r="C19" s="36">
        <f t="shared" si="0"/>
        <v>1.16246</v>
      </c>
      <c r="D19" s="12">
        <f t="shared" si="2"/>
        <v>8.1488446000000006E-2</v>
      </c>
      <c r="E19" s="12">
        <f t="shared" si="1"/>
        <v>3.6378770535714293E-3</v>
      </c>
      <c r="F19" s="12">
        <f>E19/Calculation!K$4*1000</f>
        <v>2.4730639385257846E-3</v>
      </c>
      <c r="G19" s="12">
        <f t="shared" si="3"/>
        <v>0.53314966191609203</v>
      </c>
    </row>
    <row r="20" spans="1:7">
      <c r="A20" s="35">
        <v>7.5</v>
      </c>
      <c r="B20" s="84">
        <v>1314.42</v>
      </c>
      <c r="C20" s="36">
        <f t="shared" si="0"/>
        <v>1.3144200000000001</v>
      </c>
      <c r="D20" s="12">
        <f t="shared" si="2"/>
        <v>9.2140842000000001E-2</v>
      </c>
      <c r="E20" s="12">
        <f t="shared" si="1"/>
        <v>4.1134304464285716E-3</v>
      </c>
      <c r="F20" s="12">
        <f>E20/Calculation!K$4*1000</f>
        <v>2.7963497256482473E-3</v>
      </c>
      <c r="G20" s="12">
        <f t="shared" si="3"/>
        <v>0.6121908668787025</v>
      </c>
    </row>
    <row r="21" spans="1:7">
      <c r="A21" s="35">
        <v>8</v>
      </c>
      <c r="B21" s="84">
        <v>1494.31</v>
      </c>
      <c r="C21" s="36">
        <f t="shared" si="0"/>
        <v>1.49431</v>
      </c>
      <c r="D21" s="12">
        <f t="shared" si="2"/>
        <v>0.104751131</v>
      </c>
      <c r="E21" s="12">
        <f t="shared" si="1"/>
        <v>4.6763897767857143E-3</v>
      </c>
      <c r="F21" s="12">
        <f>E21/Calculation!K$4*1000</f>
        <v>3.1790549128386911E-3</v>
      </c>
      <c r="G21" s="12">
        <f t="shared" si="3"/>
        <v>0.70182193645600655</v>
      </c>
    </row>
    <row r="22" spans="1:7">
      <c r="A22" s="35">
        <v>8.5</v>
      </c>
      <c r="B22" s="84">
        <v>1712.44</v>
      </c>
      <c r="C22" s="36">
        <f t="shared" si="0"/>
        <v>1.71244</v>
      </c>
      <c r="D22" s="12">
        <f t="shared" si="2"/>
        <v>0.12004204399999999</v>
      </c>
      <c r="E22" s="12">
        <f t="shared" si="1"/>
        <v>5.3590198214285715E-3</v>
      </c>
      <c r="F22" s="12">
        <f>E22/Calculation!K$4*1000</f>
        <v>3.6431134068175197E-3</v>
      </c>
      <c r="G22" s="12">
        <f t="shared" si="3"/>
        <v>0.80415446125084977</v>
      </c>
    </row>
    <row r="23" spans="1:7">
      <c r="A23" s="35">
        <v>9</v>
      </c>
      <c r="B23" s="84">
        <v>1965.48</v>
      </c>
      <c r="C23" s="36">
        <f t="shared" si="0"/>
        <v>1.9654800000000001</v>
      </c>
      <c r="D23" s="12">
        <f t="shared" si="2"/>
        <v>0.13778014799999999</v>
      </c>
      <c r="E23" s="12">
        <f t="shared" si="1"/>
        <v>6.1508994642857145E-3</v>
      </c>
      <c r="F23" s="12">
        <f>E23/Calculation!K$4*1000</f>
        <v>4.1814408322812472E-3</v>
      </c>
      <c r="G23" s="12">
        <f t="shared" si="3"/>
        <v>0.92152277483733125</v>
      </c>
    </row>
    <row r="24" spans="1:7">
      <c r="A24" s="35">
        <v>9.5</v>
      </c>
      <c r="B24" s="84">
        <v>2331.58</v>
      </c>
      <c r="C24" s="36">
        <f t="shared" si="0"/>
        <v>2.3315799999999998</v>
      </c>
      <c r="D24" s="12">
        <f t="shared" si="2"/>
        <v>0.16344375799999997</v>
      </c>
      <c r="E24" s="12">
        <f t="shared" si="1"/>
        <v>7.2965963392857131E-3</v>
      </c>
      <c r="F24" s="12">
        <f>E24/Calculation!K$4*1000</f>
        <v>4.9602966276585409E-3</v>
      </c>
      <c r="G24" s="12">
        <f t="shared" si="3"/>
        <v>1.058648836736428</v>
      </c>
    </row>
    <row r="25" spans="1:7">
      <c r="A25" s="35">
        <v>10</v>
      </c>
      <c r="B25" s="84">
        <v>2745.72</v>
      </c>
      <c r="C25" s="36">
        <f t="shared" si="0"/>
        <v>2.7457199999999999</v>
      </c>
      <c r="D25" s="12">
        <f t="shared" si="2"/>
        <v>0.19247497199999999</v>
      </c>
      <c r="E25" s="12">
        <f t="shared" si="1"/>
        <v>8.5926326785714293E-3</v>
      </c>
      <c r="F25" s="12">
        <f>E25/Calculation!K$4*1000</f>
        <v>5.8413546421287764E-3</v>
      </c>
      <c r="G25" s="12">
        <f t="shared" si="3"/>
        <v>1.2206736057832377</v>
      </c>
    </row>
    <row r="26" spans="1:7">
      <c r="A26" s="35">
        <v>10.5</v>
      </c>
      <c r="B26" s="84">
        <v>3270.1</v>
      </c>
      <c r="C26" s="36">
        <f t="shared" si="0"/>
        <v>3.2700999999999998</v>
      </c>
      <c r="D26" s="12">
        <f t="shared" si="2"/>
        <v>0.22923400999999996</v>
      </c>
      <c r="E26" s="12">
        <f t="shared" si="1"/>
        <v>1.0233661160714285E-2</v>
      </c>
      <c r="F26" s="12">
        <f>E26/Calculation!K$4*1000</f>
        <v>6.9569416456249384E-3</v>
      </c>
      <c r="G26" s="12">
        <f t="shared" si="3"/>
        <v>1.4126480500995433</v>
      </c>
    </row>
    <row r="27" spans="1:7">
      <c r="A27" s="35">
        <v>11</v>
      </c>
      <c r="B27" s="84">
        <v>3806.77</v>
      </c>
      <c r="C27" s="36">
        <f t="shared" si="0"/>
        <v>3.8067699999999998</v>
      </c>
      <c r="D27" s="12">
        <f t="shared" si="2"/>
        <v>0.26685457699999998</v>
      </c>
      <c r="E27" s="12">
        <f t="shared" si="1"/>
        <v>1.1913150758928572E-2</v>
      </c>
      <c r="F27" s="12">
        <f>E27/Calculation!K$4*1000</f>
        <v>8.0986748871030405E-3</v>
      </c>
      <c r="G27" s="12">
        <f t="shared" si="3"/>
        <v>1.638482298090463</v>
      </c>
    </row>
    <row r="28" spans="1:7">
      <c r="A28" s="35">
        <v>11.5</v>
      </c>
      <c r="B28" s="84">
        <v>4454.67</v>
      </c>
      <c r="C28" s="36">
        <f t="shared" si="0"/>
        <v>4.4546700000000001</v>
      </c>
      <c r="D28" s="12">
        <f t="shared" si="2"/>
        <v>0.312272367</v>
      </c>
      <c r="E28" s="12">
        <f t="shared" si="1"/>
        <v>1.3940730669642859E-2</v>
      </c>
      <c r="F28" s="12">
        <f>E28/Calculation!K$4*1000</f>
        <v>9.4770432832378387E-3</v>
      </c>
      <c r="G28" s="12">
        <f t="shared" si="3"/>
        <v>1.9021180706455763</v>
      </c>
    </row>
    <row r="29" spans="1:7">
      <c r="A29" s="35">
        <v>12</v>
      </c>
      <c r="B29" s="84">
        <v>5143.3100000000004</v>
      </c>
      <c r="C29" s="36">
        <f t="shared" si="0"/>
        <v>5.1433100000000005</v>
      </c>
      <c r="D29" s="12">
        <f t="shared" si="2"/>
        <v>0.36054603100000004</v>
      </c>
      <c r="E29" s="12">
        <f t="shared" si="1"/>
        <v>1.6095804955357146E-2</v>
      </c>
      <c r="F29" s="12">
        <f>E29/Calculation!K$4*1000</f>
        <v>1.0942083586238712E-2</v>
      </c>
      <c r="G29" s="12">
        <f t="shared" si="3"/>
        <v>2.2084049736877245</v>
      </c>
    </row>
    <row r="30" spans="1:7">
      <c r="A30" s="35">
        <v>12.5</v>
      </c>
      <c r="B30" s="84">
        <v>5933.52</v>
      </c>
      <c r="C30" s="36">
        <f t="shared" si="0"/>
        <v>5.9335200000000006</v>
      </c>
      <c r="D30" s="12">
        <f t="shared" si="2"/>
        <v>0.415939752</v>
      </c>
      <c r="E30" s="12">
        <f t="shared" si="1"/>
        <v>1.8568738928571429E-2</v>
      </c>
      <c r="F30" s="12">
        <f>E30/Calculation!K$4*1000</f>
        <v>1.2623207973196078E-2</v>
      </c>
      <c r="G30" s="12">
        <f t="shared" si="3"/>
        <v>2.5618843470792463</v>
      </c>
    </row>
    <row r="31" spans="1:7">
      <c r="A31" s="35">
        <v>13</v>
      </c>
      <c r="B31" s="84">
        <v>6556.32</v>
      </c>
      <c r="C31" s="36">
        <f t="shared" si="0"/>
        <v>6.5563199999999995</v>
      </c>
      <c r="D31" s="12">
        <f t="shared" si="2"/>
        <v>0.45959803199999988</v>
      </c>
      <c r="E31" s="12">
        <f t="shared" si="1"/>
        <v>2.051776928571428E-2</v>
      </c>
      <c r="F31" s="12">
        <f>E31/Calculation!K$4*1000</f>
        <v>1.3948177624550837E-2</v>
      </c>
      <c r="G31" s="12">
        <f t="shared" si="3"/>
        <v>2.9604551310454501</v>
      </c>
    </row>
    <row r="32" spans="1:7">
      <c r="A32" s="35">
        <v>13.5</v>
      </c>
      <c r="B32" s="84">
        <v>7122.42</v>
      </c>
      <c r="C32" s="36">
        <f t="shared" si="0"/>
        <v>7.12242</v>
      </c>
      <c r="D32" s="12">
        <f t="shared" si="2"/>
        <v>0.49928164199999997</v>
      </c>
      <c r="E32" s="12">
        <f t="shared" si="1"/>
        <v>2.2289359017857144E-2</v>
      </c>
      <c r="F32" s="12">
        <f>E32/Calculation!K$4*1000</f>
        <v>1.5152521426143538E-2</v>
      </c>
      <c r="G32" s="12">
        <f t="shared" si="3"/>
        <v>3.3969656168058657</v>
      </c>
    </row>
    <row r="33" spans="1:7">
      <c r="A33" s="35">
        <v>14</v>
      </c>
      <c r="B33" s="84">
        <v>7609.72</v>
      </c>
      <c r="C33" s="36">
        <f t="shared" si="0"/>
        <v>7.6097200000000003</v>
      </c>
      <c r="D33" s="12">
        <f t="shared" si="2"/>
        <v>0.53344137199999997</v>
      </c>
      <c r="E33" s="12">
        <f t="shared" si="1"/>
        <v>2.3814346964285714E-2</v>
      </c>
      <c r="F33" s="12">
        <f>E33/Calculation!K$4*1000</f>
        <v>1.6189222953287365E-2</v>
      </c>
      <c r="G33" s="12">
        <f t="shared" si="3"/>
        <v>3.8670917824973294</v>
      </c>
    </row>
    <row r="34" spans="1:7">
      <c r="A34" s="35">
        <v>14.5</v>
      </c>
      <c r="B34" s="84">
        <v>7909.48</v>
      </c>
      <c r="C34" s="36">
        <f t="shared" si="0"/>
        <v>7.9094799999999994</v>
      </c>
      <c r="D34" s="12">
        <f t="shared" si="2"/>
        <v>0.55445454799999994</v>
      </c>
      <c r="E34" s="12">
        <f t="shared" si="1"/>
        <v>2.4752435178571428E-2</v>
      </c>
      <c r="F34" s="12">
        <f>E34/Calculation!K$4*1000</f>
        <v>1.6826944377003012E-2</v>
      </c>
      <c r="G34" s="12">
        <f t="shared" si="3"/>
        <v>4.3623342924516848</v>
      </c>
    </row>
    <row r="35" spans="1:7">
      <c r="A35" s="35">
        <v>15</v>
      </c>
      <c r="B35" s="84">
        <v>8030.18</v>
      </c>
      <c r="C35" s="36">
        <f t="shared" si="0"/>
        <v>8.0301799999999997</v>
      </c>
      <c r="D35" s="12">
        <f t="shared" si="2"/>
        <v>0.5629156179999999</v>
      </c>
      <c r="E35" s="12">
        <f t="shared" si="1"/>
        <v>2.5130161517857141E-2</v>
      </c>
      <c r="F35" s="12">
        <f>E35/Calculation!K$4*1000</f>
        <v>1.7083726388754005E-2</v>
      </c>
      <c r="G35" s="12">
        <f t="shared" si="3"/>
        <v>4.8709943539380403</v>
      </c>
    </row>
    <row r="36" spans="1:7">
      <c r="A36" s="35">
        <v>15.5</v>
      </c>
      <c r="B36" s="84">
        <v>8167.84</v>
      </c>
      <c r="C36" s="36">
        <f t="shared" si="0"/>
        <v>8.16784</v>
      </c>
      <c r="D36" s="12">
        <f t="shared" si="2"/>
        <v>0.57256558399999991</v>
      </c>
      <c r="E36" s="12">
        <f t="shared" si="1"/>
        <v>2.556096357142857E-2</v>
      </c>
      <c r="F36" s="12">
        <f>E36/Calculation!K$4*1000</f>
        <v>1.7376589783432067E-2</v>
      </c>
      <c r="G36" s="12">
        <f t="shared" si="3"/>
        <v>5.3878990965208313</v>
      </c>
    </row>
    <row r="37" spans="1:7">
      <c r="A37" s="35">
        <v>16</v>
      </c>
      <c r="B37" s="84">
        <v>8174.82</v>
      </c>
      <c r="C37" s="36">
        <f t="shared" si="0"/>
        <v>8.1748200000000004</v>
      </c>
      <c r="D37" s="12">
        <f t="shared" si="2"/>
        <v>0.57305488199999999</v>
      </c>
      <c r="E37" s="12">
        <f t="shared" si="1"/>
        <v>2.558280723214286E-2</v>
      </c>
      <c r="F37" s="12">
        <f>E37/Calculation!K$4*1000</f>
        <v>1.7391439314848989E-2</v>
      </c>
      <c r="G37" s="12">
        <f t="shared" si="3"/>
        <v>5.909419532995047</v>
      </c>
    </row>
    <row r="38" spans="1:7">
      <c r="A38" s="35">
        <v>16.5</v>
      </c>
      <c r="B38" s="84">
        <v>8143.23</v>
      </c>
      <c r="C38" s="36">
        <f t="shared" si="0"/>
        <v>8.1432299999999991</v>
      </c>
      <c r="D38" s="12">
        <f t="shared" si="2"/>
        <v>0.57084042299999993</v>
      </c>
      <c r="E38" s="12">
        <f t="shared" si="1"/>
        <v>2.5483947455357141E-2</v>
      </c>
      <c r="F38" s="12">
        <f>E38/Calculation!K$4*1000</f>
        <v>1.7324233484267263E-2</v>
      </c>
      <c r="G38" s="12">
        <f t="shared" si="3"/>
        <v>6.4301546249817907</v>
      </c>
    </row>
    <row r="39" spans="1:7">
      <c r="A39" s="35">
        <v>17</v>
      </c>
      <c r="B39" s="84">
        <v>7981.97</v>
      </c>
      <c r="C39" s="36">
        <f t="shared" si="0"/>
        <v>7.9819700000000005</v>
      </c>
      <c r="D39" s="12">
        <f t="shared" si="2"/>
        <v>0.55953609699999995</v>
      </c>
      <c r="E39" s="12">
        <f t="shared" si="1"/>
        <v>2.4979290044642857E-2</v>
      </c>
      <c r="F39" s="12">
        <f>E39/Calculation!K$4*1000</f>
        <v>1.6981162504855783E-2</v>
      </c>
      <c r="G39" s="12">
        <f>G38+(F39+F38)/2*30</f>
        <v>6.944735564818636</v>
      </c>
    </row>
    <row r="40" spans="1:7">
      <c r="A40" s="35">
        <v>17.5</v>
      </c>
      <c r="B40" s="84">
        <v>2997.77</v>
      </c>
      <c r="C40" s="36">
        <f t="shared" si="0"/>
        <v>2.99777</v>
      </c>
      <c r="D40" s="12">
        <f t="shared" si="2"/>
        <v>0.21014367699999997</v>
      </c>
      <c r="E40" s="12">
        <f t="shared" si="1"/>
        <v>9.3814141517857136E-3</v>
      </c>
      <c r="F40" s="12">
        <f>E40/Calculation!K$4*1000</f>
        <v>6.3775759019617361E-3</v>
      </c>
      <c r="G40" s="12">
        <f t="shared" si="3"/>
        <v>7.2951166409208987</v>
      </c>
    </row>
    <row r="41" spans="1:7">
      <c r="A41" s="35">
        <v>18</v>
      </c>
      <c r="B41" s="84">
        <v>7624.51</v>
      </c>
      <c r="C41" s="36">
        <f t="shared" si="0"/>
        <v>7.6245099999999999</v>
      </c>
      <c r="D41" s="12">
        <f t="shared" si="2"/>
        <v>0.53447815099999996</v>
      </c>
      <c r="E41" s="12">
        <f t="shared" si="1"/>
        <v>2.3860631741071427E-2</v>
      </c>
      <c r="F41" s="12">
        <f>E41/Calculation!K$4*1000</f>
        <v>1.6220687791346992E-2</v>
      </c>
      <c r="G41" s="12">
        <f t="shared" si="3"/>
        <v>7.6340905963205294</v>
      </c>
    </row>
    <row r="42" spans="1:7">
      <c r="A42" s="35">
        <v>18.5</v>
      </c>
      <c r="B42" s="84">
        <v>7231.32</v>
      </c>
      <c r="C42" s="36">
        <f t="shared" si="0"/>
        <v>7.2313199999999993</v>
      </c>
      <c r="D42" s="12">
        <f t="shared" si="2"/>
        <v>0.50691553199999995</v>
      </c>
      <c r="E42" s="12">
        <f t="shared" si="1"/>
        <v>2.2630157678571426E-2</v>
      </c>
      <c r="F42" s="12">
        <f>E42/Calculation!K$4*1000</f>
        <v>1.5384199645527822E-2</v>
      </c>
      <c r="G42" s="12">
        <f t="shared" si="3"/>
        <v>8.1081639078736512</v>
      </c>
    </row>
    <row r="43" spans="1:7">
      <c r="A43" s="35">
        <v>19</v>
      </c>
      <c r="B43" s="84">
        <v>6721.08</v>
      </c>
      <c r="C43" s="36">
        <f t="shared" si="0"/>
        <v>6.7210799999999997</v>
      </c>
      <c r="D43" s="12">
        <f t="shared" si="2"/>
        <v>0.47114770799999994</v>
      </c>
      <c r="E43" s="12">
        <f t="shared" si="1"/>
        <v>2.1033379821428569E-2</v>
      </c>
      <c r="F43" s="12">
        <f>E43/Calculation!K$4*1000</f>
        <v>1.4298694644071087E-2</v>
      </c>
      <c r="G43" s="12">
        <f t="shared" si="3"/>
        <v>8.5534073222176339</v>
      </c>
    </row>
    <row r="44" spans="1:7">
      <c r="A44" s="35">
        <v>19.5</v>
      </c>
      <c r="B44" s="84">
        <v>6310.76</v>
      </c>
      <c r="C44" s="36">
        <f t="shared" si="0"/>
        <v>6.3107600000000001</v>
      </c>
      <c r="D44" s="12">
        <f t="shared" si="2"/>
        <v>0.44238427599999997</v>
      </c>
      <c r="E44" s="12">
        <f t="shared" si="1"/>
        <v>1.9749298035714284E-2</v>
      </c>
      <c r="F44" s="12">
        <f>E44/Calculation!K$4*1000</f>
        <v>1.3425763450519566E-2</v>
      </c>
      <c r="G44" s="12">
        <f t="shared" si="3"/>
        <v>8.9692741936364939</v>
      </c>
    </row>
    <row r="45" spans="1:7">
      <c r="A45" s="35">
        <v>20</v>
      </c>
      <c r="B45" s="84">
        <v>5865.02</v>
      </c>
      <c r="C45" s="36">
        <f t="shared" si="0"/>
        <v>5.8650200000000003</v>
      </c>
      <c r="D45" s="12">
        <f t="shared" si="2"/>
        <v>0.411137902</v>
      </c>
      <c r="E45" s="12">
        <f t="shared" si="1"/>
        <v>1.8354370625000001E-2</v>
      </c>
      <c r="F45" s="12">
        <f>E45/Calculation!K$4*1000</f>
        <v>1.2477478331067302E-2</v>
      </c>
      <c r="G45" s="12">
        <f t="shared" si="3"/>
        <v>9.3578228203602976</v>
      </c>
    </row>
    <row r="46" spans="1:7">
      <c r="A46" s="35">
        <v>20.5</v>
      </c>
      <c r="B46" s="84">
        <v>5485.13</v>
      </c>
      <c r="C46" s="36">
        <f t="shared" si="0"/>
        <v>5.4851299999999998</v>
      </c>
      <c r="D46" s="12">
        <f t="shared" si="2"/>
        <v>0.38450761299999991</v>
      </c>
      <c r="E46" s="12">
        <f t="shared" si="1"/>
        <v>1.7165518437499996E-2</v>
      </c>
      <c r="F46" s="12">
        <f>E46/Calculation!K$4*1000</f>
        <v>1.1669285137661451E-2</v>
      </c>
      <c r="G46" s="12">
        <f t="shared" si="3"/>
        <v>9.7200242723912282</v>
      </c>
    </row>
    <row r="47" spans="1:7">
      <c r="A47" s="35">
        <v>21</v>
      </c>
      <c r="B47" s="84">
        <v>5183.54</v>
      </c>
      <c r="C47" s="36">
        <f t="shared" si="0"/>
        <v>5.1835399999999998</v>
      </c>
      <c r="D47" s="12">
        <f t="shared" si="2"/>
        <v>0.36336615399999994</v>
      </c>
      <c r="E47" s="12">
        <f t="shared" si="1"/>
        <v>1.6221703303571425E-2</v>
      </c>
      <c r="F47" s="12">
        <f>E47/Calculation!K$4*1000</f>
        <v>1.1027670498688935E-2</v>
      </c>
      <c r="G47" s="12">
        <f t="shared" si="3"/>
        <v>10.060478606936485</v>
      </c>
    </row>
    <row r="48" spans="1:7">
      <c r="A48" s="35">
        <v>21.5</v>
      </c>
      <c r="B48" s="84">
        <v>4894.09</v>
      </c>
      <c r="C48" s="36">
        <f t="shared" si="0"/>
        <v>4.8940900000000003</v>
      </c>
      <c r="D48" s="12">
        <f t="shared" si="2"/>
        <v>0.34307570900000001</v>
      </c>
      <c r="E48" s="12">
        <f t="shared" si="1"/>
        <v>1.5315879866071429E-2</v>
      </c>
      <c r="F48" s="12">
        <f>E48/Calculation!K$4*1000</f>
        <v>1.0411882981693698E-2</v>
      </c>
      <c r="G48" s="12">
        <f t="shared" si="3"/>
        <v>10.382071909142224</v>
      </c>
    </row>
    <row r="49" spans="1:7">
      <c r="A49" s="35">
        <v>22</v>
      </c>
      <c r="B49" s="84">
        <v>4604.97</v>
      </c>
      <c r="C49" s="36">
        <f t="shared" si="0"/>
        <v>4.6049700000000007</v>
      </c>
      <c r="D49" s="12">
        <f t="shared" si="2"/>
        <v>0.32280839700000002</v>
      </c>
      <c r="E49" s="12">
        <f t="shared" si="1"/>
        <v>1.4411089151785716E-2</v>
      </c>
      <c r="F49" s="12">
        <f>E49/Calculation!K$4*1000</f>
        <v>9.7967975199087128E-3</v>
      </c>
      <c r="G49" s="12">
        <f t="shared" si="3"/>
        <v>10.685202116666261</v>
      </c>
    </row>
    <row r="50" spans="1:7">
      <c r="A50" s="35">
        <v>22.5</v>
      </c>
      <c r="B50" s="84">
        <v>4306.7</v>
      </c>
      <c r="C50" s="36">
        <f t="shared" si="0"/>
        <v>4.3067000000000002</v>
      </c>
      <c r="D50" s="12">
        <f t="shared" si="2"/>
        <v>0.30189967000000001</v>
      </c>
      <c r="E50" s="12">
        <f t="shared" si="1"/>
        <v>1.3477663839285715E-2</v>
      </c>
      <c r="F50" s="12">
        <f>E50/Calculation!K$4*1000</f>
        <v>9.1622459818393714E-3</v>
      </c>
      <c r="G50" s="12">
        <f t="shared" si="3"/>
        <v>10.969587769192483</v>
      </c>
    </row>
    <row r="51" spans="1:7">
      <c r="A51" s="35">
        <v>23</v>
      </c>
      <c r="B51" s="84">
        <v>4019.91</v>
      </c>
      <c r="C51" s="36">
        <f t="shared" si="0"/>
        <v>4.0199099999999994</v>
      </c>
      <c r="D51" s="12">
        <f t="shared" si="2"/>
        <v>0.28179569099999996</v>
      </c>
      <c r="E51" s="12">
        <f t="shared" si="1"/>
        <v>1.2580164776785713E-2</v>
      </c>
      <c r="F51" s="12">
        <f>E51/Calculation!K$4*1000</f>
        <v>8.5521174553267933E-3</v>
      </c>
      <c r="G51" s="12">
        <f t="shared" si="3"/>
        <v>11.235303220749975</v>
      </c>
    </row>
    <row r="52" spans="1:7">
      <c r="A52" s="35">
        <v>23.5</v>
      </c>
      <c r="B52" s="84">
        <v>3879.92</v>
      </c>
      <c r="C52" s="36">
        <f t="shared" si="0"/>
        <v>3.8799200000000003</v>
      </c>
      <c r="D52" s="12">
        <f t="shared" si="2"/>
        <v>0.27198239200000002</v>
      </c>
      <c r="E52" s="12">
        <f t="shared" si="1"/>
        <v>1.2142071071428572E-2</v>
      </c>
      <c r="F52" s="12">
        <f>E52/Calculation!K$4*1000</f>
        <v>8.2542971253763246E-3</v>
      </c>
      <c r="G52" s="12">
        <f t="shared" si="3"/>
        <v>11.487399439460521</v>
      </c>
    </row>
    <row r="53" spans="1:7">
      <c r="A53" s="35">
        <v>24</v>
      </c>
      <c r="B53" s="84">
        <v>3834.54</v>
      </c>
      <c r="C53" s="36">
        <f t="shared" si="0"/>
        <v>3.8345400000000001</v>
      </c>
      <c r="D53" s="12">
        <f t="shared" si="2"/>
        <v>0.26880125399999999</v>
      </c>
      <c r="E53" s="12">
        <f t="shared" si="1"/>
        <v>1.2000055982142857E-2</v>
      </c>
      <c r="F53" s="12">
        <f>E53/Calculation!K$4*1000</f>
        <v>8.1577538967660471E-3</v>
      </c>
      <c r="G53" s="12">
        <f t="shared" si="3"/>
        <v>11.733580204792657</v>
      </c>
    </row>
    <row r="54" spans="1:7">
      <c r="A54" s="35">
        <v>24.5</v>
      </c>
      <c r="B54" s="84">
        <v>3671.44</v>
      </c>
      <c r="C54" s="36">
        <f t="shared" si="0"/>
        <v>3.67144</v>
      </c>
      <c r="D54" s="12">
        <f t="shared" si="2"/>
        <v>0.25736794400000002</v>
      </c>
      <c r="E54" s="12">
        <f t="shared" si="1"/>
        <v>1.1489640357142859E-2</v>
      </c>
      <c r="F54" s="12">
        <f>E54/Calculation!K$4*1000</f>
        <v>7.810768427697388E-3</v>
      </c>
      <c r="G54" s="12">
        <f t="shared" si="3"/>
        <v>11.973108039659609</v>
      </c>
    </row>
    <row r="55" spans="1:7">
      <c r="A55" s="35">
        <v>25</v>
      </c>
      <c r="B55" s="84">
        <v>3536.44</v>
      </c>
      <c r="C55" s="36">
        <f t="shared" si="0"/>
        <v>3.5364400000000002</v>
      </c>
      <c r="D55" s="12">
        <f t="shared" si="2"/>
        <v>0.24790444399999997</v>
      </c>
      <c r="E55" s="12">
        <f t="shared" si="1"/>
        <v>1.1067162678571428E-2</v>
      </c>
      <c r="F55" s="12">
        <f>E55/Calculation!K$4*1000</f>
        <v>7.5235640235019902E-3</v>
      </c>
      <c r="G55" s="12">
        <f t="shared" si="3"/>
        <v>12.203123026427599</v>
      </c>
    </row>
    <row r="56" spans="1:7">
      <c r="A56" s="35">
        <v>25.5</v>
      </c>
      <c r="B56" s="84">
        <v>3450.48</v>
      </c>
      <c r="C56" s="36">
        <f t="shared" si="0"/>
        <v>3.4504800000000002</v>
      </c>
      <c r="D56" s="12">
        <f t="shared" si="2"/>
        <v>0.241878648</v>
      </c>
      <c r="E56" s="12">
        <f t="shared" si="1"/>
        <v>1.0798153928571429E-2</v>
      </c>
      <c r="F56" s="12">
        <f>E56/Calculation!K$4*1000</f>
        <v>7.3406892784306111E-3</v>
      </c>
      <c r="G56" s="12">
        <f t="shared" si="3"/>
        <v>12.426086825956588</v>
      </c>
    </row>
    <row r="57" spans="1:7">
      <c r="A57" s="35">
        <v>26</v>
      </c>
      <c r="B57" s="84">
        <v>3384.65</v>
      </c>
      <c r="C57" s="36">
        <f t="shared" si="0"/>
        <v>3.3846500000000002</v>
      </c>
      <c r="D57" s="12">
        <f t="shared" si="2"/>
        <v>0.23726396499999999</v>
      </c>
      <c r="E57" s="12">
        <f t="shared" si="1"/>
        <v>1.0592141294642858E-2</v>
      </c>
      <c r="F57" s="12">
        <f>E57/Calculation!K$4*1000</f>
        <v>7.2006399011848117E-3</v>
      </c>
      <c r="G57" s="12">
        <f t="shared" si="3"/>
        <v>12.64420676365082</v>
      </c>
    </row>
    <row r="58" spans="1:7">
      <c r="A58" s="35">
        <v>26.5</v>
      </c>
      <c r="B58" s="84">
        <v>3332.11</v>
      </c>
      <c r="C58" s="36">
        <f t="shared" si="0"/>
        <v>3.3321100000000001</v>
      </c>
      <c r="D58" s="12">
        <f t="shared" si="2"/>
        <v>0.233580911</v>
      </c>
      <c r="E58" s="12">
        <f t="shared" si="1"/>
        <v>1.0427719241071429E-2</v>
      </c>
      <c r="F58" s="12">
        <f>E58/Calculation!K$4*1000</f>
        <v>7.0888642019520257E-3</v>
      </c>
      <c r="G58" s="12">
        <f t="shared" si="3"/>
        <v>12.858549325197872</v>
      </c>
    </row>
    <row r="59" spans="1:7">
      <c r="A59" s="35">
        <v>27</v>
      </c>
      <c r="B59" s="84">
        <v>3273.75</v>
      </c>
      <c r="C59" s="36">
        <f t="shared" si="0"/>
        <v>3.2737500000000002</v>
      </c>
      <c r="D59" s="12">
        <f t="shared" si="2"/>
        <v>0.22948987499999998</v>
      </c>
      <c r="E59" s="12">
        <f t="shared" si="1"/>
        <v>1.0245083705357143E-2</v>
      </c>
      <c r="F59" s="12">
        <f>E59/Calculation!K$4*1000</f>
        <v>6.9647068017383703E-3</v>
      </c>
      <c r="G59" s="12">
        <f t="shared" si="3"/>
        <v>13.069352890253228</v>
      </c>
    </row>
    <row r="60" spans="1:7">
      <c r="A60" s="35">
        <v>27.5</v>
      </c>
      <c r="B60" s="84">
        <v>3219.72</v>
      </c>
      <c r="C60" s="36">
        <f t="shared" si="0"/>
        <v>3.2197199999999997</v>
      </c>
      <c r="D60" s="12">
        <f t="shared" si="2"/>
        <v>0.22570237199999996</v>
      </c>
      <c r="E60" s="12">
        <f t="shared" si="1"/>
        <v>1.0075998749999999E-2</v>
      </c>
      <c r="F60" s="12">
        <f>E60/Calculation!K$4*1000</f>
        <v>6.8497612168592781E-3</v>
      </c>
      <c r="G60" s="12">
        <f t="shared" si="3"/>
        <v>13.276569910532192</v>
      </c>
    </row>
    <row r="61" spans="1:7">
      <c r="A61" s="35">
        <v>28</v>
      </c>
      <c r="B61" s="84">
        <v>3230.53</v>
      </c>
      <c r="C61" s="36">
        <f t="shared" si="0"/>
        <v>3.2305300000000003</v>
      </c>
      <c r="D61" s="12">
        <f t="shared" si="2"/>
        <v>0.22646015300000003</v>
      </c>
      <c r="E61" s="12">
        <f t="shared" si="1"/>
        <v>1.0109828258928573E-2</v>
      </c>
      <c r="F61" s="12">
        <f>E61/Calculation!K$4*1000</f>
        <v>6.872758843595222E-3</v>
      </c>
      <c r="G61" s="12">
        <f t="shared" si="3"/>
        <v>13.482407711439009</v>
      </c>
    </row>
    <row r="62" spans="1:7">
      <c r="A62" s="35">
        <v>28.5</v>
      </c>
      <c r="B62" s="84">
        <v>3157.87</v>
      </c>
      <c r="C62" s="36">
        <f t="shared" si="0"/>
        <v>3.15787</v>
      </c>
      <c r="D62" s="12">
        <f t="shared" si="2"/>
        <v>0.22136668699999998</v>
      </c>
      <c r="E62" s="12">
        <f t="shared" si="1"/>
        <v>9.8824413839285717E-3</v>
      </c>
      <c r="F62" s="12">
        <f>E62/Calculation!K$4*1000</f>
        <v>6.7181790509371663E-3</v>
      </c>
      <c r="G62" s="12">
        <f t="shared" si="3"/>
        <v>13.686271779856995</v>
      </c>
    </row>
    <row r="63" spans="1:7">
      <c r="A63" s="35">
        <v>29</v>
      </c>
      <c r="B63" s="84">
        <v>3128.94</v>
      </c>
      <c r="C63" s="36">
        <f t="shared" si="0"/>
        <v>3.1289400000000001</v>
      </c>
      <c r="D63" s="12">
        <f t="shared" si="2"/>
        <v>0.219338694</v>
      </c>
      <c r="E63" s="12">
        <f t="shared" si="1"/>
        <v>9.7919059821428584E-3</v>
      </c>
      <c r="F63" s="12">
        <f>E63/Calculation!K$4*1000</f>
        <v>6.6566322108381091E-3</v>
      </c>
      <c r="G63" s="12">
        <f t="shared" si="3"/>
        <v>13.886893948783623</v>
      </c>
    </row>
    <row r="64" spans="1:7">
      <c r="A64" s="35">
        <v>29.5</v>
      </c>
      <c r="B64" s="84">
        <v>3155.88</v>
      </c>
      <c r="C64" s="36">
        <f t="shared" si="0"/>
        <v>3.1558800000000002</v>
      </c>
      <c r="D64" s="12">
        <f t="shared" si="2"/>
        <v>0.22122718799999999</v>
      </c>
      <c r="E64" s="12">
        <f t="shared" si="1"/>
        <v>9.8762137499999996E-3</v>
      </c>
      <c r="F64" s="12">
        <f>E64/Calculation!K$4*1000</f>
        <v>6.7139454452753225E-3</v>
      </c>
      <c r="G64" s="12">
        <f t="shared" si="3"/>
        <v>14.087452613625324</v>
      </c>
    </row>
    <row r="65" spans="1:7">
      <c r="A65" s="35">
        <v>30</v>
      </c>
      <c r="B65" s="84">
        <v>3277.08</v>
      </c>
      <c r="C65" s="36">
        <f t="shared" si="0"/>
        <v>3.2770799999999998</v>
      </c>
      <c r="D65" s="12">
        <f t="shared" si="2"/>
        <v>0.22972330799999999</v>
      </c>
      <c r="E65" s="12">
        <f t="shared" si="1"/>
        <v>1.0255504821428571E-2</v>
      </c>
      <c r="F65" s="12">
        <f>E65/Calculation!K$4*1000</f>
        <v>6.9717911770418566E-3</v>
      </c>
      <c r="G65" s="12">
        <f t="shared" si="3"/>
        <v>14.292738662960081</v>
      </c>
    </row>
    <row r="66" spans="1:7">
      <c r="A66" s="35">
        <v>30.5</v>
      </c>
      <c r="B66" s="84">
        <v>3289.22</v>
      </c>
      <c r="C66" s="36">
        <f t="shared" si="0"/>
        <v>3.2892199999999998</v>
      </c>
      <c r="D66" s="12">
        <f t="shared" si="2"/>
        <v>0.23057432199999997</v>
      </c>
      <c r="E66" s="12">
        <f t="shared" si="1"/>
        <v>1.0293496517857142E-2</v>
      </c>
      <c r="F66" s="12">
        <f>E66/Calculation!K$4*1000</f>
        <v>6.9976182990191312E-3</v>
      </c>
      <c r="G66" s="12">
        <f t="shared" si="3"/>
        <v>14.502279805100997</v>
      </c>
    </row>
    <row r="67" spans="1:7">
      <c r="A67" s="35">
        <v>31</v>
      </c>
      <c r="B67" s="84">
        <v>3122.46</v>
      </c>
      <c r="C67" s="36">
        <f t="shared" si="0"/>
        <v>3.1224600000000002</v>
      </c>
      <c r="D67" s="12">
        <f t="shared" si="2"/>
        <v>0.21888444599999998</v>
      </c>
      <c r="E67" s="12">
        <f t="shared" si="1"/>
        <v>9.7716270535714283E-3</v>
      </c>
      <c r="F67" s="12">
        <f>E67/Calculation!K$4*1000</f>
        <v>6.6428463994367293E-3</v>
      </c>
      <c r="G67" s="12">
        <f t="shared" si="3"/>
        <v>14.706886775577836</v>
      </c>
    </row>
    <row r="68" spans="1:7">
      <c r="A68" s="35">
        <v>31.5</v>
      </c>
      <c r="B68" s="84">
        <v>3015.39</v>
      </c>
      <c r="C68" s="36">
        <f t="shared" si="0"/>
        <v>3.01539</v>
      </c>
      <c r="D68" s="12">
        <f t="shared" si="2"/>
        <v>0.21137883899999999</v>
      </c>
      <c r="E68" s="12">
        <f t="shared" si="1"/>
        <v>9.4365553124999991E-3</v>
      </c>
      <c r="F68" s="12">
        <f>E68/Calculation!K$4*1000</f>
        <v>6.4150613953093127E-3</v>
      </c>
      <c r="G68" s="12">
        <f t="shared" si="3"/>
        <v>14.902755392499026</v>
      </c>
    </row>
    <row r="69" spans="1:7">
      <c r="A69" s="35">
        <v>32</v>
      </c>
      <c r="B69" s="84">
        <v>2938.58</v>
      </c>
      <c r="C69" s="36">
        <f t="shared" si="0"/>
        <v>2.93858</v>
      </c>
      <c r="D69" s="12">
        <f t="shared" si="2"/>
        <v>0.20599445799999999</v>
      </c>
      <c r="E69" s="12">
        <f t="shared" si="1"/>
        <v>9.1961811607142851E-3</v>
      </c>
      <c r="F69" s="12">
        <f>E69/Calculation!K$4*1000</f>
        <v>6.2516527265222875E-3</v>
      </c>
      <c r="G69" s="12">
        <f t="shared" si="3"/>
        <v>15.092756104326501</v>
      </c>
    </row>
    <row r="70" spans="1:7">
      <c r="A70" s="35">
        <v>32.5</v>
      </c>
      <c r="B70" s="84">
        <v>2891.2</v>
      </c>
      <c r="C70" s="36">
        <f t="shared" ref="C70:C101" si="4">B70/1000</f>
        <v>2.8912</v>
      </c>
      <c r="D70" s="12">
        <f t="shared" ref="D70:D101" si="5">C70/1000*$B$1</f>
        <v>0.20267311999999998</v>
      </c>
      <c r="E70" s="12">
        <f t="shared" ref="E70:E101" si="6">D70/22.4</f>
        <v>9.0479071428571419E-3</v>
      </c>
      <c r="F70" s="12">
        <f>E70/Calculation!K$4*1000</f>
        <v>6.1508546178498588E-3</v>
      </c>
      <c r="G70" s="12">
        <f t="shared" si="3"/>
        <v>15.278793714492084</v>
      </c>
    </row>
    <row r="71" spans="1:7">
      <c r="A71" s="35">
        <v>33</v>
      </c>
      <c r="B71" s="84">
        <v>2839.16</v>
      </c>
      <c r="C71" s="36">
        <f t="shared" si="4"/>
        <v>2.8391599999999997</v>
      </c>
      <c r="D71" s="12">
        <f t="shared" si="5"/>
        <v>0.19902511599999997</v>
      </c>
      <c r="E71" s="12">
        <f t="shared" si="6"/>
        <v>8.88504982142857E-3</v>
      </c>
      <c r="F71" s="12">
        <f>E71/Calculation!K$4*1000</f>
        <v>6.0401426386326104E-3</v>
      </c>
      <c r="G71" s="12">
        <f t="shared" ref="G71:G101" si="7">G70+(F71+F70)/2*30</f>
        <v>15.46165867333932</v>
      </c>
    </row>
    <row r="72" spans="1:7">
      <c r="A72" s="35">
        <v>33.5</v>
      </c>
      <c r="B72" s="84">
        <v>2797.93</v>
      </c>
      <c r="C72" s="36">
        <f t="shared" si="4"/>
        <v>2.79793</v>
      </c>
      <c r="D72" s="12">
        <f t="shared" si="5"/>
        <v>0.196134893</v>
      </c>
      <c r="E72" s="12">
        <f t="shared" si="6"/>
        <v>8.7560220089285719E-3</v>
      </c>
      <c r="F72" s="12">
        <f>E72/Calculation!K$4*1000</f>
        <v>5.9524282861513067E-3</v>
      </c>
      <c r="G72" s="12">
        <f t="shared" si="7"/>
        <v>15.641547237211078</v>
      </c>
    </row>
    <row r="73" spans="1:7">
      <c r="A73" s="35">
        <v>34</v>
      </c>
      <c r="B73" s="84">
        <v>2818.71</v>
      </c>
      <c r="C73" s="36">
        <f t="shared" si="4"/>
        <v>2.8187099999999998</v>
      </c>
      <c r="D73" s="12">
        <f t="shared" si="5"/>
        <v>0.19759157099999997</v>
      </c>
      <c r="E73" s="12">
        <f t="shared" si="6"/>
        <v>8.8210522767857135E-3</v>
      </c>
      <c r="F73" s="12">
        <f>E73/Calculation!K$4*1000</f>
        <v>5.9966364899970859E-3</v>
      </c>
      <c r="G73" s="12">
        <f t="shared" si="7"/>
        <v>15.820783208853305</v>
      </c>
    </row>
    <row r="74" spans="1:7">
      <c r="A74" s="35">
        <v>34.5</v>
      </c>
      <c r="B74" s="84">
        <v>2763.68</v>
      </c>
      <c r="C74" s="36">
        <f t="shared" si="4"/>
        <v>2.7636799999999999</v>
      </c>
      <c r="D74" s="12">
        <f t="shared" si="5"/>
        <v>0.19373396800000001</v>
      </c>
      <c r="E74" s="12">
        <f t="shared" si="6"/>
        <v>8.6488378571428579E-3</v>
      </c>
      <c r="F74" s="12">
        <f>E74/Calculation!K$4*1000</f>
        <v>5.8795634650869186E-3</v>
      </c>
      <c r="G74" s="12">
        <f t="shared" si="7"/>
        <v>15.998926208179565</v>
      </c>
    </row>
    <row r="75" spans="1:7">
      <c r="A75" s="35">
        <v>35</v>
      </c>
      <c r="B75" s="84">
        <v>2739.24</v>
      </c>
      <c r="C75" s="36">
        <f t="shared" si="4"/>
        <v>2.7392399999999997</v>
      </c>
      <c r="D75" s="12">
        <f t="shared" si="5"/>
        <v>0.19202072399999995</v>
      </c>
      <c r="E75" s="12">
        <f t="shared" si="6"/>
        <v>8.5723537499999974E-3</v>
      </c>
      <c r="F75" s="12">
        <f>E75/Calculation!K$4*1000</f>
        <v>5.827568830727394E-3</v>
      </c>
      <c r="G75" s="12">
        <f t="shared" si="7"/>
        <v>16.174533192616781</v>
      </c>
    </row>
    <row r="76" spans="1:7">
      <c r="A76" s="35">
        <v>35.5</v>
      </c>
      <c r="B76" s="84">
        <v>2758.19</v>
      </c>
      <c r="C76" s="36">
        <f t="shared" si="4"/>
        <v>2.7581899999999999</v>
      </c>
      <c r="D76" s="12">
        <f t="shared" si="5"/>
        <v>0.19334911899999996</v>
      </c>
      <c r="E76" s="12">
        <f t="shared" si="6"/>
        <v>8.6316570982142848E-3</v>
      </c>
      <c r="F76" s="12">
        <f>E76/Calculation!K$4*1000</f>
        <v>5.8678838193163049E-3</v>
      </c>
      <c r="G76" s="12">
        <f t="shared" si="7"/>
        <v>16.349964982367435</v>
      </c>
    </row>
    <row r="77" spans="1:7">
      <c r="A77" s="35">
        <v>36</v>
      </c>
      <c r="B77" s="84">
        <v>2703.16</v>
      </c>
      <c r="C77" s="36">
        <f t="shared" si="4"/>
        <v>2.70316</v>
      </c>
      <c r="D77" s="12">
        <f t="shared" si="5"/>
        <v>0.189491516</v>
      </c>
      <c r="E77" s="12">
        <f t="shared" si="6"/>
        <v>8.4594426785714293E-3</v>
      </c>
      <c r="F77" s="12">
        <f>E77/Calculation!K$4*1000</f>
        <v>5.7508107944061375E-3</v>
      </c>
      <c r="G77" s="12">
        <f t="shared" si="7"/>
        <v>16.524245401573271</v>
      </c>
    </row>
    <row r="78" spans="1:7">
      <c r="A78" s="35">
        <v>36.5</v>
      </c>
      <c r="B78" s="84">
        <v>2693.35</v>
      </c>
      <c r="C78" s="36">
        <f t="shared" si="4"/>
        <v>2.6933499999999997</v>
      </c>
      <c r="D78" s="12">
        <f t="shared" si="5"/>
        <v>0.18880383499999998</v>
      </c>
      <c r="E78" s="12">
        <f t="shared" si="6"/>
        <v>8.4287426339285706E-3</v>
      </c>
      <c r="F78" s="12">
        <f>E78/Calculation!K$4*1000</f>
        <v>5.7299406077012715E-3</v>
      </c>
      <c r="G78" s="12">
        <f t="shared" si="7"/>
        <v>16.696456672604882</v>
      </c>
    </row>
    <row r="79" spans="1:7">
      <c r="A79" s="35">
        <v>37</v>
      </c>
      <c r="B79" s="84">
        <v>2672.4</v>
      </c>
      <c r="C79" s="36">
        <f t="shared" si="4"/>
        <v>2.6724000000000001</v>
      </c>
      <c r="D79" s="12">
        <f t="shared" si="5"/>
        <v>0.18733523999999999</v>
      </c>
      <c r="E79" s="12">
        <f t="shared" si="6"/>
        <v>8.3631803571428565E-3</v>
      </c>
      <c r="F79" s="12">
        <f>E79/Calculation!K$4*1000</f>
        <v>5.6853707390502085E-3</v>
      </c>
      <c r="G79" s="12">
        <f t="shared" si="7"/>
        <v>16.867686342806152</v>
      </c>
    </row>
    <row r="80" spans="1:7">
      <c r="A80" s="35">
        <v>37.5</v>
      </c>
      <c r="B80" s="84">
        <v>2622.69</v>
      </c>
      <c r="C80" s="36">
        <f t="shared" si="4"/>
        <v>2.62269</v>
      </c>
      <c r="D80" s="12">
        <f t="shared" si="5"/>
        <v>0.18385056899999999</v>
      </c>
      <c r="E80" s="12">
        <f t="shared" si="6"/>
        <v>8.2076146874999999E-3</v>
      </c>
      <c r="F80" s="12">
        <f>E80/Calculation!K$4*1000</f>
        <v>5.5796156951053704E-3</v>
      </c>
      <c r="G80" s="12">
        <f t="shared" si="7"/>
        <v>17.036661139318486</v>
      </c>
    </row>
    <row r="81" spans="1:7">
      <c r="A81" s="35">
        <v>38</v>
      </c>
      <c r="B81" s="84">
        <v>2613.0500000000002</v>
      </c>
      <c r="C81" s="36">
        <f t="shared" si="4"/>
        <v>2.6130500000000003</v>
      </c>
      <c r="D81" s="12">
        <f t="shared" si="5"/>
        <v>0.18317480500000002</v>
      </c>
      <c r="E81" s="12">
        <f t="shared" si="6"/>
        <v>8.1774466517857154E-3</v>
      </c>
      <c r="F81" s="12">
        <f>E81/Calculation!K$4*1000</f>
        <v>5.5591071732057889E-3</v>
      </c>
      <c r="G81" s="12">
        <f t="shared" si="7"/>
        <v>17.203741982343153</v>
      </c>
    </row>
    <row r="82" spans="1:7">
      <c r="A82" s="35">
        <v>38.5</v>
      </c>
      <c r="B82" s="84">
        <v>2518.2800000000002</v>
      </c>
      <c r="C82" s="36">
        <f t="shared" si="4"/>
        <v>2.5182800000000003</v>
      </c>
      <c r="D82" s="12">
        <f t="shared" si="5"/>
        <v>0.17653142800000002</v>
      </c>
      <c r="E82" s="12">
        <f t="shared" si="6"/>
        <v>7.8808673214285727E-3</v>
      </c>
      <c r="F82" s="12">
        <f>E82/Calculation!K$4*1000</f>
        <v>5.3574896814606206E-3</v>
      </c>
      <c r="G82" s="12">
        <f t="shared" si="7"/>
        <v>17.367490935163151</v>
      </c>
    </row>
    <row r="83" spans="1:7">
      <c r="A83" s="35">
        <v>39</v>
      </c>
      <c r="B83" s="84">
        <v>2486.86</v>
      </c>
      <c r="C83" s="36">
        <f t="shared" si="4"/>
        <v>2.4868600000000001</v>
      </c>
      <c r="D83" s="12">
        <f t="shared" si="5"/>
        <v>0.17432888599999999</v>
      </c>
      <c r="E83" s="12">
        <f t="shared" si="6"/>
        <v>7.7825395535714289E-3</v>
      </c>
      <c r="F83" s="12">
        <f>E83/Calculation!K$4*1000</f>
        <v>5.2906455156841795E-3</v>
      </c>
      <c r="G83" s="12">
        <f t="shared" si="7"/>
        <v>17.527212963120324</v>
      </c>
    </row>
    <row r="84" spans="1:7">
      <c r="A84" s="35">
        <v>39.5</v>
      </c>
      <c r="B84" s="84">
        <v>2471.9</v>
      </c>
      <c r="C84" s="36">
        <f t="shared" si="4"/>
        <v>2.4719000000000002</v>
      </c>
      <c r="D84" s="12">
        <f t="shared" si="5"/>
        <v>0.17328019</v>
      </c>
      <c r="E84" s="12">
        <f t="shared" si="6"/>
        <v>7.7357227678571438E-3</v>
      </c>
      <c r="F84" s="12">
        <f>E84/Calculation!K$4*1000</f>
        <v>5.2588190128192687E-3</v>
      </c>
      <c r="G84" s="12">
        <f t="shared" si="7"/>
        <v>17.685454931047875</v>
      </c>
    </row>
    <row r="85" spans="1:7">
      <c r="A85" s="35">
        <v>40</v>
      </c>
      <c r="B85" s="84">
        <v>2480.21</v>
      </c>
      <c r="C85" s="36">
        <f t="shared" si="4"/>
        <v>2.48021</v>
      </c>
      <c r="D85" s="12">
        <f t="shared" si="5"/>
        <v>0.173862721</v>
      </c>
      <c r="E85" s="12">
        <f t="shared" si="6"/>
        <v>7.761728616071429E-3</v>
      </c>
      <c r="F85" s="12">
        <f>E85/Calculation!K$4*1000</f>
        <v>5.2764980394775177E-3</v>
      </c>
      <c r="G85" s="12">
        <f t="shared" si="7"/>
        <v>17.843484686832326</v>
      </c>
    </row>
    <row r="86" spans="1:7">
      <c r="A86" s="35">
        <v>40.5</v>
      </c>
      <c r="B86" s="84">
        <v>2345.38</v>
      </c>
      <c r="C86" s="36">
        <f t="shared" si="4"/>
        <v>2.34538</v>
      </c>
      <c r="D86" s="12">
        <f t="shared" si="5"/>
        <v>0.16441113800000001</v>
      </c>
      <c r="E86" s="12">
        <f t="shared" si="6"/>
        <v>7.3397829464285722E-3</v>
      </c>
      <c r="F86" s="12">
        <f>E86/Calculation!K$4*1000</f>
        <v>4.9896553000874045E-3</v>
      </c>
      <c r="G86" s="12">
        <f t="shared" si="7"/>
        <v>17.9974769869258</v>
      </c>
    </row>
    <row r="87" spans="1:7">
      <c r="A87" s="35">
        <v>41</v>
      </c>
      <c r="B87" s="84">
        <v>2345.0500000000002</v>
      </c>
      <c r="C87" s="36">
        <f t="shared" si="4"/>
        <v>2.3450500000000001</v>
      </c>
      <c r="D87" s="12">
        <f t="shared" si="5"/>
        <v>0.16438800499999998</v>
      </c>
      <c r="E87" s="12">
        <f t="shared" si="6"/>
        <v>7.3387502232142854E-3</v>
      </c>
      <c r="F87" s="12">
        <f>E87/Calculation!K$4*1000</f>
        <v>4.9889532448771489E-3</v>
      </c>
      <c r="G87" s="12">
        <f t="shared" si="7"/>
        <v>18.14715611510027</v>
      </c>
    </row>
    <row r="88" spans="1:7">
      <c r="A88" s="35">
        <v>41.5</v>
      </c>
      <c r="B88" s="84">
        <v>2318.11</v>
      </c>
      <c r="C88" s="36">
        <f t="shared" si="4"/>
        <v>2.3181100000000003</v>
      </c>
      <c r="D88" s="12">
        <f t="shared" si="5"/>
        <v>0.16249951100000001</v>
      </c>
      <c r="E88" s="12">
        <f t="shared" si="6"/>
        <v>7.2544424553571442E-3</v>
      </c>
      <c r="F88" s="12">
        <f>E88/Calculation!K$4*1000</f>
        <v>4.9316400104399347E-3</v>
      </c>
      <c r="G88" s="12">
        <f t="shared" si="7"/>
        <v>18.295965013930026</v>
      </c>
    </row>
    <row r="89" spans="1:7">
      <c r="A89" s="35">
        <v>42</v>
      </c>
      <c r="B89" s="84">
        <v>2300.66</v>
      </c>
      <c r="C89" s="36">
        <f t="shared" si="4"/>
        <v>2.3006599999999997</v>
      </c>
      <c r="D89" s="12">
        <f t="shared" si="5"/>
        <v>0.16127626599999995</v>
      </c>
      <c r="E89" s="12">
        <f t="shared" si="6"/>
        <v>7.1998333035714268E-3</v>
      </c>
      <c r="F89" s="12">
        <f>E89/Calculation!K$4*1000</f>
        <v>4.8945161818976382E-3</v>
      </c>
      <c r="G89" s="12">
        <f t="shared" si="7"/>
        <v>18.443357356815088</v>
      </c>
    </row>
    <row r="90" spans="1:7">
      <c r="A90" s="35">
        <v>42.5</v>
      </c>
      <c r="B90" s="84">
        <v>2207.5500000000002</v>
      </c>
      <c r="C90" s="36">
        <f t="shared" si="4"/>
        <v>2.2075500000000003</v>
      </c>
      <c r="D90" s="12">
        <f t="shared" si="5"/>
        <v>0.154749255</v>
      </c>
      <c r="E90" s="12">
        <f t="shared" si="6"/>
        <v>6.908448883928572E-3</v>
      </c>
      <c r="F90" s="12">
        <f>E90/Calculation!K$4*1000</f>
        <v>4.6964302406040598E-3</v>
      </c>
      <c r="G90" s="12">
        <f t="shared" si="7"/>
        <v>18.587221553152613</v>
      </c>
    </row>
    <row r="91" spans="1:7">
      <c r="A91" s="35">
        <v>43</v>
      </c>
      <c r="B91" s="84">
        <v>2150.86</v>
      </c>
      <c r="C91" s="36">
        <f t="shared" si="4"/>
        <v>2.1508600000000002</v>
      </c>
      <c r="D91" s="12">
        <f t="shared" si="5"/>
        <v>0.15077528600000001</v>
      </c>
      <c r="E91" s="12">
        <f t="shared" si="6"/>
        <v>6.7310395535714294E-3</v>
      </c>
      <c r="F91" s="12">
        <f>E91/Calculation!K$4*1000</f>
        <v>4.5758256652423043E-3</v>
      </c>
      <c r="G91" s="12">
        <f t="shared" si="7"/>
        <v>18.726305391740308</v>
      </c>
    </row>
    <row r="92" spans="1:7">
      <c r="A92" s="35">
        <v>43.5</v>
      </c>
      <c r="B92" s="84">
        <v>2098.8200000000002</v>
      </c>
      <c r="C92" s="36">
        <f t="shared" si="4"/>
        <v>2.0988200000000004</v>
      </c>
      <c r="D92" s="12">
        <f t="shared" si="5"/>
        <v>0.14712728200000003</v>
      </c>
      <c r="E92" s="12">
        <f t="shared" si="6"/>
        <v>6.5681822321428584E-3</v>
      </c>
      <c r="F92" s="12">
        <f>E92/Calculation!K$4*1000</f>
        <v>4.4651136860250568E-3</v>
      </c>
      <c r="G92" s="12">
        <f t="shared" si="7"/>
        <v>18.86191948200932</v>
      </c>
    </row>
    <row r="93" spans="1:7">
      <c r="A93" s="35">
        <v>44</v>
      </c>
      <c r="B93" s="84">
        <v>2057.09</v>
      </c>
      <c r="C93" s="36">
        <f t="shared" si="4"/>
        <v>2.0570900000000001</v>
      </c>
      <c r="D93" s="12">
        <f t="shared" si="5"/>
        <v>0.14420200899999999</v>
      </c>
      <c r="E93" s="12">
        <f t="shared" si="6"/>
        <v>6.4375896875000001E-3</v>
      </c>
      <c r="F93" s="12">
        <f>E93/Calculation!K$4*1000</f>
        <v>4.3763356135282129E-3</v>
      </c>
      <c r="G93" s="12">
        <f t="shared" si="7"/>
        <v>18.994541221502619</v>
      </c>
    </row>
    <row r="94" spans="1:7">
      <c r="A94" s="35">
        <v>44.5</v>
      </c>
      <c r="B94" s="84">
        <v>2018.35</v>
      </c>
      <c r="C94" s="36">
        <f t="shared" si="4"/>
        <v>2.0183499999999999</v>
      </c>
      <c r="D94" s="12">
        <f t="shared" si="5"/>
        <v>0.14148633499999999</v>
      </c>
      <c r="E94" s="12">
        <f t="shared" si="6"/>
        <v>6.3163542410714282E-3</v>
      </c>
      <c r="F94" s="12">
        <f>E94/Calculation!K$4*1000</f>
        <v>4.2939185867242888E-3</v>
      </c>
      <c r="G94" s="12">
        <f t="shared" si="7"/>
        <v>19.124595034506406</v>
      </c>
    </row>
    <row r="95" spans="1:7">
      <c r="A95" s="35">
        <v>45</v>
      </c>
      <c r="B95" s="84">
        <v>1963.32</v>
      </c>
      <c r="C95" s="36">
        <f t="shared" si="4"/>
        <v>1.96332</v>
      </c>
      <c r="D95" s="12">
        <f t="shared" si="5"/>
        <v>0.137628732</v>
      </c>
      <c r="E95" s="12">
        <f t="shared" si="6"/>
        <v>6.1441398214285717E-3</v>
      </c>
      <c r="F95" s="12">
        <f>E95/Calculation!K$4*1000</f>
        <v>4.1768455618141206E-3</v>
      </c>
      <c r="G95" s="12">
        <f t="shared" si="7"/>
        <v>19.251656496734483</v>
      </c>
    </row>
    <row r="96" spans="1:7">
      <c r="A96" s="35">
        <v>45.5</v>
      </c>
      <c r="B96" s="84">
        <v>1917.27</v>
      </c>
      <c r="C96" s="36">
        <f t="shared" si="4"/>
        <v>1.91727</v>
      </c>
      <c r="D96" s="12">
        <f t="shared" si="5"/>
        <v>0.13440062699999999</v>
      </c>
      <c r="E96" s="12">
        <f t="shared" si="6"/>
        <v>6.0000279910714287E-3</v>
      </c>
      <c r="F96" s="12">
        <f>E96/Calculation!K$4*1000</f>
        <v>4.0788769483830235E-3</v>
      </c>
      <c r="G96" s="12">
        <f t="shared" si="7"/>
        <v>19.375492334387442</v>
      </c>
    </row>
    <row r="97" spans="1:7">
      <c r="A97" s="35">
        <v>46</v>
      </c>
      <c r="B97" s="84">
        <v>1857.08</v>
      </c>
      <c r="C97" s="36">
        <f t="shared" si="4"/>
        <v>1.8570799999999998</v>
      </c>
      <c r="D97" s="12">
        <f t="shared" si="5"/>
        <v>0.13018130799999997</v>
      </c>
      <c r="E97" s="12">
        <f t="shared" si="6"/>
        <v>5.8116655357142843E-3</v>
      </c>
      <c r="F97" s="12">
        <f>E97/Calculation!K$4*1000</f>
        <v>3.9508263329124981E-3</v>
      </c>
      <c r="G97" s="12">
        <f t="shared" si="7"/>
        <v>19.495937883606874</v>
      </c>
    </row>
    <row r="98" spans="1:7">
      <c r="A98" s="35">
        <v>46.5</v>
      </c>
      <c r="B98" s="84">
        <v>1804.05</v>
      </c>
      <c r="C98" s="36">
        <f t="shared" si="4"/>
        <v>1.8040499999999999</v>
      </c>
      <c r="D98" s="12">
        <f t="shared" si="5"/>
        <v>0.12646390499999999</v>
      </c>
      <c r="E98" s="12">
        <f t="shared" si="6"/>
        <v>5.6457100446428571E-3</v>
      </c>
      <c r="F98" s="12">
        <f>E98/Calculation!K$4*1000</f>
        <v>3.8380081880644845E-3</v>
      </c>
      <c r="G98" s="12">
        <f t="shared" si="7"/>
        <v>19.612770401421528</v>
      </c>
    </row>
    <row r="99" spans="1:7">
      <c r="A99" s="35">
        <v>47</v>
      </c>
      <c r="B99" s="84">
        <v>1775.12</v>
      </c>
      <c r="C99" s="36">
        <f t="shared" si="4"/>
        <v>1.7751199999999998</v>
      </c>
      <c r="D99" s="12">
        <f t="shared" si="5"/>
        <v>0.12443591199999998</v>
      </c>
      <c r="E99" s="12">
        <f t="shared" si="6"/>
        <v>5.555174642857142E-3</v>
      </c>
      <c r="F99" s="12">
        <f>E99/Calculation!K$4*1000</f>
        <v>3.7764613479654265E-3</v>
      </c>
      <c r="G99" s="12">
        <f t="shared" si="7"/>
        <v>19.726987444461976</v>
      </c>
    </row>
    <row r="100" spans="1:7">
      <c r="A100" s="35">
        <v>47.5</v>
      </c>
      <c r="B100" s="84">
        <v>1714.27</v>
      </c>
      <c r="C100" s="36">
        <f t="shared" si="4"/>
        <v>1.71427</v>
      </c>
      <c r="D100" s="12">
        <f t="shared" si="5"/>
        <v>0.12017032699999998</v>
      </c>
      <c r="E100" s="12">
        <f t="shared" si="6"/>
        <v>5.3647467410714283E-3</v>
      </c>
      <c r="F100" s="12">
        <f>E100/Calculation!K$4*1000</f>
        <v>3.6470066220743902E-3</v>
      </c>
      <c r="G100" s="12">
        <f t="shared" si="7"/>
        <v>19.838339464012574</v>
      </c>
    </row>
    <row r="101" spans="1:7">
      <c r="A101" s="35">
        <v>48</v>
      </c>
      <c r="B101" s="84">
        <v>1803.38</v>
      </c>
      <c r="C101" s="36">
        <f t="shared" si="4"/>
        <v>1.8033800000000002</v>
      </c>
      <c r="D101" s="12">
        <f t="shared" si="5"/>
        <v>0.12641693800000001</v>
      </c>
      <c r="E101" s="12">
        <f t="shared" si="6"/>
        <v>5.6436133035714289E-3</v>
      </c>
      <c r="F101" s="12">
        <f>E101/Calculation!K$4*1000</f>
        <v>3.8365828032436637E-3</v>
      </c>
      <c r="G101" s="12">
        <f t="shared" si="7"/>
        <v>19.950593305392346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2" t="s">
        <v>41</v>
      </c>
      <c r="B1" s="132"/>
      <c r="D1" s="153" t="s">
        <v>4</v>
      </c>
      <c r="E1" s="153" t="s">
        <v>5</v>
      </c>
      <c r="F1" s="132" t="s">
        <v>145</v>
      </c>
      <c r="G1" s="132"/>
      <c r="H1" s="132"/>
      <c r="I1" s="132"/>
      <c r="J1" s="132" t="s">
        <v>42</v>
      </c>
      <c r="K1" s="132"/>
      <c r="L1" s="132"/>
      <c r="M1" s="132"/>
      <c r="N1" s="154" t="s">
        <v>43</v>
      </c>
      <c r="O1" s="130"/>
      <c r="P1" s="130"/>
      <c r="Q1" s="155"/>
      <c r="R1" s="132" t="s">
        <v>65</v>
      </c>
      <c r="S1" s="132"/>
      <c r="T1" s="132"/>
      <c r="U1" s="132"/>
    </row>
    <row r="2" spans="1:21">
      <c r="A2" s="132" t="s">
        <v>34</v>
      </c>
      <c r="B2" s="132"/>
      <c r="D2" s="153"/>
      <c r="E2" s="153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2" t="s">
        <v>35</v>
      </c>
      <c r="B3" s="14" t="s">
        <v>38</v>
      </c>
      <c r="D3" s="16">
        <v>0</v>
      </c>
      <c r="E3" s="62">
        <v>-0.16666666666666666</v>
      </c>
      <c r="F3" s="52">
        <v>50.351539372409711</v>
      </c>
      <c r="G3" s="52">
        <v>6.5047349878801369E-2</v>
      </c>
      <c r="H3" s="13">
        <f>F3*Calculation!I3/Calculation!F22</f>
        <v>50.351539372409711</v>
      </c>
      <c r="I3" s="13">
        <f>G3*Calculation!I3/Calculation!F22</f>
        <v>6.5047349878801369E-2</v>
      </c>
      <c r="J3" s="13">
        <v>0.76968620485494388</v>
      </c>
      <c r="K3" s="13">
        <v>5.5875032824679892E-2</v>
      </c>
      <c r="L3" s="13">
        <f>J3*Calculation!I3/Calculation!F22</f>
        <v>0.76968620485494388</v>
      </c>
      <c r="M3" s="13">
        <f>K3*Calculation!I3/Calculation!F22</f>
        <v>5.5875032824679892E-2</v>
      </c>
      <c r="N3" s="13">
        <v>1.1767971135165141</v>
      </c>
      <c r="O3" s="13">
        <v>5.0875111795235448E-2</v>
      </c>
      <c r="P3" s="13">
        <f>N3*Calculation!I3/Calculation!F22</f>
        <v>1.1767971135165141</v>
      </c>
      <c r="Q3" s="13">
        <f>O3*Calculation!I3/Calculation!F22</f>
        <v>5.0875111795235448E-2</v>
      </c>
      <c r="R3" s="13">
        <v>48.519081758273593</v>
      </c>
      <c r="S3" s="13">
        <v>1.0006068766407905</v>
      </c>
      <c r="T3" s="13">
        <f>R3*Calculation!I3/Calculation!F22</f>
        <v>48.519081758273593</v>
      </c>
      <c r="U3" s="13">
        <f>S3*Calculation!I3/Calculation!F22</f>
        <v>1.0006068766407905</v>
      </c>
    </row>
    <row r="4" spans="1:21">
      <c r="A4" s="132"/>
      <c r="B4" s="14" t="s">
        <v>39</v>
      </c>
      <c r="D4" s="16">
        <v>0</v>
      </c>
      <c r="E4" s="65">
        <v>0.16666666666666666</v>
      </c>
      <c r="F4" s="52">
        <v>49.911190053285971</v>
      </c>
      <c r="G4" s="52">
        <v>0.16125487396018992</v>
      </c>
      <c r="H4" s="13">
        <f>F4*Calculation!I4/Calculation!K3</f>
        <v>49.911190053285971</v>
      </c>
      <c r="I4" s="13">
        <f>G4*Calculation!I4/Calculation!K3</f>
        <v>0.16125487396018992</v>
      </c>
      <c r="J4" s="13">
        <v>0.75488454706927177</v>
      </c>
      <c r="K4" s="13">
        <v>3.8455834981546956E-2</v>
      </c>
      <c r="L4" s="13">
        <f>J4*Calculation!I4/Calculation!K3</f>
        <v>0.75488454706927177</v>
      </c>
      <c r="M4" s="13">
        <f>K4*Calculation!I4/Calculation!K3</f>
        <v>3.8455834981546956E-2</v>
      </c>
      <c r="N4" s="13">
        <v>1.2323064113238971</v>
      </c>
      <c r="O4" s="13">
        <v>5.7686954456915067E-2</v>
      </c>
      <c r="P4" s="13">
        <f>N4*Calculation!I4/Calculation!K3</f>
        <v>1.2323064113238971</v>
      </c>
      <c r="Q4" s="13">
        <f>O4*Calculation!I4/Calculation!K3</f>
        <v>5.7686954456915067E-2</v>
      </c>
      <c r="R4" s="13">
        <v>47.548700123108127</v>
      </c>
      <c r="S4" s="13">
        <v>0.12542912648047774</v>
      </c>
      <c r="T4" s="13">
        <f>R4*Calculation!I4/Calculation!K3</f>
        <v>47.548700123108127</v>
      </c>
      <c r="U4" s="13">
        <f>S4*Calculation!I4/Calculation!K3</f>
        <v>0.12542912648047774</v>
      </c>
    </row>
    <row r="5" spans="1:21">
      <c r="A5" s="15" t="s">
        <v>37</v>
      </c>
      <c r="B5" s="15">
        <v>180.16</v>
      </c>
      <c r="D5" s="16">
        <v>1</v>
      </c>
      <c r="E5" s="65">
        <v>2</v>
      </c>
      <c r="F5" s="52">
        <v>50.107312018946118</v>
      </c>
      <c r="G5" s="52">
        <v>0.30650959724509491</v>
      </c>
      <c r="H5" s="13">
        <f>F5*Calculation!I5/Calculation!K4</f>
        <v>50.107312018946118</v>
      </c>
      <c r="I5" s="13">
        <f>G5*Calculation!I5/Calculation!K4</f>
        <v>0.30650959724509491</v>
      </c>
      <c r="J5" s="13">
        <v>0.78448786264061576</v>
      </c>
      <c r="K5" s="13">
        <v>1.2818611660515592E-2</v>
      </c>
      <c r="L5" s="13">
        <f>J5*Calculation!I5/Calculation!K4</f>
        <v>0.78448786264061565</v>
      </c>
      <c r="M5" s="13">
        <f>K5*Calculation!I5/Calculation!K4</f>
        <v>1.2818611660515592E-2</v>
      </c>
      <c r="N5" s="13">
        <v>1.1878989730779907</v>
      </c>
      <c r="O5" s="13">
        <v>5.0875111795235448E-2</v>
      </c>
      <c r="P5" s="13">
        <f>N5*Calculation!I5/Calculation!K4</f>
        <v>1.1878989730779907</v>
      </c>
      <c r="Q5" s="13">
        <f>O5*Calculation!I5/Calculation!K4</f>
        <v>5.0875111795235448E-2</v>
      </c>
      <c r="R5" s="13">
        <v>47.389383735245133</v>
      </c>
      <c r="S5" s="13">
        <v>0.10934657738099182</v>
      </c>
      <c r="T5" s="13">
        <f>R5*Calculation!I5/Calculation!K4</f>
        <v>47.389383735245133</v>
      </c>
      <c r="U5" s="13">
        <f>S5*Calculation!I5/Calculation!K4</f>
        <v>0.10934657738099181</v>
      </c>
    </row>
    <row r="6" spans="1:21">
      <c r="A6" s="15" t="s">
        <v>40</v>
      </c>
      <c r="B6" s="15">
        <v>180.16</v>
      </c>
      <c r="D6" s="16">
        <v>2</v>
      </c>
      <c r="E6" s="65">
        <v>3.3333333333333335</v>
      </c>
      <c r="F6" s="52">
        <v>49.859384251036111</v>
      </c>
      <c r="G6" s="52">
        <v>0.27109166529591755</v>
      </c>
      <c r="H6" s="13">
        <f>F6*Calculation!I6/Calculation!K5</f>
        <v>49.859384251036111</v>
      </c>
      <c r="I6" s="13">
        <f>G6*Calculation!I6/Calculation!K5</f>
        <v>0.27109166529591755</v>
      </c>
      <c r="J6" s="13">
        <v>0.79928952042628776</v>
      </c>
      <c r="K6" s="13">
        <v>2.2202486678507938E-2</v>
      </c>
      <c r="L6" s="13">
        <f>J6*Calculation!I6/Calculation!K5</f>
        <v>0.79928952042628776</v>
      </c>
      <c r="M6" s="13">
        <f>K6*Calculation!I6/Calculation!K5</f>
        <v>2.2202486678507938E-2</v>
      </c>
      <c r="N6" s="13">
        <v>1.2878157091312794</v>
      </c>
      <c r="O6" s="13">
        <v>8.3817201612775533E-2</v>
      </c>
      <c r="P6" s="13">
        <f>N6*Calculation!I6/Calculation!K5</f>
        <v>1.2878157091312794</v>
      </c>
      <c r="Q6" s="13">
        <f>O6*Calculation!I6/Calculation!K5</f>
        <v>8.3817201612775533E-2</v>
      </c>
      <c r="R6" s="13">
        <v>47.273517271344765</v>
      </c>
      <c r="S6" s="13">
        <v>0.26429556942421301</v>
      </c>
      <c r="T6" s="13">
        <f>R6*Calculation!I6/Calculation!K5</f>
        <v>47.273517271344765</v>
      </c>
      <c r="U6" s="13">
        <f>S6*Calculation!I6/Calculation!K5</f>
        <v>0.26429556942421301</v>
      </c>
    </row>
    <row r="7" spans="1:21">
      <c r="A7" s="32" t="s">
        <v>115</v>
      </c>
      <c r="B7" s="32">
        <v>46.03</v>
      </c>
      <c r="D7" s="16">
        <v>3</v>
      </c>
      <c r="E7" s="65">
        <v>4.666666666666667</v>
      </c>
      <c r="F7" s="52">
        <v>50.603167554766145</v>
      </c>
      <c r="G7" s="52">
        <v>0.11554540405562766</v>
      </c>
      <c r="H7" s="13">
        <f>F7*Calculation!I7/Calculation!K6</f>
        <v>50.603167554766145</v>
      </c>
      <c r="I7" s="13">
        <f>G7*Calculation!I7/Calculation!K6</f>
        <v>0.11554540405562766</v>
      </c>
      <c r="J7" s="13">
        <v>0.82149200710479575</v>
      </c>
      <c r="K7" s="13">
        <v>2.2202486678508014E-2</v>
      </c>
      <c r="L7" s="13">
        <f>J7*Calculation!I7/Calculation!K6</f>
        <v>0.82149200710479575</v>
      </c>
      <c r="M7" s="13">
        <f>K7*Calculation!I7/Calculation!K6</f>
        <v>2.2202486678508014E-2</v>
      </c>
      <c r="N7" s="13">
        <v>1.3544268665001387</v>
      </c>
      <c r="O7" s="13">
        <v>0.10706245640847024</v>
      </c>
      <c r="P7" s="13">
        <f>N7*Calculation!I7/Calculation!K6</f>
        <v>1.3544268665001387</v>
      </c>
      <c r="Q7" s="13">
        <f>O7*Calculation!I7/Calculation!K6</f>
        <v>0.10706245640847024</v>
      </c>
      <c r="R7" s="13">
        <v>47.708016510971092</v>
      </c>
      <c r="S7" s="13">
        <v>0.21724961981316551</v>
      </c>
      <c r="T7" s="13">
        <f>R7*Calculation!I7/Calculation!K6</f>
        <v>47.708016510971092</v>
      </c>
      <c r="U7" s="13">
        <f>S7*Calculation!I7/Calculation!K6</f>
        <v>0.21724961981316551</v>
      </c>
    </row>
    <row r="8" spans="1:21">
      <c r="A8" s="15" t="s">
        <v>43</v>
      </c>
      <c r="B8" s="15">
        <v>60.05</v>
      </c>
      <c r="D8" s="16">
        <v>4</v>
      </c>
      <c r="E8" s="65">
        <v>6</v>
      </c>
      <c r="F8" s="52">
        <v>50.569863824748367</v>
      </c>
      <c r="G8" s="52">
        <v>0.20539800305473491</v>
      </c>
      <c r="H8" s="13">
        <f>F8*Calculation!I8/Calculation!K7</f>
        <v>50.569863824748367</v>
      </c>
      <c r="I8" s="13">
        <f>G8*Calculation!I8/Calculation!K7</f>
        <v>0.20539800305473493</v>
      </c>
      <c r="J8" s="13">
        <v>0.78448786264061576</v>
      </c>
      <c r="K8" s="13">
        <v>1.2818611660515592E-2</v>
      </c>
      <c r="L8" s="13">
        <f>J8*Calculation!I8/Calculation!K7</f>
        <v>0.78448786264061576</v>
      </c>
      <c r="M8" s="13">
        <f>K8*Calculation!I8/Calculation!K7</f>
        <v>1.2818611660515592E-2</v>
      </c>
      <c r="N8" s="13">
        <v>1.398834304746045</v>
      </c>
      <c r="O8" s="13">
        <v>6.6611157368859225E-2</v>
      </c>
      <c r="P8" s="13">
        <f>N8*Calculation!I8/Calculation!K7</f>
        <v>1.398834304746045</v>
      </c>
      <c r="Q8" s="13">
        <f>O8*Calculation!I8/Calculation!K7</f>
        <v>6.6611157368859225E-2</v>
      </c>
      <c r="R8" s="13">
        <v>47.505250199145493</v>
      </c>
      <c r="S8" s="13">
        <v>9.0448229392402893E-2</v>
      </c>
      <c r="T8" s="13">
        <f>R8*Calculation!I8/Calculation!K7</f>
        <v>47.505250199145493</v>
      </c>
      <c r="U8" s="13">
        <f>S8*Calculation!I8/Calculation!K7</f>
        <v>9.0448229392402893E-2</v>
      </c>
    </row>
    <row r="9" spans="1:21">
      <c r="A9" s="32" t="s">
        <v>67</v>
      </c>
      <c r="B9" s="32">
        <v>74.08</v>
      </c>
      <c r="D9" s="16">
        <v>5</v>
      </c>
      <c r="E9" s="65">
        <v>7.333333333333333</v>
      </c>
      <c r="F9" s="52">
        <v>48.283007696862057</v>
      </c>
      <c r="G9" s="52">
        <v>0.18653172233760118</v>
      </c>
      <c r="H9" s="13">
        <f>F9*Calculation!I9/Calculation!K8</f>
        <v>48.283007696862057</v>
      </c>
      <c r="I9" s="13">
        <f>G9*Calculation!I9/Calculation!K8</f>
        <v>0.18653172233760118</v>
      </c>
      <c r="J9" s="13">
        <v>0.81409117821195953</v>
      </c>
      <c r="K9" s="13">
        <v>2.5637223321031362E-2</v>
      </c>
      <c r="L9" s="13">
        <f>J9*Calculation!I9/Calculation!K8</f>
        <v>0.81409117821195953</v>
      </c>
      <c r="M9" s="13">
        <f>K9*Calculation!I9/Calculation!K8</f>
        <v>2.5637223321031365E-2</v>
      </c>
      <c r="N9" s="13">
        <v>1.5542603386067169</v>
      </c>
      <c r="O9" s="13">
        <v>6.933109073992122E-2</v>
      </c>
      <c r="P9" s="13">
        <f>N9*Calculation!I9/Calculation!K8</f>
        <v>1.5542603386067169</v>
      </c>
      <c r="Q9" s="13">
        <f>O9*Calculation!I9/Calculation!K8</f>
        <v>6.933109073992122E-2</v>
      </c>
      <c r="R9" s="13">
        <v>45.158954305163292</v>
      </c>
      <c r="S9" s="13">
        <v>0.23930352149841991</v>
      </c>
      <c r="T9" s="13">
        <f>R9*Calculation!I9/Calculation!K8</f>
        <v>45.158954305163292</v>
      </c>
      <c r="U9" s="13">
        <f>S9*Calculation!I9/Calculation!K8</f>
        <v>0.23930352149841988</v>
      </c>
    </row>
    <row r="10" spans="1:21">
      <c r="A10" s="32" t="s">
        <v>66</v>
      </c>
      <c r="B10" s="32">
        <v>88.11</v>
      </c>
      <c r="D10" s="16">
        <v>6</v>
      </c>
      <c r="E10" s="65">
        <v>8.6666666666666661</v>
      </c>
      <c r="F10" s="52">
        <v>50.414446417998825</v>
      </c>
      <c r="G10" s="52">
        <v>0.13383023475447867</v>
      </c>
      <c r="H10" s="13">
        <f>F10*Calculation!I10/Calculation!K9</f>
        <v>50.414446417998825</v>
      </c>
      <c r="I10" s="13">
        <f>G10*Calculation!I10/Calculation!K9</f>
        <v>0.13383023475447867</v>
      </c>
      <c r="J10" s="13">
        <v>0.84369449378330375</v>
      </c>
      <c r="K10" s="13">
        <v>2.2202486678508014E-2</v>
      </c>
      <c r="L10" s="13">
        <f>J10*Calculation!I10/Calculation!K9</f>
        <v>0.84369449378330386</v>
      </c>
      <c r="M10" s="13">
        <f>K10*Calculation!I10/Calculation!K9</f>
        <v>2.2202486678508014E-2</v>
      </c>
      <c r="N10" s="13">
        <v>2.3313905079100752</v>
      </c>
      <c r="O10" s="13">
        <v>3.3305578684429446E-2</v>
      </c>
      <c r="P10" s="13">
        <f>N10*Calculation!I10/Calculation!K9</f>
        <v>2.3313905079100752</v>
      </c>
      <c r="Q10" s="13">
        <f>O10*Calculation!I10/Calculation!K9</f>
        <v>3.3305578684429446E-2</v>
      </c>
      <c r="R10" s="13">
        <v>46.361068868129486</v>
      </c>
      <c r="S10" s="13">
        <v>0.19911256549883968</v>
      </c>
      <c r="T10" s="13">
        <f>R10*Calculation!I10/Calculation!K9</f>
        <v>46.361068868129486</v>
      </c>
      <c r="U10" s="13">
        <f>S10*Calculation!I10/Calculation!K9</f>
        <v>0.19911256549883968</v>
      </c>
    </row>
    <row r="11" spans="1:21">
      <c r="A11" s="15" t="s">
        <v>42</v>
      </c>
      <c r="B11" s="15">
        <v>90.08</v>
      </c>
      <c r="D11" s="16">
        <v>7</v>
      </c>
      <c r="E11" s="65">
        <v>10</v>
      </c>
      <c r="F11" s="52">
        <v>49.685464772054466</v>
      </c>
      <c r="G11" s="52">
        <v>0.1763432882984575</v>
      </c>
      <c r="H11" s="13">
        <f>F11*Calculation!I11/Calculation!K10</f>
        <v>49.685464772054466</v>
      </c>
      <c r="I11" s="13">
        <f>G11*Calculation!I11/Calculation!K10</f>
        <v>0.1763432882984575</v>
      </c>
      <c r="J11" s="13">
        <v>0.88809946714031973</v>
      </c>
      <c r="K11" s="13">
        <v>5.8742258238556597E-2</v>
      </c>
      <c r="L11" s="13">
        <f>J11*Calculation!I11/Calculation!K10</f>
        <v>0.88809946714031973</v>
      </c>
      <c r="M11" s="13">
        <f>K11*Calculation!I11/Calculation!K10</f>
        <v>5.874225823855659E-2</v>
      </c>
      <c r="N11" s="13">
        <v>3.2528448515126294</v>
      </c>
      <c r="O11" s="13">
        <v>5.0875111795235566E-2</v>
      </c>
      <c r="P11" s="13">
        <f>N11*Calculation!I11/Calculation!K10</f>
        <v>3.2528448515126294</v>
      </c>
      <c r="Q11" s="13">
        <f>O11*Calculation!I11/Calculation!K10</f>
        <v>5.0875111795235566E-2</v>
      </c>
      <c r="R11" s="13">
        <v>45.941052936490699</v>
      </c>
      <c r="S11" s="13">
        <v>0.80743630181860326</v>
      </c>
      <c r="T11" s="13">
        <f>R11*Calculation!I11/Calculation!K10</f>
        <v>45.941052936490699</v>
      </c>
      <c r="U11" s="13">
        <f>S11*Calculation!I11/Calculation!K10</f>
        <v>0.80743630181860326</v>
      </c>
    </row>
    <row r="12" spans="1:21">
      <c r="A12" s="15" t="s">
        <v>44</v>
      </c>
      <c r="B12" s="15">
        <v>46.07</v>
      </c>
      <c r="D12" s="16">
        <v>8</v>
      </c>
      <c r="E12" s="65">
        <v>11.333333333333334</v>
      </c>
      <c r="F12" s="52">
        <v>48.87137359384252</v>
      </c>
      <c r="G12" s="52">
        <v>0.18653172233760118</v>
      </c>
      <c r="H12" s="13">
        <f>F12*Calculation!I12/Calculation!K11</f>
        <v>48.914776234689626</v>
      </c>
      <c r="I12" s="13">
        <f>G12*Calculation!I12/Calculation!K11</f>
        <v>0.18669738106081396</v>
      </c>
      <c r="J12" s="13">
        <v>0.86589698046181174</v>
      </c>
      <c r="K12" s="13">
        <v>2.2202486678508014E-2</v>
      </c>
      <c r="L12" s="13">
        <f>J12*Calculation!I12/Calculation!K11</f>
        <v>0.86666598310875831</v>
      </c>
      <c r="M12" s="13">
        <f>K12*Calculation!I12/Calculation!K11</f>
        <v>2.2222204695096386E-2</v>
      </c>
      <c r="N12" s="13">
        <v>5.1401609769636414</v>
      </c>
      <c r="O12" s="13">
        <v>1.9228984818971735E-2</v>
      </c>
      <c r="P12" s="13">
        <f>N12*Calculation!I12/Calculation!K11</f>
        <v>5.1447259511882981</v>
      </c>
      <c r="Q12" s="13">
        <f>O12*Calculation!I12/Calculation!K11</f>
        <v>1.9246062070143115E-2</v>
      </c>
      <c r="R12" s="13">
        <v>43.826489970309225</v>
      </c>
      <c r="S12" s="13">
        <v>0.27934392819155518</v>
      </c>
      <c r="T12" s="13">
        <f>R12*Calculation!I12/Calculation!K11</f>
        <v>43.865412252698491</v>
      </c>
      <c r="U12" s="13">
        <f>S12*Calculation!I12/Calculation!K11</f>
        <v>0.27959201338533102</v>
      </c>
    </row>
    <row r="13" spans="1:21">
      <c r="D13" s="16">
        <v>9</v>
      </c>
      <c r="E13" s="65">
        <v>12.666666666666666</v>
      </c>
      <c r="F13" s="52">
        <v>47.709443457667263</v>
      </c>
      <c r="G13" s="52">
        <v>0.68920156977016511</v>
      </c>
      <c r="H13" s="13">
        <f>F13*Calculation!I13/Calculation!K12</f>
        <v>47.795947104126512</v>
      </c>
      <c r="I13" s="13">
        <f>G13*Calculation!I13/Calculation!K12</f>
        <v>0.69045118503728642</v>
      </c>
      <c r="J13" s="13">
        <v>1.0361160449970397</v>
      </c>
      <c r="K13" s="13">
        <v>3.3914858606837212E-2</v>
      </c>
      <c r="L13" s="13">
        <f>J13*Calculation!I13/Calculation!K12</f>
        <v>1.0379946629299173</v>
      </c>
      <c r="M13" s="13">
        <f>K13*Calculation!I13/Calculation!K12</f>
        <v>3.397635081311802E-2</v>
      </c>
      <c r="N13" s="13">
        <v>8.3263946711074102</v>
      </c>
      <c r="O13" s="13">
        <v>3.3305578684429675E-2</v>
      </c>
      <c r="P13" s="13">
        <f>N13*Calculation!I13/Calculation!K12</f>
        <v>8.3414915460384442</v>
      </c>
      <c r="Q13" s="13">
        <f>O13*Calculation!I13/Calculation!K12</f>
        <v>3.3365966184153814E-2</v>
      </c>
      <c r="R13" s="13">
        <v>41.987109855891084</v>
      </c>
      <c r="S13" s="13">
        <v>0.58348141294760525</v>
      </c>
      <c r="T13" s="13">
        <f>R13*Calculation!I13/Calculation!K12</f>
        <v>42.063238140850899</v>
      </c>
      <c r="U13" s="13">
        <f>S13*Calculation!I13/Calculation!K12</f>
        <v>0.58453934333209923</v>
      </c>
    </row>
    <row r="14" spans="1:21">
      <c r="D14" s="16">
        <v>10</v>
      </c>
      <c r="E14" s="65">
        <v>14</v>
      </c>
      <c r="F14" s="52">
        <v>45.152457075192416</v>
      </c>
      <c r="G14" s="52">
        <v>1.2046937785617904</v>
      </c>
      <c r="H14" s="13">
        <f>F14*Calculation!I14/Calculation!K13</f>
        <v>45.27798703641227</v>
      </c>
      <c r="I14" s="13">
        <f>G14*Calculation!I14/Calculation!K13</f>
        <v>1.2080429908328485</v>
      </c>
      <c r="J14" s="13">
        <v>1.0509177027827117</v>
      </c>
      <c r="K14" s="13">
        <v>1.2818611660515681E-2</v>
      </c>
      <c r="L14" s="13">
        <f>J14*Calculation!I14/Calculation!K13</f>
        <v>1.053839396684239</v>
      </c>
      <c r="M14" s="13">
        <f>K14*Calculation!I14/Calculation!K13</f>
        <v>1.2854249141372086E-2</v>
      </c>
      <c r="N14" s="13">
        <v>11.346100471829031</v>
      </c>
      <c r="O14" s="13">
        <v>0.39454578171339066</v>
      </c>
      <c r="P14" s="13">
        <f>N14*Calculation!I14/Calculation!K13</f>
        <v>11.377644171651465</v>
      </c>
      <c r="Q14" s="13">
        <f>O14*Calculation!I14/Calculation!K13</f>
        <v>0.39564267255579733</v>
      </c>
      <c r="R14" s="13">
        <v>38.800782098631331</v>
      </c>
      <c r="S14" s="13">
        <v>0.96082313219621984</v>
      </c>
      <c r="T14" s="13">
        <f>R14*Calculation!I14/Calculation!K13</f>
        <v>38.908653541021053</v>
      </c>
      <c r="U14" s="13">
        <f>S14*Calculation!I14/Calculation!K13</f>
        <v>0.96349435095897451</v>
      </c>
    </row>
    <row r="15" spans="1:21">
      <c r="D15" s="16">
        <v>11</v>
      </c>
      <c r="E15" s="65">
        <v>15.333333333333334</v>
      </c>
      <c r="F15" s="52">
        <v>43.431764357608053</v>
      </c>
      <c r="G15" s="52">
        <v>0.25225321147356783</v>
      </c>
      <c r="H15" s="13">
        <f>F15*Calculation!I15/Calculation!K14</f>
        <v>43.596458602392843</v>
      </c>
      <c r="I15" s="13">
        <f>G15*Calculation!I15/Calculation!K14</f>
        <v>0.25320976142664148</v>
      </c>
      <c r="J15" s="13">
        <v>1.2137359384251036</v>
      </c>
      <c r="K15" s="13">
        <v>5.1274446642062724E-2</v>
      </c>
      <c r="L15" s="13">
        <f>J15*Calculation!I15/Calculation!K14</f>
        <v>1.2183384528912713</v>
      </c>
      <c r="M15" s="13">
        <f>K15*Calculation!I15/Calculation!K14</f>
        <v>5.146888051762305E-2</v>
      </c>
      <c r="N15" s="13">
        <v>13.744102137107967</v>
      </c>
      <c r="O15" s="13">
        <v>0.21669965357694218</v>
      </c>
      <c r="P15" s="13">
        <f>N15*Calculation!I15/Calculation!K14</f>
        <v>13.796220087073761</v>
      </c>
      <c r="Q15" s="13">
        <f>O15*Calculation!I15/Calculation!K14</f>
        <v>0.2175213836244973</v>
      </c>
      <c r="R15" s="13">
        <v>36.715185748424943</v>
      </c>
      <c r="S15" s="13">
        <v>0.19911256549884179</v>
      </c>
      <c r="T15" s="13">
        <f>R15*Calculation!I15/Calculation!K14</f>
        <v>36.854410573352204</v>
      </c>
      <c r="U15" s="13">
        <f>S15*Calculation!I15/Calculation!K14</f>
        <v>0.1998676049057603</v>
      </c>
    </row>
    <row r="16" spans="1:21">
      <c r="D16" s="16">
        <v>12</v>
      </c>
      <c r="E16" s="65">
        <v>16.666666666666668</v>
      </c>
      <c r="F16" s="52">
        <v>41.574156305506214</v>
      </c>
      <c r="G16" s="52">
        <v>0.29181703881205362</v>
      </c>
      <c r="H16" s="13">
        <f>F16*Calculation!I16/Calculation!K15</f>
        <v>41.776060759680959</v>
      </c>
      <c r="I16" s="13">
        <f>G16*Calculation!I16/Calculation!K15</f>
        <v>0.29323424520121699</v>
      </c>
      <c r="J16" s="13">
        <v>1.5393724097098878</v>
      </c>
      <c r="K16" s="13">
        <v>2.5637223321031362E-2</v>
      </c>
      <c r="L16" s="13">
        <f>J16*Calculation!I16/Calculation!K15</f>
        <v>1.546848355676661</v>
      </c>
      <c r="M16" s="13">
        <f>K16*Calculation!I16/Calculation!K15</f>
        <v>2.5761730227272617E-2</v>
      </c>
      <c r="N16" s="13">
        <v>15.797946155981126</v>
      </c>
      <c r="O16" s="13">
        <v>0.13866218147984247</v>
      </c>
      <c r="P16" s="13">
        <f>N16*Calculation!I16/Calculation!K15</f>
        <v>15.874668715839377</v>
      </c>
      <c r="Q16" s="13">
        <f>O16*Calculation!I16/Calculation!K15</f>
        <v>0.13933559291026662</v>
      </c>
      <c r="R16" s="13">
        <v>34.803389094069082</v>
      </c>
      <c r="S16" s="13">
        <v>0.18939382765764404</v>
      </c>
      <c r="T16" s="13">
        <f>R16*Calculation!I16/Calculation!K15</f>
        <v>34.972411388275894</v>
      </c>
      <c r="U16" s="13">
        <f>S16*Calculation!I16/Calculation!K15</f>
        <v>0.19031361679578748</v>
      </c>
    </row>
    <row r="17" spans="4:21">
      <c r="D17" s="16">
        <v>13</v>
      </c>
      <c r="E17" s="65">
        <v>18</v>
      </c>
      <c r="F17" s="52">
        <v>40.378922439313207</v>
      </c>
      <c r="G17" s="52">
        <v>0.31911649885065735</v>
      </c>
      <c r="H17" s="13">
        <f>F17*Calculation!I17/Calculation!K16</f>
        <v>40.575022252749335</v>
      </c>
      <c r="I17" s="13">
        <f>G17*Calculation!I17/Calculation!K16</f>
        <v>0.32066628478125153</v>
      </c>
      <c r="J17" s="13">
        <v>2.0722320899940794</v>
      </c>
      <c r="K17" s="13">
        <v>4.6218161622249884E-2</v>
      </c>
      <c r="L17" s="13">
        <f>J17*Calculation!I17/Calculation!K16</f>
        <v>2.0822958634108892</v>
      </c>
      <c r="M17" s="13">
        <f>K17*Calculation!I17/Calculation!K16</f>
        <v>4.6442619639551E-2</v>
      </c>
      <c r="N17" s="13">
        <v>17.252289758534559</v>
      </c>
      <c r="O17" s="13">
        <v>9.9916736053289018E-2</v>
      </c>
      <c r="P17" s="13">
        <f>N17*Calculation!I17/Calculation!K16</f>
        <v>17.33607532284919</v>
      </c>
      <c r="Q17" s="13">
        <f>O17*Calculation!I17/Calculation!K16</f>
        <v>0.1004019806342618</v>
      </c>
      <c r="R17" s="13">
        <v>33.890940690853796</v>
      </c>
      <c r="S17" s="13">
        <v>0.26429556942421134</v>
      </c>
      <c r="T17" s="13">
        <f>R17*Calculation!I17/Calculation!K16</f>
        <v>34.055531688957814</v>
      </c>
      <c r="U17" s="13">
        <f>S17*Calculation!I17/Calculation!K16</f>
        <v>0.26557911808586709</v>
      </c>
    </row>
    <row r="18" spans="4:21">
      <c r="D18" s="16">
        <v>14</v>
      </c>
      <c r="E18" s="65">
        <v>24</v>
      </c>
      <c r="F18" s="52">
        <v>37.055950266429839</v>
      </c>
      <c r="G18" s="52">
        <v>0.25217177379219796</v>
      </c>
      <c r="H18" s="13">
        <f>F18*Calculation!I18/Calculation!K17</f>
        <v>37.23591210035115</v>
      </c>
      <c r="I18" s="13">
        <f>G18*Calculation!I18/Calculation!K17</f>
        <v>0.25339644336749007</v>
      </c>
      <c r="J18" s="13">
        <v>4.5663114268798104</v>
      </c>
      <c r="K18" s="13">
        <v>4.6218161622249884E-2</v>
      </c>
      <c r="L18" s="13">
        <f>J18*Calculation!I18/Calculation!K17</f>
        <v>4.5884876704447093</v>
      </c>
      <c r="M18" s="13">
        <f>K18*Calculation!I18/Calculation!K17</f>
        <v>4.6442619639551E-2</v>
      </c>
      <c r="N18" s="13">
        <v>19.206217041354428</v>
      </c>
      <c r="O18" s="13">
        <v>0.13460289373280213</v>
      </c>
      <c r="P18" s="13">
        <f>N18*Calculation!I18/Calculation!K17</f>
        <v>19.299491833030306</v>
      </c>
      <c r="Q18" s="13">
        <f>O18*Calculation!I18/Calculation!K17</f>
        <v>0.13525659127484616</v>
      </c>
      <c r="R18" s="13">
        <v>27.923817799985514</v>
      </c>
      <c r="S18" s="13">
        <v>0.17560077707266492</v>
      </c>
      <c r="T18" s="13">
        <f>R18*Calculation!I18/Calculation!K17</f>
        <v>28.05942952833788</v>
      </c>
      <c r="U18" s="13">
        <f>S18*Calculation!I18/Calculation!K17</f>
        <v>0.17645358040526851</v>
      </c>
    </row>
    <row r="19" spans="4:21">
      <c r="D19" s="16">
        <v>15</v>
      </c>
      <c r="E19" s="65">
        <v>30</v>
      </c>
      <c r="F19" s="52">
        <v>35.979129662522197</v>
      </c>
      <c r="G19" s="52">
        <v>0.21866913414289874</v>
      </c>
      <c r="H19" s="13">
        <f>F19*Calculation!I19/Calculation!K18</f>
        <v>36.836869395634125</v>
      </c>
      <c r="I19" s="13">
        <f>G19*Calculation!I19/Calculation!K18</f>
        <v>0.22388218978151025</v>
      </c>
      <c r="J19" s="13">
        <v>5.4618117229129668</v>
      </c>
      <c r="K19" s="13">
        <v>8.0052204162166796E-2</v>
      </c>
      <c r="L19" s="13">
        <f>J19*Calculation!I19/Calculation!K18</f>
        <v>5.5920209017747586</v>
      </c>
      <c r="M19" s="13">
        <f>K19*Calculation!I19/Calculation!K18</f>
        <v>8.1960642661850741E-2</v>
      </c>
      <c r="N19" s="13">
        <v>19.816819317235641</v>
      </c>
      <c r="O19" s="13">
        <v>0.28456298901973481</v>
      </c>
      <c r="P19" s="13">
        <f>N19*Calculation!I19/Calculation!K18</f>
        <v>20.289250792697334</v>
      </c>
      <c r="Q19" s="13">
        <f>O19*Calculation!I19/Calculation!K18</f>
        <v>0.29134694918066023</v>
      </c>
      <c r="R19" s="13">
        <v>23.23122601202115</v>
      </c>
      <c r="S19" s="13">
        <v>0.125429126480475</v>
      </c>
      <c r="T19" s="13">
        <f>R19*Calculation!I19/Calculation!K18</f>
        <v>23.785056685145246</v>
      </c>
      <c r="U19" s="13">
        <f>S19*Calculation!I19/Calculation!K18</f>
        <v>0.12841934738022878</v>
      </c>
    </row>
    <row r="20" spans="4:21">
      <c r="D20" s="16">
        <v>16</v>
      </c>
      <c r="E20" s="65">
        <v>48</v>
      </c>
      <c r="F20" s="52">
        <v>33.370337477797513</v>
      </c>
      <c r="G20" s="52">
        <v>0.21838716222142618</v>
      </c>
      <c r="H20" s="13">
        <f>F20*Calculation!I20/Calculation!K19</f>
        <v>34.349078889718584</v>
      </c>
      <c r="I20" s="13">
        <f>G20*Calculation!I20/Calculation!K19</f>
        <v>0.22479238840891219</v>
      </c>
      <c r="J20" s="13">
        <v>6.5867377146240376</v>
      </c>
      <c r="K20" s="13">
        <v>3.3914858606837212E-2</v>
      </c>
      <c r="L20" s="13">
        <f>J20*Calculation!I20/Calculation!K19</f>
        <v>6.7799246422376447</v>
      </c>
      <c r="M20" s="13">
        <f>K20*Calculation!I20/Calculation!K19</f>
        <v>3.4909570650730817E-2</v>
      </c>
      <c r="N20" s="13">
        <v>19.572578406883153</v>
      </c>
      <c r="O20" s="13">
        <v>0.32348159387917802</v>
      </c>
      <c r="P20" s="13">
        <f>N20*Calculation!I20/Calculation!K19</f>
        <v>20.146635922412752</v>
      </c>
      <c r="Q20" s="13">
        <f>O20*Calculation!I20/Calculation!K19</f>
        <v>0.33296920640735322</v>
      </c>
      <c r="R20" s="13">
        <v>10.833514374683176</v>
      </c>
      <c r="S20" s="13">
        <v>9.0448229392402116E-2</v>
      </c>
      <c r="T20" s="13">
        <f>R20*Calculation!I20/Calculation!K19</f>
        <v>11.151257914502015</v>
      </c>
      <c r="U20" s="13">
        <f>S20*Calculation!I20/Calculation!K19</f>
        <v>9.3101047266964512E-2</v>
      </c>
    </row>
    <row r="22" spans="4:21">
      <c r="D22" s="153" t="s">
        <v>4</v>
      </c>
      <c r="E22" s="153" t="s">
        <v>60</v>
      </c>
      <c r="F22" s="132" t="s">
        <v>44</v>
      </c>
      <c r="G22" s="132"/>
      <c r="H22" s="132"/>
      <c r="I22" s="132"/>
      <c r="J22" s="132" t="s">
        <v>66</v>
      </c>
      <c r="K22" s="132"/>
      <c r="L22" s="132"/>
      <c r="M22" s="132"/>
      <c r="N22" s="154" t="s">
        <v>67</v>
      </c>
      <c r="O22" s="130"/>
      <c r="P22" s="130"/>
      <c r="Q22" s="155"/>
    </row>
    <row r="23" spans="4:21">
      <c r="D23" s="153"/>
      <c r="E23" s="153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5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</v>
      </c>
      <c r="K25" s="13">
        <v>0</v>
      </c>
      <c r="L25" s="13">
        <f>J25*Calculation!I4/Calculation!K3</f>
        <v>0</v>
      </c>
      <c r="M25" s="13">
        <f>K25*Calculation!I4/Calculation!K3</f>
        <v>0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5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</v>
      </c>
      <c r="K26" s="13">
        <v>0</v>
      </c>
      <c r="L26" s="13">
        <f>J26*Calculation!I5/Calculation!K4</f>
        <v>0</v>
      </c>
      <c r="M26" s="13">
        <f>K26*Calculation!I5/Calculation!K4</f>
        <v>0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5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</v>
      </c>
      <c r="K27" s="13">
        <v>0</v>
      </c>
      <c r="L27" s="13">
        <f>J27*Calculation!I6/Calculation!K5</f>
        <v>0</v>
      </c>
      <c r="M27" s="13">
        <f>K27*Calculation!I6/Calculation!K5</f>
        <v>0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5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0</v>
      </c>
      <c r="K28" s="13">
        <v>0</v>
      </c>
      <c r="L28" s="13">
        <f>J28*Calculation!I7/Calculation!K6</f>
        <v>0</v>
      </c>
      <c r="M28" s="13">
        <f>K28*Calculation!I7/Calculation!K6</f>
        <v>0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5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0</v>
      </c>
      <c r="K29" s="13">
        <v>0</v>
      </c>
      <c r="L29" s="13">
        <f>J29*Calculation!I8/Calculation!K7</f>
        <v>0</v>
      </c>
      <c r="M29" s="13">
        <f>K29*Calculation!I8/Calculation!K7</f>
        <v>0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5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0</v>
      </c>
      <c r="K30" s="13">
        <v>0</v>
      </c>
      <c r="L30" s="13">
        <f>J30*Calculation!I9/Calculation!K8</f>
        <v>0</v>
      </c>
      <c r="M30" s="13">
        <f>K30*Calculation!I9/Calculation!K8</f>
        <v>0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5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0</v>
      </c>
      <c r="K31" s="13">
        <v>0</v>
      </c>
      <c r="L31" s="13">
        <f>J31*Calculation!I10/Calculation!K9</f>
        <v>0</v>
      </c>
      <c r="M31" s="13">
        <f>K31*Calculation!I10/Calculation!K9</f>
        <v>0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5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0</v>
      </c>
      <c r="K32" s="13">
        <v>0</v>
      </c>
      <c r="L32" s="13">
        <f>J32*Calculation!I11/Calculation!K10</f>
        <v>0</v>
      </c>
      <c r="M32" s="13">
        <f>K32*Calculation!I11/Calculation!K10</f>
        <v>0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5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0</v>
      </c>
      <c r="K33" s="13">
        <v>0</v>
      </c>
      <c r="L33" s="13">
        <f>J33*Calculation!I12/Calculation!K11</f>
        <v>0</v>
      </c>
      <c r="M33" s="13">
        <f>K33*Calculation!I12/Calculation!K11</f>
        <v>0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5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0</v>
      </c>
      <c r="K34" s="13">
        <v>0</v>
      </c>
      <c r="L34" s="13">
        <f>J34*Calculation!I13/Calculation!K12</f>
        <v>0</v>
      </c>
      <c r="M34" s="13">
        <f>K34*Calculation!I13/Calculation!K12</f>
        <v>0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5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0</v>
      </c>
      <c r="K35" s="13">
        <v>0</v>
      </c>
      <c r="L35" s="13">
        <f>J35*Calculation!I14/Calculation!K13</f>
        <v>0</v>
      </c>
      <c r="M35" s="13">
        <f>K35*Calculation!I14/Calculation!K13</f>
        <v>0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5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0</v>
      </c>
      <c r="K36" s="13">
        <v>0</v>
      </c>
      <c r="L36" s="13">
        <f>J36*Calculation!I15/Calculation!K14</f>
        <v>0</v>
      </c>
      <c r="M36" s="13">
        <f>K36*Calculation!I15/Calculation!K14</f>
        <v>0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5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0</v>
      </c>
      <c r="K37" s="13">
        <v>0</v>
      </c>
      <c r="L37" s="13">
        <f>J37*Calculation!I16/Calculation!K15</f>
        <v>0</v>
      </c>
      <c r="M37" s="13">
        <f>K37*Calculation!I16/Calculation!K15</f>
        <v>0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5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0</v>
      </c>
      <c r="K38" s="13">
        <v>0</v>
      </c>
      <c r="L38" s="13">
        <f>J38*Calculation!I17/Calculation!K16</f>
        <v>0</v>
      </c>
      <c r="M38" s="13">
        <f>K38*Calculation!I17/Calculation!K16</f>
        <v>0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5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0</v>
      </c>
      <c r="K39" s="13">
        <v>0</v>
      </c>
      <c r="L39" s="13">
        <f>J39*Calculation!I18/Calculation!K17</f>
        <v>0</v>
      </c>
      <c r="M39" s="13">
        <f>K39*Calculation!I18/Calculation!K17</f>
        <v>0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5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0</v>
      </c>
      <c r="K40" s="13">
        <v>0</v>
      </c>
      <c r="L40" s="13">
        <f>J40*Calculation!I19/Calculation!K18</f>
        <v>0</v>
      </c>
      <c r="M40" s="13">
        <f>K40*Calculation!I19/Calculation!K18</f>
        <v>0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5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0</v>
      </c>
      <c r="K41" s="13">
        <v>0</v>
      </c>
      <c r="L41" s="13">
        <f>J41*Calculation!I20/Calculation!K19</f>
        <v>0</v>
      </c>
      <c r="M41" s="13">
        <f>K41*Calculation!I20/Calculation!K19</f>
        <v>0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145</v>
      </c>
      <c r="B2" s="17">
        <v>180.16</v>
      </c>
    </row>
    <row r="4" spans="1:8">
      <c r="A4" s="156" t="s">
        <v>146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5</v>
      </c>
      <c r="C6" s="28" t="s">
        <v>19</v>
      </c>
      <c r="D6" s="161"/>
      <c r="E6" s="161"/>
      <c r="F6" s="161"/>
      <c r="G6" s="163"/>
      <c r="H6" s="163"/>
    </row>
    <row r="7" spans="1:8">
      <c r="A7" s="16">
        <v>0</v>
      </c>
      <c r="B7" s="62">
        <v>-0.16666666666666666</v>
      </c>
      <c r="C7" s="16">
        <v>2</v>
      </c>
      <c r="D7" s="19">
        <v>4.5380000000000003</v>
      </c>
      <c r="E7" s="19">
        <v>4.54</v>
      </c>
      <c r="F7" s="19">
        <v>4.5289999999999999</v>
      </c>
      <c r="G7" s="19">
        <f>(C7*1000*AVERAGE(D7:F7)/$B$2)</f>
        <v>50.351539372409711</v>
      </c>
      <c r="H7" s="19">
        <f>(C7*1000*STDEV(D7:F7))/$B$2</f>
        <v>6.5047349878801369E-2</v>
      </c>
    </row>
    <row r="8" spans="1:8">
      <c r="A8" s="16">
        <v>0</v>
      </c>
      <c r="B8" s="65">
        <v>0.16666666666666666</v>
      </c>
      <c r="C8" s="16">
        <v>2</v>
      </c>
      <c r="D8" s="19">
        <v>4.5110000000000001</v>
      </c>
      <c r="E8" s="19">
        <v>4.4950000000000001</v>
      </c>
      <c r="F8" s="19">
        <v>4.4820000000000002</v>
      </c>
      <c r="G8" s="19">
        <f t="shared" ref="G8:G24" si="0">(C8*1000*AVERAGE(D8:F8)/$B$2)</f>
        <v>49.911190053285971</v>
      </c>
      <c r="H8" s="19">
        <f t="shared" ref="H8:H24" si="1">(C8*1000*STDEV(D8:F8))/$B$2</f>
        <v>0.16125487396018992</v>
      </c>
    </row>
    <row r="9" spans="1:8">
      <c r="A9" s="16">
        <v>1</v>
      </c>
      <c r="B9" s="65">
        <v>2</v>
      </c>
      <c r="C9" s="16">
        <v>2</v>
      </c>
      <c r="D9" s="19">
        <v>4.5439999999999996</v>
      </c>
      <c r="E9" s="19">
        <v>4.5069999999999997</v>
      </c>
      <c r="F9" s="19">
        <v>4.49</v>
      </c>
      <c r="G9" s="19">
        <f t="shared" si="0"/>
        <v>50.107312018946118</v>
      </c>
      <c r="H9" s="19">
        <f t="shared" si="1"/>
        <v>0.30650959724509491</v>
      </c>
    </row>
    <row r="10" spans="1:8">
      <c r="A10" s="16">
        <v>2</v>
      </c>
      <c r="B10" s="65">
        <v>3.3333333333333335</v>
      </c>
      <c r="C10" s="16">
        <v>2</v>
      </c>
      <c r="D10" s="19">
        <v>4.5110000000000001</v>
      </c>
      <c r="E10" s="19">
        <v>4.4989999999999997</v>
      </c>
      <c r="F10" s="19">
        <v>4.4640000000000004</v>
      </c>
      <c r="G10" s="19">
        <f t="shared" si="0"/>
        <v>49.859384251036111</v>
      </c>
      <c r="H10" s="19">
        <f t="shared" si="1"/>
        <v>0.27109166529591755</v>
      </c>
    </row>
    <row r="11" spans="1:8">
      <c r="A11" s="16">
        <v>3</v>
      </c>
      <c r="B11" s="65">
        <v>4.666666666666667</v>
      </c>
      <c r="C11" s="16">
        <v>2</v>
      </c>
      <c r="D11" s="19">
        <v>4.5549999999999997</v>
      </c>
      <c r="E11" s="19">
        <v>4.55</v>
      </c>
      <c r="F11" s="19">
        <v>4.57</v>
      </c>
      <c r="G11" s="19">
        <f t="shared" si="0"/>
        <v>50.603167554766145</v>
      </c>
      <c r="H11" s="19">
        <f t="shared" si="1"/>
        <v>0.11554540405562766</v>
      </c>
    </row>
    <row r="12" spans="1:8">
      <c r="A12" s="16">
        <v>4</v>
      </c>
      <c r="B12" s="65">
        <v>6</v>
      </c>
      <c r="C12" s="16">
        <v>2</v>
      </c>
      <c r="D12" s="19">
        <v>4.5739999999999998</v>
      </c>
      <c r="E12" s="19">
        <v>4.5549999999999997</v>
      </c>
      <c r="F12" s="19">
        <v>4.5369999999999999</v>
      </c>
      <c r="G12" s="19">
        <f t="shared" si="0"/>
        <v>50.569863824748367</v>
      </c>
      <c r="H12" s="19">
        <f t="shared" si="1"/>
        <v>0.20539800305473491</v>
      </c>
    </row>
    <row r="13" spans="1:8">
      <c r="A13" s="16">
        <v>5</v>
      </c>
      <c r="B13" s="65">
        <v>7.333333333333333</v>
      </c>
      <c r="C13" s="16">
        <v>2</v>
      </c>
      <c r="D13" s="19">
        <v>4.3310000000000004</v>
      </c>
      <c r="E13" s="19">
        <v>4.3529999999999998</v>
      </c>
      <c r="F13" s="19">
        <v>4.3639999999999999</v>
      </c>
      <c r="G13" s="19">
        <f t="shared" si="0"/>
        <v>48.283007696862057</v>
      </c>
      <c r="H13" s="19">
        <f t="shared" si="1"/>
        <v>0.18653172233760118</v>
      </c>
    </row>
    <row r="14" spans="1:8">
      <c r="A14" s="16">
        <v>6</v>
      </c>
      <c r="B14" s="65">
        <v>8.6666666666666661</v>
      </c>
      <c r="C14" s="16">
        <v>2</v>
      </c>
      <c r="D14" s="19">
        <v>4.5540000000000003</v>
      </c>
      <c r="E14" s="19">
        <v>4.54</v>
      </c>
      <c r="F14" s="19">
        <v>4.53</v>
      </c>
      <c r="G14" s="19">
        <f t="shared" si="0"/>
        <v>50.414446417998825</v>
      </c>
      <c r="H14" s="19">
        <f t="shared" si="1"/>
        <v>0.13383023475447867</v>
      </c>
    </row>
    <row r="15" spans="1:8">
      <c r="A15" s="16">
        <v>7</v>
      </c>
      <c r="B15" s="65">
        <v>10</v>
      </c>
      <c r="C15" s="16">
        <v>2</v>
      </c>
      <c r="D15" s="19">
        <v>4.4660000000000002</v>
      </c>
      <c r="E15" s="19">
        <v>4.4939999999999998</v>
      </c>
      <c r="F15" s="19">
        <v>4.4669999999999996</v>
      </c>
      <c r="G15" s="19">
        <f t="shared" si="0"/>
        <v>49.685464772054466</v>
      </c>
      <c r="H15" s="19">
        <f t="shared" si="1"/>
        <v>0.1763432882984575</v>
      </c>
    </row>
    <row r="16" spans="1:8">
      <c r="A16" s="16">
        <v>8</v>
      </c>
      <c r="B16" s="65">
        <v>11.333333333333334</v>
      </c>
      <c r="C16" s="16">
        <v>2</v>
      </c>
      <c r="D16" s="19">
        <v>4.4169999999999998</v>
      </c>
      <c r="E16" s="19">
        <v>4.4059999999999997</v>
      </c>
      <c r="F16" s="19">
        <v>4.3840000000000003</v>
      </c>
      <c r="G16" s="19">
        <f t="shared" si="0"/>
        <v>48.87137359384252</v>
      </c>
      <c r="H16" s="19">
        <f t="shared" si="1"/>
        <v>0.18653172233760118</v>
      </c>
    </row>
    <row r="17" spans="1:8">
      <c r="A17" s="16">
        <v>9</v>
      </c>
      <c r="B17" s="65">
        <v>12.666666666666666</v>
      </c>
      <c r="C17" s="16">
        <v>2</v>
      </c>
      <c r="D17" s="85">
        <v>4.3319999999999999</v>
      </c>
      <c r="E17" s="85">
        <v>4.335</v>
      </c>
      <c r="F17" s="85">
        <v>4.226</v>
      </c>
      <c r="G17" s="19">
        <f t="shared" si="0"/>
        <v>47.709443457667263</v>
      </c>
      <c r="H17" s="19">
        <f t="shared" si="1"/>
        <v>0.68920156977016511</v>
      </c>
    </row>
    <row r="18" spans="1:8">
      <c r="A18" s="16">
        <v>10</v>
      </c>
      <c r="B18" s="65">
        <v>14</v>
      </c>
      <c r="C18" s="16">
        <v>2</v>
      </c>
      <c r="D18" s="85">
        <v>3.9449999999999998</v>
      </c>
      <c r="E18" s="85">
        <v>4.1520000000000001</v>
      </c>
      <c r="F18" s="85">
        <v>4.1050000000000004</v>
      </c>
      <c r="G18" s="19">
        <f t="shared" si="0"/>
        <v>45.152457075192416</v>
      </c>
      <c r="H18" s="19">
        <f t="shared" si="1"/>
        <v>1.2046937785617904</v>
      </c>
    </row>
    <row r="19" spans="1:8">
      <c r="A19" s="16">
        <v>11</v>
      </c>
      <c r="B19" s="65">
        <v>15.333333333333334</v>
      </c>
      <c r="C19" s="16">
        <v>2</v>
      </c>
      <c r="D19" s="85">
        <v>3.9329999999999998</v>
      </c>
      <c r="E19" s="85">
        <v>3.9159999999999999</v>
      </c>
      <c r="F19" s="85">
        <v>3.8879999999999999</v>
      </c>
      <c r="G19" s="19">
        <f t="shared" si="0"/>
        <v>43.431764357608053</v>
      </c>
      <c r="H19" s="19">
        <f t="shared" si="1"/>
        <v>0.25225321147356783</v>
      </c>
    </row>
    <row r="20" spans="1:8">
      <c r="A20" s="16">
        <v>12</v>
      </c>
      <c r="B20" s="65">
        <v>16.666666666666668</v>
      </c>
      <c r="C20" s="16">
        <v>2</v>
      </c>
      <c r="D20" s="85">
        <v>3.726</v>
      </c>
      <c r="E20" s="85">
        <v>3.7749999999999999</v>
      </c>
      <c r="F20" s="85">
        <v>3.734</v>
      </c>
      <c r="G20" s="19">
        <f t="shared" si="0"/>
        <v>41.574156305506214</v>
      </c>
      <c r="H20" s="19">
        <f t="shared" si="1"/>
        <v>0.29181703881205362</v>
      </c>
    </row>
    <row r="21" spans="1:8">
      <c r="A21" s="16">
        <v>13</v>
      </c>
      <c r="B21" s="65">
        <v>18</v>
      </c>
      <c r="C21" s="16">
        <v>2</v>
      </c>
      <c r="D21" s="85">
        <v>3.6469999999999998</v>
      </c>
      <c r="E21" s="88">
        <v>3.66</v>
      </c>
      <c r="F21" s="88">
        <v>3.605</v>
      </c>
      <c r="G21" s="19">
        <f>(C21*1000*AVERAGE(D21:F21)/$B$2)</f>
        <v>40.378922439313207</v>
      </c>
      <c r="H21" s="19">
        <f t="shared" si="1"/>
        <v>0.31911649885065735</v>
      </c>
    </row>
    <row r="22" spans="1:8">
      <c r="A22" s="16">
        <v>14</v>
      </c>
      <c r="B22" s="65">
        <v>24</v>
      </c>
      <c r="C22" s="16">
        <v>2</v>
      </c>
      <c r="D22" s="85">
        <v>3.3119999999999998</v>
      </c>
      <c r="E22" s="85">
        <v>3.3479999999999999</v>
      </c>
      <c r="F22" s="85">
        <v>3.3540000000000001</v>
      </c>
      <c r="G22" s="19">
        <f t="shared" si="0"/>
        <v>37.055950266429839</v>
      </c>
      <c r="H22" s="19">
        <f t="shared" si="1"/>
        <v>0.25217177379219796</v>
      </c>
    </row>
    <row r="23" spans="1:8">
      <c r="A23" s="16">
        <v>15</v>
      </c>
      <c r="B23" s="65">
        <v>30</v>
      </c>
      <c r="C23" s="16">
        <v>2</v>
      </c>
      <c r="D23" s="85">
        <v>3.2189999999999999</v>
      </c>
      <c r="E23" s="85">
        <v>3.2570000000000001</v>
      </c>
      <c r="F23" s="85">
        <v>3.2469999999999999</v>
      </c>
      <c r="G23" s="19">
        <f t="shared" si="0"/>
        <v>35.979129662522197</v>
      </c>
      <c r="H23" s="19">
        <f t="shared" si="1"/>
        <v>0.21866913414289874</v>
      </c>
    </row>
    <row r="24" spans="1:8">
      <c r="A24" s="16">
        <v>16</v>
      </c>
      <c r="B24" s="65">
        <v>48</v>
      </c>
      <c r="C24" s="16">
        <v>2</v>
      </c>
      <c r="D24" s="85">
        <v>2.988</v>
      </c>
      <c r="E24" s="85">
        <v>3.0030000000000001</v>
      </c>
      <c r="F24" s="85">
        <v>3.0270000000000001</v>
      </c>
      <c r="G24" s="19">
        <f t="shared" si="0"/>
        <v>33.370337477797513</v>
      </c>
      <c r="H24" s="19">
        <f t="shared" si="1"/>
        <v>0.21838716222142618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6" t="s">
        <v>65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86">
        <v>1.1419999999999999</v>
      </c>
      <c r="E7" s="86">
        <v>1.111</v>
      </c>
      <c r="F7" s="86">
        <v>1.097</v>
      </c>
      <c r="G7" s="16">
        <f>(C7*1000*AVERAGE(D7:F7))/$B$2</f>
        <v>48.519081758273593</v>
      </c>
      <c r="H7" s="19">
        <f t="shared" ref="H7:H24" si="0">(C7*1000*STDEV(D7:F7))/$B$2</f>
        <v>1.0006068766407905</v>
      </c>
    </row>
    <row r="8" spans="1:8">
      <c r="A8" s="67">
        <v>0</v>
      </c>
      <c r="B8" s="65">
        <v>0.16666666666666666</v>
      </c>
      <c r="C8" s="16">
        <v>2</v>
      </c>
      <c r="D8" s="86">
        <v>1.0960000000000001</v>
      </c>
      <c r="E8" s="86">
        <v>1.0960000000000001</v>
      </c>
      <c r="F8" s="86">
        <v>1.091</v>
      </c>
      <c r="G8" s="16">
        <f t="shared" ref="G8:G23" si="1">(C8*1000*AVERAGE(D8:F8))/$B$2</f>
        <v>47.548700123108127</v>
      </c>
      <c r="H8" s="19">
        <f t="shared" si="0"/>
        <v>0.12542912648047774</v>
      </c>
    </row>
    <row r="9" spans="1:8">
      <c r="A9" s="67">
        <v>1</v>
      </c>
      <c r="B9" s="65">
        <v>2</v>
      </c>
      <c r="C9" s="16">
        <v>2</v>
      </c>
      <c r="D9" s="86">
        <v>1.093</v>
      </c>
      <c r="E9" s="86">
        <v>1.0880000000000001</v>
      </c>
      <c r="F9" s="86">
        <v>1.091</v>
      </c>
      <c r="G9" s="16">
        <f t="shared" si="1"/>
        <v>47.389383735245133</v>
      </c>
      <c r="H9" s="19">
        <f t="shared" si="0"/>
        <v>0.10934657738099182</v>
      </c>
    </row>
    <row r="10" spans="1:8">
      <c r="A10" s="67">
        <v>2</v>
      </c>
      <c r="B10" s="65">
        <v>3.3333333333333335</v>
      </c>
      <c r="C10" s="16">
        <v>2</v>
      </c>
      <c r="D10" s="86">
        <v>1.0920000000000001</v>
      </c>
      <c r="E10" s="86">
        <v>1.091</v>
      </c>
      <c r="F10" s="86">
        <v>1.081</v>
      </c>
      <c r="G10" s="16">
        <f t="shared" si="1"/>
        <v>47.273517271344765</v>
      </c>
      <c r="H10" s="19">
        <f t="shared" si="0"/>
        <v>0.26429556942421301</v>
      </c>
    </row>
    <row r="11" spans="1:8">
      <c r="A11" s="67">
        <v>3</v>
      </c>
      <c r="B11" s="65">
        <v>4.666666666666667</v>
      </c>
      <c r="C11" s="16">
        <v>2</v>
      </c>
      <c r="D11" s="86">
        <v>1.093</v>
      </c>
      <c r="E11" s="86">
        <v>1.0980000000000001</v>
      </c>
      <c r="F11" s="86">
        <v>1.103</v>
      </c>
      <c r="G11" s="16">
        <f t="shared" si="1"/>
        <v>47.708016510971092</v>
      </c>
      <c r="H11" s="19">
        <f t="shared" si="0"/>
        <v>0.21724961981316551</v>
      </c>
    </row>
    <row r="12" spans="1:8">
      <c r="A12" s="67">
        <v>4</v>
      </c>
      <c r="B12" s="65">
        <v>6</v>
      </c>
      <c r="C12" s="16">
        <v>2</v>
      </c>
      <c r="D12" s="86">
        <v>1.0940000000000001</v>
      </c>
      <c r="E12" s="86">
        <v>1.095</v>
      </c>
      <c r="F12" s="86">
        <v>1.091</v>
      </c>
      <c r="G12" s="16">
        <f t="shared" si="1"/>
        <v>47.505250199145493</v>
      </c>
      <c r="H12" s="19">
        <f t="shared" si="0"/>
        <v>9.0448229392402893E-2</v>
      </c>
    </row>
    <row r="13" spans="1:8">
      <c r="A13" s="67">
        <v>5</v>
      </c>
      <c r="B13" s="65">
        <v>7.333333333333333</v>
      </c>
      <c r="C13" s="16">
        <v>2</v>
      </c>
      <c r="D13" s="86">
        <v>1.0329999999999999</v>
      </c>
      <c r="E13" s="86">
        <v>1.0429999999999999</v>
      </c>
      <c r="F13" s="86">
        <v>1.042</v>
      </c>
      <c r="G13" s="16">
        <f t="shared" si="1"/>
        <v>45.158954305163292</v>
      </c>
      <c r="H13" s="19">
        <f t="shared" si="0"/>
        <v>0.23930352149841991</v>
      </c>
    </row>
    <row r="14" spans="1:8">
      <c r="A14" s="67">
        <v>6</v>
      </c>
      <c r="B14" s="65">
        <v>8.6666666666666661</v>
      </c>
      <c r="C14" s="16">
        <v>2</v>
      </c>
      <c r="D14" s="86">
        <v>1.071</v>
      </c>
      <c r="E14" s="86">
        <v>1.0680000000000001</v>
      </c>
      <c r="F14" s="86">
        <v>1.0620000000000001</v>
      </c>
      <c r="G14" s="16">
        <f t="shared" si="1"/>
        <v>46.361068868129486</v>
      </c>
      <c r="H14" s="19">
        <f t="shared" si="0"/>
        <v>0.19911256549883968</v>
      </c>
    </row>
    <row r="15" spans="1:8">
      <c r="A15" s="67">
        <v>7</v>
      </c>
      <c r="B15" s="65">
        <v>10</v>
      </c>
      <c r="C15" s="16">
        <v>2</v>
      </c>
      <c r="D15" s="86">
        <v>1.042</v>
      </c>
      <c r="E15" s="86">
        <v>1.052</v>
      </c>
      <c r="F15" s="86">
        <v>1.0780000000000001</v>
      </c>
      <c r="G15" s="16">
        <f t="shared" si="1"/>
        <v>45.941052936490699</v>
      </c>
      <c r="H15" s="19">
        <f t="shared" si="0"/>
        <v>0.80743630181860326</v>
      </c>
    </row>
    <row r="16" spans="1:8">
      <c r="A16" s="67">
        <v>8</v>
      </c>
      <c r="B16" s="65">
        <v>11.333333333333334</v>
      </c>
      <c r="C16" s="16">
        <v>2</v>
      </c>
      <c r="D16" s="86">
        <v>1.016</v>
      </c>
      <c r="E16" s="86">
        <v>1.006</v>
      </c>
      <c r="F16" s="86">
        <v>1.004</v>
      </c>
      <c r="G16" s="16">
        <f t="shared" si="1"/>
        <v>43.826489970309225</v>
      </c>
      <c r="H16" s="19">
        <f t="shared" si="0"/>
        <v>0.27934392819155518</v>
      </c>
    </row>
    <row r="17" spans="1:8">
      <c r="A17" s="67">
        <v>9</v>
      </c>
      <c r="B17" s="65">
        <v>12.666666666666666</v>
      </c>
      <c r="C17" s="16">
        <v>2</v>
      </c>
      <c r="D17" s="86">
        <v>0.97599999999999998</v>
      </c>
      <c r="E17" s="86">
        <v>0.97199999999999998</v>
      </c>
      <c r="F17" s="86">
        <v>0.95099999999999996</v>
      </c>
      <c r="G17" s="16">
        <f t="shared" si="1"/>
        <v>41.987109855891084</v>
      </c>
      <c r="H17" s="19">
        <f t="shared" si="0"/>
        <v>0.58348141294760525</v>
      </c>
    </row>
    <row r="18" spans="1:8">
      <c r="A18" s="67">
        <v>10</v>
      </c>
      <c r="B18" s="65">
        <v>14</v>
      </c>
      <c r="C18" s="16">
        <v>2</v>
      </c>
      <c r="D18" s="86">
        <v>0.86799999999999999</v>
      </c>
      <c r="E18" s="86">
        <v>0.91</v>
      </c>
      <c r="F18" s="86">
        <v>0.90100000000000002</v>
      </c>
      <c r="G18" s="16">
        <f t="shared" si="1"/>
        <v>38.800782098631331</v>
      </c>
      <c r="H18" s="19">
        <f t="shared" si="0"/>
        <v>0.96082313219621984</v>
      </c>
    </row>
    <row r="19" spans="1:8">
      <c r="A19" s="67">
        <v>11</v>
      </c>
      <c r="B19" s="65">
        <v>15.333333333333334</v>
      </c>
      <c r="C19" s="16">
        <v>2</v>
      </c>
      <c r="D19" s="86">
        <v>0.85</v>
      </c>
      <c r="E19" s="86">
        <v>0.84399999999999997</v>
      </c>
      <c r="F19" s="86">
        <v>0.84099999999999997</v>
      </c>
      <c r="G19" s="16">
        <f t="shared" si="1"/>
        <v>36.715185748424943</v>
      </c>
      <c r="H19" s="19">
        <f t="shared" si="0"/>
        <v>0.19911256549884179</v>
      </c>
    </row>
    <row r="20" spans="1:8">
      <c r="A20" s="67">
        <v>12</v>
      </c>
      <c r="B20" s="65">
        <v>16.666666666666668</v>
      </c>
      <c r="C20" s="16">
        <v>2</v>
      </c>
      <c r="D20" s="86">
        <v>0.79800000000000004</v>
      </c>
      <c r="E20" s="86">
        <v>0.80600000000000005</v>
      </c>
      <c r="F20" s="86">
        <v>0.79900000000000004</v>
      </c>
      <c r="G20" s="16">
        <f t="shared" si="1"/>
        <v>34.803389094069082</v>
      </c>
      <c r="H20" s="19">
        <f t="shared" si="0"/>
        <v>0.18939382765764404</v>
      </c>
    </row>
    <row r="21" spans="1:8">
      <c r="A21" s="67">
        <v>13</v>
      </c>
      <c r="B21" s="65">
        <v>18</v>
      </c>
      <c r="C21" s="16">
        <v>2</v>
      </c>
      <c r="D21" s="86">
        <v>0.78300000000000003</v>
      </c>
      <c r="E21" s="88">
        <v>0.78400000000000003</v>
      </c>
      <c r="F21" s="88">
        <v>0.77300000000000002</v>
      </c>
      <c r="G21" s="16">
        <f t="shared" si="1"/>
        <v>33.890940690853796</v>
      </c>
      <c r="H21" s="19">
        <f t="shared" si="0"/>
        <v>0.26429556942421134</v>
      </c>
    </row>
    <row r="22" spans="1:8">
      <c r="A22" s="67">
        <v>14</v>
      </c>
      <c r="B22" s="65">
        <v>24</v>
      </c>
      <c r="C22" s="16">
        <v>2</v>
      </c>
      <c r="D22" s="55">
        <v>0.63900000000000001</v>
      </c>
      <c r="E22" s="55">
        <v>0.64700000000000002</v>
      </c>
      <c r="F22" s="55">
        <v>0.64200000000000002</v>
      </c>
      <c r="G22" s="16">
        <f t="shared" si="1"/>
        <v>27.923817799985514</v>
      </c>
      <c r="H22" s="19">
        <f t="shared" si="0"/>
        <v>0.17560077707266492</v>
      </c>
    </row>
    <row r="23" spans="1:8">
      <c r="A23" s="67">
        <v>15</v>
      </c>
      <c r="B23" s="65">
        <v>30</v>
      </c>
      <c r="C23" s="16">
        <v>2</v>
      </c>
      <c r="D23" s="55">
        <v>0.53300000000000003</v>
      </c>
      <c r="E23" s="55">
        <v>0.53800000000000003</v>
      </c>
      <c r="F23" s="55">
        <v>0.53300000000000003</v>
      </c>
      <c r="G23" s="16">
        <f t="shared" si="1"/>
        <v>23.23122601202115</v>
      </c>
      <c r="H23" s="19">
        <f t="shared" si="0"/>
        <v>0.125429126480475</v>
      </c>
    </row>
    <row r="24" spans="1:8">
      <c r="A24" s="67">
        <v>16</v>
      </c>
      <c r="B24" s="65">
        <v>48</v>
      </c>
      <c r="C24" s="16">
        <v>2</v>
      </c>
      <c r="D24" s="55">
        <v>0.251</v>
      </c>
      <c r="E24" s="55">
        <v>0.247</v>
      </c>
      <c r="F24" s="55">
        <v>0.25</v>
      </c>
      <c r="G24" s="16">
        <f>(C24*1000*AVERAGE(D24:F24))/$B$2</f>
        <v>10.833514374683176</v>
      </c>
      <c r="H24" s="19">
        <f t="shared" si="0"/>
        <v>9.0448229392402116E-2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6" t="s">
        <v>43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87">
        <v>3.6999999999999998E-2</v>
      </c>
      <c r="E7" s="87">
        <v>3.5000000000000003E-2</v>
      </c>
      <c r="F7" s="87">
        <v>3.4000000000000002E-2</v>
      </c>
      <c r="G7" s="16">
        <f>(C7*1000*AVERAGE(D7:F7))/$B$2</f>
        <v>1.1767971135165141</v>
      </c>
      <c r="H7" s="19">
        <f>(C7*1000*STDEV(D7:F7))/$B$2</f>
        <v>5.0875111795235448E-2</v>
      </c>
    </row>
    <row r="8" spans="1:8">
      <c r="A8" s="67">
        <v>0</v>
      </c>
      <c r="B8" s="65">
        <v>0.16666666666666666</v>
      </c>
      <c r="C8" s="16">
        <v>2</v>
      </c>
      <c r="D8" s="87">
        <v>3.7999999999999999E-2</v>
      </c>
      <c r="E8" s="87">
        <v>3.5000000000000003E-2</v>
      </c>
      <c r="F8" s="87">
        <v>3.7999999999999999E-2</v>
      </c>
      <c r="G8" s="16">
        <f t="shared" ref="G8:G17" si="0">(C8*1000*AVERAGE(D8:F8))/$B$2</f>
        <v>1.2323064113238971</v>
      </c>
      <c r="H8" s="19">
        <f t="shared" ref="H8:H17" si="1">(C8*1000*STDEV(D8:F8))/$B$2</f>
        <v>5.7686954456915067E-2</v>
      </c>
    </row>
    <row r="9" spans="1:8">
      <c r="A9" s="67">
        <v>1</v>
      </c>
      <c r="B9" s="65">
        <v>2</v>
      </c>
      <c r="C9" s="16">
        <v>2</v>
      </c>
      <c r="D9" s="87">
        <v>3.5999999999999997E-2</v>
      </c>
      <c r="E9" s="87">
        <v>3.4000000000000002E-2</v>
      </c>
      <c r="F9" s="87">
        <v>3.6999999999999998E-2</v>
      </c>
      <c r="G9" s="16">
        <f t="shared" si="0"/>
        <v>1.1878989730779907</v>
      </c>
      <c r="H9" s="19">
        <f t="shared" si="1"/>
        <v>5.0875111795235448E-2</v>
      </c>
    </row>
    <row r="10" spans="1:8">
      <c r="A10" s="67">
        <v>2</v>
      </c>
      <c r="B10" s="65">
        <v>3.3333333333333335</v>
      </c>
      <c r="C10" s="16">
        <v>2</v>
      </c>
      <c r="D10" s="87">
        <v>4.1000000000000002E-2</v>
      </c>
      <c r="E10" s="87">
        <v>3.5999999999999997E-2</v>
      </c>
      <c r="F10" s="87">
        <v>3.9E-2</v>
      </c>
      <c r="G10" s="16">
        <f t="shared" si="0"/>
        <v>1.2878157091312794</v>
      </c>
      <c r="H10" s="19">
        <f t="shared" si="1"/>
        <v>8.3817201612775533E-2</v>
      </c>
    </row>
    <row r="11" spans="1:8">
      <c r="A11" s="67">
        <v>3</v>
      </c>
      <c r="B11" s="65">
        <v>4.666666666666667</v>
      </c>
      <c r="C11" s="16">
        <v>2</v>
      </c>
      <c r="D11" s="87">
        <v>3.6999999999999998E-2</v>
      </c>
      <c r="E11" s="87">
        <v>4.2000000000000003E-2</v>
      </c>
      <c r="F11" s="87">
        <v>4.2999999999999997E-2</v>
      </c>
      <c r="G11" s="16">
        <f t="shared" si="0"/>
        <v>1.3544268665001387</v>
      </c>
      <c r="H11" s="19">
        <f t="shared" si="1"/>
        <v>0.10706245640847024</v>
      </c>
    </row>
    <row r="12" spans="1:8">
      <c r="A12" s="67">
        <v>4</v>
      </c>
      <c r="B12" s="65">
        <v>6</v>
      </c>
      <c r="C12" s="16">
        <v>2</v>
      </c>
      <c r="D12" s="87">
        <v>4.2000000000000003E-2</v>
      </c>
      <c r="E12" s="87">
        <v>0.04</v>
      </c>
      <c r="F12" s="87">
        <v>4.3999999999999997E-2</v>
      </c>
      <c r="G12" s="16">
        <f t="shared" si="0"/>
        <v>1.398834304746045</v>
      </c>
      <c r="H12" s="19">
        <f t="shared" si="1"/>
        <v>6.6611157368859225E-2</v>
      </c>
    </row>
    <row r="13" spans="1:8">
      <c r="A13" s="67">
        <v>5</v>
      </c>
      <c r="B13" s="65">
        <v>7.333333333333333</v>
      </c>
      <c r="C13" s="16">
        <v>2</v>
      </c>
      <c r="D13" s="87">
        <v>4.4999999999999998E-2</v>
      </c>
      <c r="E13" s="87">
        <v>4.9000000000000002E-2</v>
      </c>
      <c r="F13" s="87">
        <v>4.5999999999999999E-2</v>
      </c>
      <c r="G13" s="16">
        <f t="shared" si="0"/>
        <v>1.5542603386067169</v>
      </c>
      <c r="H13" s="19">
        <f t="shared" si="1"/>
        <v>6.933109073992122E-2</v>
      </c>
    </row>
    <row r="14" spans="1:8">
      <c r="A14" s="67">
        <v>6</v>
      </c>
      <c r="B14" s="65">
        <v>8.6666666666666661</v>
      </c>
      <c r="C14" s="16">
        <v>2</v>
      </c>
      <c r="D14" s="87">
        <v>6.9000000000000006E-2</v>
      </c>
      <c r="E14" s="87">
        <v>7.0000000000000007E-2</v>
      </c>
      <c r="F14" s="87">
        <v>7.0999999999999994E-2</v>
      </c>
      <c r="G14" s="16">
        <f t="shared" si="0"/>
        <v>2.3313905079100752</v>
      </c>
      <c r="H14" s="19">
        <f t="shared" si="1"/>
        <v>3.3305578684429446E-2</v>
      </c>
    </row>
    <row r="15" spans="1:8">
      <c r="A15" s="67">
        <v>7</v>
      </c>
      <c r="B15" s="65">
        <v>10</v>
      </c>
      <c r="C15" s="16">
        <v>2</v>
      </c>
      <c r="D15" s="87">
        <v>9.6000000000000002E-2</v>
      </c>
      <c r="E15" s="87">
        <v>9.8000000000000004E-2</v>
      </c>
      <c r="F15" s="87">
        <v>9.9000000000000005E-2</v>
      </c>
      <c r="G15" s="16">
        <f t="shared" si="0"/>
        <v>3.2528448515126294</v>
      </c>
      <c r="H15" s="19">
        <f t="shared" si="1"/>
        <v>5.0875111795235566E-2</v>
      </c>
    </row>
    <row r="16" spans="1:8">
      <c r="A16" s="67">
        <v>8</v>
      </c>
      <c r="B16" s="65">
        <v>11.333333333333334</v>
      </c>
      <c r="C16" s="16">
        <v>2</v>
      </c>
      <c r="D16" s="87">
        <v>0.154</v>
      </c>
      <c r="E16" s="87">
        <v>0.155</v>
      </c>
      <c r="F16" s="87">
        <v>0.154</v>
      </c>
      <c r="G16" s="16">
        <f t="shared" si="0"/>
        <v>5.1401609769636414</v>
      </c>
      <c r="H16" s="19">
        <f t="shared" si="1"/>
        <v>1.9228984818971735E-2</v>
      </c>
    </row>
    <row r="17" spans="1:8">
      <c r="A17" s="67">
        <v>9</v>
      </c>
      <c r="B17" s="65">
        <v>12.666666666666666</v>
      </c>
      <c r="C17" s="16">
        <v>2</v>
      </c>
      <c r="D17" s="87">
        <v>0.25</v>
      </c>
      <c r="E17" s="87">
        <v>0.251</v>
      </c>
      <c r="F17" s="87">
        <v>0.249</v>
      </c>
      <c r="G17" s="16">
        <f t="shared" si="0"/>
        <v>8.3263946711074102</v>
      </c>
      <c r="H17" s="19">
        <f t="shared" si="1"/>
        <v>3.3305578684429675E-2</v>
      </c>
    </row>
    <row r="18" spans="1:8">
      <c r="A18" s="67">
        <v>10</v>
      </c>
      <c r="B18" s="65">
        <v>14</v>
      </c>
      <c r="C18" s="16">
        <v>2</v>
      </c>
      <c r="D18" s="87">
        <v>0.32700000000000001</v>
      </c>
      <c r="E18" s="87">
        <v>0.34699999999999998</v>
      </c>
      <c r="F18" s="87">
        <v>0.34799999999999998</v>
      </c>
      <c r="G18" s="16">
        <f t="shared" ref="G18:G23" si="2">(C18*1000*AVERAGE(D18:F18))/$B$2</f>
        <v>11.346100471829031</v>
      </c>
      <c r="H18" s="19">
        <f t="shared" ref="H18:H23" si="3">(C18*1000*STDEV(D18:F18))/$B$2</f>
        <v>0.39454578171339066</v>
      </c>
    </row>
    <row r="19" spans="1:8">
      <c r="A19" s="67">
        <v>11</v>
      </c>
      <c r="B19" s="65">
        <v>15.333333333333334</v>
      </c>
      <c r="C19" s="16">
        <v>2</v>
      </c>
      <c r="D19" s="87">
        <v>0.41899999999999998</v>
      </c>
      <c r="E19" s="87">
        <v>0.40600000000000003</v>
      </c>
      <c r="F19" s="87">
        <v>0.41299999999999998</v>
      </c>
      <c r="G19" s="16">
        <f t="shared" si="2"/>
        <v>13.744102137107967</v>
      </c>
      <c r="H19" s="19">
        <f t="shared" si="3"/>
        <v>0.21669965357694218</v>
      </c>
    </row>
    <row r="20" spans="1:8">
      <c r="A20" s="67">
        <v>12</v>
      </c>
      <c r="B20" s="65">
        <v>16.666666666666668</v>
      </c>
      <c r="C20" s="16">
        <v>2</v>
      </c>
      <c r="D20" s="87">
        <v>0.47899999999999998</v>
      </c>
      <c r="E20" s="87">
        <v>0.47299999999999998</v>
      </c>
      <c r="F20" s="87">
        <v>0.47099999999999997</v>
      </c>
      <c r="G20" s="16">
        <f t="shared" si="2"/>
        <v>15.797946155981126</v>
      </c>
      <c r="H20" s="19">
        <f t="shared" si="3"/>
        <v>0.13866218147984247</v>
      </c>
    </row>
    <row r="21" spans="1:8">
      <c r="A21" s="67">
        <v>13</v>
      </c>
      <c r="B21" s="65">
        <v>18</v>
      </c>
      <c r="C21" s="16">
        <v>2</v>
      </c>
      <c r="D21" s="85">
        <v>0.51800000000000002</v>
      </c>
      <c r="E21" s="85">
        <v>0.52100000000000002</v>
      </c>
      <c r="F21" s="85">
        <v>0.51500000000000001</v>
      </c>
      <c r="G21" s="16">
        <f t="shared" si="2"/>
        <v>17.252289758534559</v>
      </c>
      <c r="H21" s="19">
        <f t="shared" si="3"/>
        <v>9.9916736053289018E-2</v>
      </c>
    </row>
    <row r="22" spans="1:8">
      <c r="A22" s="67">
        <v>14</v>
      </c>
      <c r="B22" s="65">
        <v>24</v>
      </c>
      <c r="C22" s="16">
        <v>2</v>
      </c>
      <c r="D22" s="19">
        <v>0.57599999999999996</v>
      </c>
      <c r="E22" s="19">
        <v>0.57299999999999995</v>
      </c>
      <c r="F22" s="19">
        <v>0.58099999999999996</v>
      </c>
      <c r="G22" s="16">
        <f t="shared" si="2"/>
        <v>19.206217041354428</v>
      </c>
      <c r="H22" s="19">
        <f t="shared" si="3"/>
        <v>0.13460289373280213</v>
      </c>
    </row>
    <row r="23" spans="1:8">
      <c r="A23" s="67">
        <v>15</v>
      </c>
      <c r="B23" s="65">
        <v>30</v>
      </c>
      <c r="C23" s="16">
        <v>2</v>
      </c>
      <c r="D23" s="19">
        <v>0.58599999999999997</v>
      </c>
      <c r="E23" s="19">
        <v>0.60299999999999998</v>
      </c>
      <c r="F23" s="19">
        <v>0.59599999999999997</v>
      </c>
      <c r="G23" s="16">
        <f t="shared" si="2"/>
        <v>19.816819317235641</v>
      </c>
      <c r="H23" s="19">
        <f t="shared" si="3"/>
        <v>0.28456298901973481</v>
      </c>
    </row>
    <row r="24" spans="1:8">
      <c r="A24" s="67">
        <v>16</v>
      </c>
      <c r="B24" s="65">
        <v>48</v>
      </c>
      <c r="C24" s="16">
        <v>2</v>
      </c>
      <c r="D24" s="19">
        <v>0.57699999999999996</v>
      </c>
      <c r="E24" s="19">
        <v>0.59</v>
      </c>
      <c r="F24" s="19">
        <v>0.59599999999999997</v>
      </c>
      <c r="G24" s="16">
        <f t="shared" ref="G24" si="4">(C24*1000*AVERAGE(D24:F24))/$B$2</f>
        <v>19.572578406883153</v>
      </c>
      <c r="H24" s="19">
        <f t="shared" ref="H24" si="5">(C24*1000*STDEV(D24:F24))/$B$2</f>
        <v>0.32348159387917802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6" t="s">
        <v>67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7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7">
        <v>14</v>
      </c>
      <c r="B22" s="65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7">
        <v>15</v>
      </c>
      <c r="B23" s="65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7">
        <v>16</v>
      </c>
      <c r="B24" s="65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6" t="s">
        <v>66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77">
        <v>0</v>
      </c>
      <c r="E7" s="77">
        <v>0</v>
      </c>
      <c r="F7" s="77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7">
        <v>0</v>
      </c>
      <c r="B8" s="65">
        <v>0.16666666666666666</v>
      </c>
      <c r="C8" s="16">
        <v>2</v>
      </c>
      <c r="D8" s="77">
        <v>0</v>
      </c>
      <c r="E8" s="77">
        <v>0</v>
      </c>
      <c r="F8" s="77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7">
        <v>1</v>
      </c>
      <c r="B9" s="65">
        <v>2</v>
      </c>
      <c r="C9" s="16">
        <v>2</v>
      </c>
      <c r="D9" s="77">
        <v>0</v>
      </c>
      <c r="E9" s="77">
        <v>0</v>
      </c>
      <c r="F9" s="77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7">
        <v>2</v>
      </c>
      <c r="B10" s="65">
        <v>3.3333333333333335</v>
      </c>
      <c r="C10" s="16">
        <v>2</v>
      </c>
      <c r="D10" s="77">
        <v>0</v>
      </c>
      <c r="E10" s="77">
        <v>0</v>
      </c>
      <c r="F10" s="77">
        <v>0</v>
      </c>
      <c r="G10" s="16">
        <f t="shared" si="1"/>
        <v>0</v>
      </c>
      <c r="H10" s="19">
        <f t="shared" si="0"/>
        <v>0</v>
      </c>
    </row>
    <row r="11" spans="1:8">
      <c r="A11" s="67">
        <v>3</v>
      </c>
      <c r="B11" s="65">
        <v>4.666666666666667</v>
      </c>
      <c r="C11" s="16">
        <v>2</v>
      </c>
      <c r="D11" s="77">
        <v>0</v>
      </c>
      <c r="E11" s="77">
        <v>0</v>
      </c>
      <c r="F11" s="77">
        <v>0</v>
      </c>
      <c r="G11" s="16">
        <f t="shared" si="1"/>
        <v>0</v>
      </c>
      <c r="H11" s="19">
        <f t="shared" si="0"/>
        <v>0</v>
      </c>
    </row>
    <row r="12" spans="1:8">
      <c r="A12" s="67">
        <v>4</v>
      </c>
      <c r="B12" s="65">
        <v>6</v>
      </c>
      <c r="C12" s="16">
        <v>2</v>
      </c>
      <c r="D12" s="77">
        <v>0</v>
      </c>
      <c r="E12" s="77">
        <v>0</v>
      </c>
      <c r="F12" s="77">
        <v>0</v>
      </c>
      <c r="G12" s="16">
        <f t="shared" si="1"/>
        <v>0</v>
      </c>
      <c r="H12" s="19">
        <f t="shared" si="0"/>
        <v>0</v>
      </c>
    </row>
    <row r="13" spans="1:8">
      <c r="A13" s="67">
        <v>5</v>
      </c>
      <c r="B13" s="65">
        <v>7.333333333333333</v>
      </c>
      <c r="C13" s="16">
        <v>2</v>
      </c>
      <c r="D13" s="77">
        <v>0</v>
      </c>
      <c r="E13" s="77">
        <v>0</v>
      </c>
      <c r="F13" s="77">
        <v>0</v>
      </c>
      <c r="G13" s="16">
        <f t="shared" si="1"/>
        <v>0</v>
      </c>
      <c r="H13" s="19">
        <f t="shared" si="0"/>
        <v>0</v>
      </c>
    </row>
    <row r="14" spans="1:8">
      <c r="A14" s="67">
        <v>6</v>
      </c>
      <c r="B14" s="65">
        <v>8.6666666666666661</v>
      </c>
      <c r="C14" s="16">
        <v>2</v>
      </c>
      <c r="D14" s="77">
        <v>0</v>
      </c>
      <c r="E14" s="77">
        <v>0</v>
      </c>
      <c r="F14" s="77">
        <v>0</v>
      </c>
      <c r="G14" s="16">
        <f t="shared" si="1"/>
        <v>0</v>
      </c>
      <c r="H14" s="19">
        <f t="shared" si="0"/>
        <v>0</v>
      </c>
    </row>
    <row r="15" spans="1:8">
      <c r="A15" s="67">
        <v>7</v>
      </c>
      <c r="B15" s="65">
        <v>10</v>
      </c>
      <c r="C15" s="16">
        <v>2</v>
      </c>
      <c r="D15" s="77">
        <v>0</v>
      </c>
      <c r="E15" s="77">
        <v>0</v>
      </c>
      <c r="F15" s="77">
        <v>0</v>
      </c>
      <c r="G15" s="16">
        <f t="shared" si="1"/>
        <v>0</v>
      </c>
      <c r="H15" s="19">
        <f t="shared" si="0"/>
        <v>0</v>
      </c>
    </row>
    <row r="16" spans="1:8">
      <c r="A16" s="67">
        <v>8</v>
      </c>
      <c r="B16" s="65">
        <v>11.333333333333334</v>
      </c>
      <c r="C16" s="16">
        <v>2</v>
      </c>
      <c r="D16" s="77">
        <v>0</v>
      </c>
      <c r="E16" s="77">
        <v>0</v>
      </c>
      <c r="F16" s="77">
        <v>0</v>
      </c>
      <c r="G16" s="16">
        <f t="shared" si="1"/>
        <v>0</v>
      </c>
      <c r="H16" s="19">
        <f t="shared" si="0"/>
        <v>0</v>
      </c>
    </row>
    <row r="17" spans="1:8">
      <c r="A17" s="67">
        <v>9</v>
      </c>
      <c r="B17" s="65">
        <v>12.666666666666666</v>
      </c>
      <c r="C17" s="16">
        <v>2</v>
      </c>
      <c r="D17" s="77">
        <v>0</v>
      </c>
      <c r="E17" s="77">
        <v>0</v>
      </c>
      <c r="F17" s="77">
        <v>0</v>
      </c>
      <c r="G17" s="16">
        <f t="shared" si="1"/>
        <v>0</v>
      </c>
      <c r="H17" s="19">
        <f t="shared" si="0"/>
        <v>0</v>
      </c>
    </row>
    <row r="18" spans="1:8">
      <c r="A18" s="67">
        <v>10</v>
      </c>
      <c r="B18" s="65">
        <v>14</v>
      </c>
      <c r="C18" s="16">
        <v>2</v>
      </c>
      <c r="D18" s="77">
        <v>0</v>
      </c>
      <c r="E18" s="77">
        <v>0</v>
      </c>
      <c r="F18" s="77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7">
        <v>11</v>
      </c>
      <c r="B19" s="65">
        <v>15.333333333333334</v>
      </c>
      <c r="C19" s="16">
        <v>2</v>
      </c>
      <c r="D19" s="77">
        <v>0</v>
      </c>
      <c r="E19" s="77">
        <v>0</v>
      </c>
      <c r="F19" s="77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16.666666666666668</v>
      </c>
      <c r="C20" s="16">
        <v>2</v>
      </c>
      <c r="D20" s="77">
        <v>0</v>
      </c>
      <c r="E20" s="77">
        <v>0</v>
      </c>
      <c r="F20" s="77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18</v>
      </c>
      <c r="C21" s="16">
        <v>2</v>
      </c>
      <c r="D21" s="77">
        <v>0</v>
      </c>
      <c r="E21" s="77">
        <v>0</v>
      </c>
      <c r="F21" s="77">
        <v>0</v>
      </c>
      <c r="G21" s="16">
        <f t="shared" si="2"/>
        <v>0</v>
      </c>
      <c r="H21" s="19">
        <f t="shared" si="3"/>
        <v>0</v>
      </c>
    </row>
    <row r="22" spans="1:8">
      <c r="A22" s="67">
        <v>14</v>
      </c>
      <c r="B22" s="65">
        <v>24</v>
      </c>
      <c r="C22" s="16">
        <v>2</v>
      </c>
      <c r="D22" s="77">
        <v>0</v>
      </c>
      <c r="E22" s="77">
        <v>0</v>
      </c>
      <c r="F22" s="77">
        <v>0</v>
      </c>
      <c r="G22" s="16">
        <f t="shared" si="2"/>
        <v>0</v>
      </c>
      <c r="H22" s="19">
        <f t="shared" si="3"/>
        <v>0</v>
      </c>
    </row>
    <row r="23" spans="1:8">
      <c r="A23" s="67">
        <v>15</v>
      </c>
      <c r="B23" s="65">
        <v>30</v>
      </c>
      <c r="C23" s="16">
        <v>2</v>
      </c>
      <c r="D23" s="77">
        <v>0</v>
      </c>
      <c r="E23" s="77">
        <v>0</v>
      </c>
      <c r="F23" s="77">
        <v>0</v>
      </c>
      <c r="G23" s="16">
        <f t="shared" si="2"/>
        <v>0</v>
      </c>
      <c r="H23" s="19">
        <f t="shared" si="3"/>
        <v>0</v>
      </c>
    </row>
    <row r="24" spans="1:8">
      <c r="A24" s="67">
        <v>16</v>
      </c>
      <c r="B24" s="65">
        <v>48</v>
      </c>
      <c r="C24" s="16">
        <v>2</v>
      </c>
      <c r="D24" s="77">
        <v>0</v>
      </c>
      <c r="E24" s="77">
        <v>0</v>
      </c>
      <c r="F24" s="77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6" t="s">
        <v>42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42">
        <v>3.6999999999999998E-2</v>
      </c>
      <c r="E7" s="42">
        <v>3.5000000000000003E-2</v>
      </c>
      <c r="F7" s="42">
        <v>3.2000000000000001E-2</v>
      </c>
      <c r="G7" s="16">
        <f>(C7*1000*AVERAGE(D7:F7))/$B$2</f>
        <v>0.76968620485494388</v>
      </c>
      <c r="H7" s="19">
        <f>(C7*1000*STDEV(D7:F7))/$B$2</f>
        <v>5.5875032824679892E-2</v>
      </c>
    </row>
    <row r="8" spans="1:8">
      <c r="A8" s="67">
        <v>0</v>
      </c>
      <c r="B8" s="65">
        <v>0.16666666666666666</v>
      </c>
      <c r="C8" s="16">
        <v>2</v>
      </c>
      <c r="D8" s="42">
        <v>3.3000000000000002E-2</v>
      </c>
      <c r="E8" s="42">
        <v>3.5999999999999997E-2</v>
      </c>
      <c r="F8" s="42">
        <v>3.3000000000000002E-2</v>
      </c>
      <c r="G8" s="16">
        <f t="shared" ref="G8:G23" si="0">(C8*1000*AVERAGE(D8:F8))/$B$2</f>
        <v>0.75488454706927177</v>
      </c>
      <c r="H8" s="19">
        <f t="shared" ref="H8:H23" si="1">(C8*1000*STDEV(D8:F8))/$B$2</f>
        <v>3.8455834981546956E-2</v>
      </c>
    </row>
    <row r="9" spans="1:8">
      <c r="A9" s="67">
        <v>1</v>
      </c>
      <c r="B9" s="65">
        <v>2</v>
      </c>
      <c r="C9" s="16">
        <v>2</v>
      </c>
      <c r="D9" s="42">
        <v>3.5999999999999997E-2</v>
      </c>
      <c r="E9" s="42">
        <v>3.5000000000000003E-2</v>
      </c>
      <c r="F9" s="42">
        <v>3.5000000000000003E-2</v>
      </c>
      <c r="G9" s="16">
        <f t="shared" si="0"/>
        <v>0.78448786264061576</v>
      </c>
      <c r="H9" s="19">
        <f t="shared" si="1"/>
        <v>1.2818611660515592E-2</v>
      </c>
    </row>
    <row r="10" spans="1:8">
      <c r="A10" s="67">
        <v>2</v>
      </c>
      <c r="B10" s="65">
        <v>3.3333333333333335</v>
      </c>
      <c r="C10" s="16">
        <v>2</v>
      </c>
      <c r="D10" s="55">
        <v>3.6999999999999998E-2</v>
      </c>
      <c r="E10" s="55">
        <v>3.5999999999999997E-2</v>
      </c>
      <c r="F10" s="55">
        <v>3.5000000000000003E-2</v>
      </c>
      <c r="G10" s="16">
        <f t="shared" si="0"/>
        <v>0.79928952042628776</v>
      </c>
      <c r="H10" s="19">
        <f t="shared" si="1"/>
        <v>2.2202486678507938E-2</v>
      </c>
    </row>
    <row r="11" spans="1:8">
      <c r="A11" s="67">
        <v>3</v>
      </c>
      <c r="B11" s="65">
        <v>4.666666666666667</v>
      </c>
      <c r="C11" s="16">
        <v>2</v>
      </c>
      <c r="D11" s="55">
        <v>3.7999999999999999E-2</v>
      </c>
      <c r="E11" s="55">
        <v>3.5999999999999997E-2</v>
      </c>
      <c r="F11" s="55">
        <v>3.6999999999999998E-2</v>
      </c>
      <c r="G11" s="16">
        <f t="shared" si="0"/>
        <v>0.82149200710479575</v>
      </c>
      <c r="H11" s="19">
        <f t="shared" si="1"/>
        <v>2.2202486678508014E-2</v>
      </c>
    </row>
    <row r="12" spans="1:8">
      <c r="A12" s="67">
        <v>4</v>
      </c>
      <c r="B12" s="65">
        <v>6</v>
      </c>
      <c r="C12" s="16">
        <v>2</v>
      </c>
      <c r="D12" s="55">
        <v>3.5000000000000003E-2</v>
      </c>
      <c r="E12" s="55">
        <v>3.5999999999999997E-2</v>
      </c>
      <c r="F12" s="55">
        <v>3.5000000000000003E-2</v>
      </c>
      <c r="G12" s="16">
        <f t="shared" si="0"/>
        <v>0.78448786264061576</v>
      </c>
      <c r="H12" s="19">
        <f t="shared" si="1"/>
        <v>1.2818611660515592E-2</v>
      </c>
    </row>
    <row r="13" spans="1:8">
      <c r="A13" s="67">
        <v>5</v>
      </c>
      <c r="B13" s="65">
        <v>7.333333333333333</v>
      </c>
      <c r="C13" s="16">
        <v>2</v>
      </c>
      <c r="D13" s="55">
        <v>3.5999999999999997E-2</v>
      </c>
      <c r="E13" s="55">
        <v>3.7999999999999999E-2</v>
      </c>
      <c r="F13" s="55">
        <v>3.5999999999999997E-2</v>
      </c>
      <c r="G13" s="16">
        <f t="shared" si="0"/>
        <v>0.81409117821195953</v>
      </c>
      <c r="H13" s="19">
        <f t="shared" si="1"/>
        <v>2.5637223321031362E-2</v>
      </c>
    </row>
    <row r="14" spans="1:8">
      <c r="A14" s="67">
        <v>6</v>
      </c>
      <c r="B14" s="65">
        <v>8.6666666666666661</v>
      </c>
      <c r="C14" s="16">
        <v>2</v>
      </c>
      <c r="D14" s="55">
        <v>3.7999999999999999E-2</v>
      </c>
      <c r="E14" s="55">
        <v>3.9E-2</v>
      </c>
      <c r="F14" s="55">
        <v>3.6999999999999998E-2</v>
      </c>
      <c r="G14" s="16">
        <f t="shared" si="0"/>
        <v>0.84369449378330375</v>
      </c>
      <c r="H14" s="19">
        <f t="shared" si="1"/>
        <v>2.2202486678508014E-2</v>
      </c>
    </row>
    <row r="15" spans="1:8">
      <c r="A15" s="67">
        <v>7</v>
      </c>
      <c r="B15" s="65">
        <v>10</v>
      </c>
      <c r="C15" s="16">
        <v>2</v>
      </c>
      <c r="D15" s="55">
        <v>3.7999999999999999E-2</v>
      </c>
      <c r="E15" s="55">
        <v>3.9E-2</v>
      </c>
      <c r="F15" s="55">
        <v>4.2999999999999997E-2</v>
      </c>
      <c r="G15" s="16">
        <f t="shared" si="0"/>
        <v>0.88809946714031973</v>
      </c>
      <c r="H15" s="19">
        <f t="shared" si="1"/>
        <v>5.8742258238556597E-2</v>
      </c>
    </row>
    <row r="16" spans="1:8">
      <c r="A16" s="67">
        <v>8</v>
      </c>
      <c r="B16" s="65">
        <v>11.333333333333334</v>
      </c>
      <c r="C16" s="16">
        <v>2</v>
      </c>
      <c r="D16" s="55">
        <v>0.04</v>
      </c>
      <c r="E16" s="55">
        <v>3.7999999999999999E-2</v>
      </c>
      <c r="F16" s="55">
        <v>3.9E-2</v>
      </c>
      <c r="G16" s="16">
        <f t="shared" si="0"/>
        <v>0.86589698046181174</v>
      </c>
      <c r="H16" s="19">
        <f t="shared" si="1"/>
        <v>2.2202486678508014E-2</v>
      </c>
    </row>
    <row r="17" spans="1:8">
      <c r="A17" s="67">
        <v>9</v>
      </c>
      <c r="B17" s="65">
        <v>12.666666666666666</v>
      </c>
      <c r="C17" s="16">
        <v>2</v>
      </c>
      <c r="D17" s="55">
        <v>4.8000000000000001E-2</v>
      </c>
      <c r="E17" s="55">
        <v>4.7E-2</v>
      </c>
      <c r="F17" s="55">
        <v>4.4999999999999998E-2</v>
      </c>
      <c r="G17" s="16">
        <f t="shared" si="0"/>
        <v>1.0361160449970397</v>
      </c>
      <c r="H17" s="19">
        <f t="shared" si="1"/>
        <v>3.3914858606837212E-2</v>
      </c>
    </row>
    <row r="18" spans="1:8">
      <c r="A18" s="67">
        <v>10</v>
      </c>
      <c r="B18" s="65">
        <v>14</v>
      </c>
      <c r="C18" s="16">
        <v>2</v>
      </c>
      <c r="D18" s="42">
        <v>4.7E-2</v>
      </c>
      <c r="E18" s="42">
        <v>4.8000000000000001E-2</v>
      </c>
      <c r="F18" s="42">
        <v>4.7E-2</v>
      </c>
      <c r="G18" s="16">
        <f t="shared" si="0"/>
        <v>1.0509177027827117</v>
      </c>
      <c r="H18" s="19">
        <f t="shared" si="1"/>
        <v>1.2818611660515681E-2</v>
      </c>
    </row>
    <row r="19" spans="1:8">
      <c r="A19" s="67">
        <v>11</v>
      </c>
      <c r="B19" s="65">
        <v>15.333333333333334</v>
      </c>
      <c r="C19" s="16">
        <v>2</v>
      </c>
      <c r="D19" s="55">
        <v>5.6000000000000001E-2</v>
      </c>
      <c r="E19" s="55">
        <v>5.6000000000000001E-2</v>
      </c>
      <c r="F19" s="55">
        <v>5.1999999999999998E-2</v>
      </c>
      <c r="G19" s="16">
        <f t="shared" si="0"/>
        <v>1.2137359384251036</v>
      </c>
      <c r="H19" s="19">
        <f t="shared" si="1"/>
        <v>5.1274446642062724E-2</v>
      </c>
    </row>
    <row r="20" spans="1:8">
      <c r="A20" s="67">
        <v>12</v>
      </c>
      <c r="B20" s="65">
        <v>16.666666666666668</v>
      </c>
      <c r="C20" s="16">
        <v>2</v>
      </c>
      <c r="D20" s="55">
        <v>6.8000000000000005E-2</v>
      </c>
      <c r="E20" s="55">
        <v>7.0000000000000007E-2</v>
      </c>
      <c r="F20" s="55">
        <v>7.0000000000000007E-2</v>
      </c>
      <c r="G20" s="16">
        <f t="shared" si="0"/>
        <v>1.5393724097098878</v>
      </c>
      <c r="H20" s="19">
        <f t="shared" si="1"/>
        <v>2.5637223321031362E-2</v>
      </c>
    </row>
    <row r="21" spans="1:8">
      <c r="A21" s="67">
        <v>13</v>
      </c>
      <c r="B21" s="65">
        <v>18</v>
      </c>
      <c r="C21" s="16">
        <v>2</v>
      </c>
      <c r="D21" s="55">
        <v>9.4E-2</v>
      </c>
      <c r="E21" s="55">
        <v>9.5000000000000001E-2</v>
      </c>
      <c r="F21" s="55">
        <v>9.0999999999999998E-2</v>
      </c>
      <c r="G21" s="16">
        <f t="shared" si="0"/>
        <v>2.0722320899940794</v>
      </c>
      <c r="H21" s="19">
        <f t="shared" si="1"/>
        <v>4.6218161622249884E-2</v>
      </c>
    </row>
    <row r="22" spans="1:8">
      <c r="A22" s="67">
        <v>14</v>
      </c>
      <c r="B22" s="65">
        <v>24</v>
      </c>
      <c r="C22" s="16">
        <v>2</v>
      </c>
      <c r="D22" s="55">
        <v>0.20399999999999999</v>
      </c>
      <c r="E22" s="55">
        <v>0.20799999999999999</v>
      </c>
      <c r="F22" s="55">
        <v>0.20499999999999999</v>
      </c>
      <c r="G22" s="16">
        <f t="shared" si="0"/>
        <v>4.5663114268798104</v>
      </c>
      <c r="H22" s="19">
        <f t="shared" si="1"/>
        <v>4.6218161622249884E-2</v>
      </c>
    </row>
    <row r="23" spans="1:8">
      <c r="A23" s="67">
        <v>15</v>
      </c>
      <c r="B23" s="65">
        <v>30</v>
      </c>
      <c r="C23" s="16">
        <v>2</v>
      </c>
      <c r="D23" s="55">
        <v>0.245</v>
      </c>
      <c r="E23" s="55">
        <v>0.25</v>
      </c>
      <c r="F23" s="55">
        <v>0.24299999999999999</v>
      </c>
      <c r="G23" s="16">
        <f t="shared" si="0"/>
        <v>5.4618117229129668</v>
      </c>
      <c r="H23" s="19">
        <f t="shared" si="1"/>
        <v>8.0052204162166796E-2</v>
      </c>
    </row>
    <row r="24" spans="1:8">
      <c r="A24" s="67">
        <v>16</v>
      </c>
      <c r="B24" s="65">
        <v>48</v>
      </c>
      <c r="C24" s="16">
        <v>2</v>
      </c>
      <c r="D24" s="55">
        <v>0.29499999999999998</v>
      </c>
      <c r="E24" s="55">
        <v>0.29699999999999999</v>
      </c>
      <c r="F24" s="55">
        <v>0.29799999999999999</v>
      </c>
      <c r="G24" s="16">
        <f t="shared" ref="G24" si="2">(C24*1000*AVERAGE(D24:F24))/$B$2</f>
        <v>6.5867377146240376</v>
      </c>
      <c r="H24" s="19">
        <f t="shared" ref="H24" si="3">(C24*1000*STDEV(D24:F24))/$B$2</f>
        <v>3.3914858606837212E-2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6" t="s">
        <v>44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6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7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7">
        <v>14</v>
      </c>
      <c r="B22" s="65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7">
        <v>15</v>
      </c>
      <c r="B23" s="65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7">
        <v>16</v>
      </c>
      <c r="B24" s="65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48"/>
  <sheetViews>
    <sheetView workbookViewId="0">
      <selection activeCell="P21" sqref="P21"/>
    </sheetView>
  </sheetViews>
  <sheetFormatPr baseColWidth="10" defaultColWidth="8.83203125" defaultRowHeight="14" x14ac:dyDescent="0"/>
  <cols>
    <col min="1" max="1" width="23.6640625" bestFit="1" customWidth="1"/>
    <col min="2" max="2" width="11" bestFit="1" customWidth="1"/>
    <col min="9" max="9" width="22.33203125" customWidth="1"/>
    <col min="10" max="10" width="8.83203125" customWidth="1"/>
  </cols>
  <sheetData>
    <row r="1" spans="1:18">
      <c r="B1" s="30" t="s">
        <v>152</v>
      </c>
      <c r="C1" s="30" t="s">
        <v>78</v>
      </c>
    </row>
    <row r="2" spans="1:18">
      <c r="A2" s="30" t="s">
        <v>147</v>
      </c>
      <c r="B2" s="31">
        <f>Metabolites!H4-Metabolites!H20</f>
        <v>15.562111163567387</v>
      </c>
      <c r="C2" s="31">
        <f>Metabolites!I4+Metabolites!I20</f>
        <v>0.38604726236910214</v>
      </c>
      <c r="I2" s="78"/>
      <c r="J2" s="78" t="s">
        <v>159</v>
      </c>
      <c r="K2" s="78"/>
      <c r="L2" s="78" t="s">
        <v>160</v>
      </c>
      <c r="M2" s="78"/>
      <c r="N2" s="78" t="s">
        <v>161</v>
      </c>
      <c r="O2" s="78" t="s">
        <v>162</v>
      </c>
      <c r="P2" s="78" t="s">
        <v>163</v>
      </c>
      <c r="Q2" s="78" t="s">
        <v>164</v>
      </c>
      <c r="R2" s="58"/>
    </row>
    <row r="3" spans="1:18">
      <c r="A3" s="30" t="s">
        <v>183</v>
      </c>
      <c r="B3" s="31">
        <f>Metabolites!P20-Metabolites!P4</f>
        <v>18.914329511088855</v>
      </c>
      <c r="C3" s="31">
        <f>Metabolites!Q4+Metabolites!Q20</f>
        <v>0.3906561608642683</v>
      </c>
      <c r="I3" s="78"/>
      <c r="J3" s="78" t="s">
        <v>165</v>
      </c>
      <c r="K3" s="78"/>
      <c r="L3" s="78"/>
      <c r="M3" s="78"/>
      <c r="N3" s="78"/>
      <c r="O3" s="78"/>
      <c r="P3" s="78"/>
      <c r="Q3" s="78"/>
      <c r="R3" s="58"/>
    </row>
    <row r="4" spans="1:18">
      <c r="A4" s="30" t="s">
        <v>182</v>
      </c>
      <c r="B4" s="31">
        <f>Metabolites!T4-Metabolites!T20</f>
        <v>36.397442208606108</v>
      </c>
      <c r="C4" s="31">
        <f>Metabolites!U4+Metabolites!U20</f>
        <v>0.21853017374744227</v>
      </c>
      <c r="I4" s="78"/>
      <c r="J4" s="78"/>
      <c r="K4" s="78"/>
      <c r="L4" s="78"/>
      <c r="M4" s="78"/>
      <c r="N4" s="78"/>
      <c r="O4" s="78"/>
      <c r="P4" s="78"/>
      <c r="Q4" s="78"/>
      <c r="R4" s="58"/>
    </row>
    <row r="5" spans="1:18">
      <c r="A5" s="30" t="s">
        <v>122</v>
      </c>
      <c r="B5" s="31">
        <f>Metabolites!L20-Metabolites!L4</f>
        <v>6.0250400951683734</v>
      </c>
      <c r="C5" s="31">
        <f>Metabolites!M20+Metabolites!M4</f>
        <v>7.336540563227778E-2</v>
      </c>
      <c r="I5" s="78"/>
      <c r="J5" s="78"/>
      <c r="K5" s="78"/>
      <c r="L5" s="76" t="s">
        <v>126</v>
      </c>
      <c r="M5" s="76"/>
      <c r="N5" s="76" t="s">
        <v>127</v>
      </c>
      <c r="O5" s="76"/>
      <c r="P5" s="78"/>
      <c r="Q5" s="78"/>
      <c r="R5" s="58"/>
    </row>
    <row r="6" spans="1:18">
      <c r="A6" s="30" t="s">
        <v>123</v>
      </c>
      <c r="B6" s="31">
        <f>Metabolites!L41-Metabolites!L25</f>
        <v>0</v>
      </c>
      <c r="C6" s="31">
        <f>Metabolites!M41+Metabolites!M25</f>
        <v>0</v>
      </c>
      <c r="I6" s="164" t="s">
        <v>166</v>
      </c>
      <c r="J6" s="164"/>
      <c r="K6" s="164"/>
      <c r="L6" s="81" t="s">
        <v>100</v>
      </c>
      <c r="M6" s="76"/>
      <c r="N6" s="82">
        <f>B7-B4</f>
        <v>-13.765246272289712</v>
      </c>
      <c r="O6" s="81" t="s">
        <v>48</v>
      </c>
      <c r="P6" s="78"/>
      <c r="Q6" s="78"/>
      <c r="R6" s="58"/>
    </row>
    <row r="7" spans="1:18">
      <c r="A7" s="30" t="s">
        <v>79</v>
      </c>
      <c r="B7" s="31">
        <f>'H2'!G101</f>
        <v>22.632195936316396</v>
      </c>
      <c r="I7" s="164" t="s">
        <v>167</v>
      </c>
      <c r="J7" s="164"/>
      <c r="K7" s="164"/>
      <c r="L7" s="81" t="s">
        <v>100</v>
      </c>
      <c r="M7" s="76"/>
      <c r="N7" s="82">
        <f>C23-B3</f>
        <v>-71.544004287634678</v>
      </c>
      <c r="O7" s="81" t="s">
        <v>48</v>
      </c>
      <c r="P7" s="78"/>
      <c r="Q7" s="78"/>
      <c r="R7" s="58"/>
    </row>
    <row r="8" spans="1:18">
      <c r="A8" s="30" t="s">
        <v>80</v>
      </c>
      <c r="B8" s="31">
        <f>'CO2'!G101</f>
        <v>19.950593305392346</v>
      </c>
      <c r="I8" s="78" t="s">
        <v>168</v>
      </c>
      <c r="J8" s="78"/>
      <c r="K8" s="78"/>
      <c r="L8" s="82">
        <f>N6</f>
        <v>-13.765246272289712</v>
      </c>
      <c r="M8" s="81" t="s">
        <v>48</v>
      </c>
      <c r="N8" s="76" t="s">
        <v>100</v>
      </c>
      <c r="O8" s="76"/>
    </row>
    <row r="9" spans="1:18">
      <c r="A9" s="30" t="s">
        <v>124</v>
      </c>
      <c r="B9" s="31">
        <f>Calculation!G20*1.5/1000</f>
        <v>7.4999999999999997E-3</v>
      </c>
      <c r="I9" s="78" t="s">
        <v>169</v>
      </c>
      <c r="J9" s="78"/>
      <c r="K9" s="78"/>
      <c r="L9" s="82">
        <f>4*N7</f>
        <v>-286.17601715053871</v>
      </c>
      <c r="M9" s="81" t="s">
        <v>48</v>
      </c>
      <c r="N9" s="76"/>
      <c r="O9" s="76"/>
    </row>
    <row r="10" spans="1:18" ht="16">
      <c r="A10" s="30" t="s">
        <v>125</v>
      </c>
      <c r="B10" s="31">
        <f>Calculation!H20*1.5/1000</f>
        <v>2.8500000000000001E-2</v>
      </c>
      <c r="I10" s="78" t="s">
        <v>170</v>
      </c>
      <c r="J10" s="58"/>
      <c r="K10" s="58"/>
      <c r="L10" s="82">
        <f>2*N7</f>
        <v>-143.08800857526936</v>
      </c>
      <c r="M10" s="81" t="s">
        <v>48</v>
      </c>
      <c r="N10" s="81"/>
      <c r="O10" s="81"/>
    </row>
    <row r="11" spans="1:18">
      <c r="I11" s="78" t="s">
        <v>171</v>
      </c>
      <c r="J11" s="58"/>
      <c r="K11" s="58"/>
      <c r="L11" s="79">
        <f>L8-L9</f>
        <v>272.41077087824902</v>
      </c>
      <c r="M11" s="81" t="s">
        <v>48</v>
      </c>
      <c r="N11" s="79" t="e">
        <f>#REF!</f>
        <v>#REF!</v>
      </c>
      <c r="O11" s="81" t="s">
        <v>48</v>
      </c>
    </row>
    <row r="12" spans="1:18">
      <c r="A12" s="30" t="s">
        <v>81</v>
      </c>
      <c r="B12" s="83">
        <f>((4*$B$6)+(2*$B$3)+(3*$B$5)+(B8))/((6*$B$2)+($B$4))</f>
        <v>0.58452884941330063</v>
      </c>
      <c r="I12" s="78" t="s">
        <v>172</v>
      </c>
      <c r="J12" s="58"/>
      <c r="K12" s="58"/>
      <c r="L12" s="79">
        <f>L8-L10</f>
        <v>129.32276230297964</v>
      </c>
      <c r="M12" s="81" t="s">
        <v>48</v>
      </c>
      <c r="N12" s="79" t="e">
        <f>#REF!</f>
        <v>#REF!</v>
      </c>
      <c r="O12" s="81" t="s">
        <v>48</v>
      </c>
    </row>
    <row r="15" spans="1:18">
      <c r="A15" t="s">
        <v>157</v>
      </c>
      <c r="I15" t="s">
        <v>158</v>
      </c>
    </row>
    <row r="17" spans="1:18">
      <c r="A17" s="58"/>
      <c r="B17" s="58"/>
      <c r="C17" s="58" t="s">
        <v>126</v>
      </c>
      <c r="D17" s="58" t="s">
        <v>127</v>
      </c>
      <c r="I17" s="58"/>
      <c r="J17" s="58"/>
      <c r="K17" s="58" t="s">
        <v>126</v>
      </c>
      <c r="L17" s="58" t="s">
        <v>127</v>
      </c>
      <c r="O17" s="58" t="s">
        <v>126</v>
      </c>
      <c r="P17" s="58" t="s">
        <v>127</v>
      </c>
    </row>
    <row r="18" spans="1:18">
      <c r="A18" s="30" t="s">
        <v>151</v>
      </c>
      <c r="B18" s="58" t="s">
        <v>128</v>
      </c>
      <c r="C18" s="79">
        <f>B2</f>
        <v>15.562111163567387</v>
      </c>
      <c r="D18" s="59" t="s">
        <v>100</v>
      </c>
      <c r="E18" s="58"/>
      <c r="I18" s="30" t="s">
        <v>151</v>
      </c>
      <c r="J18" s="58" t="s">
        <v>128</v>
      </c>
      <c r="K18" s="79">
        <v>48.582741267021902</v>
      </c>
      <c r="L18" s="79">
        <v>48.582741267021902</v>
      </c>
    </row>
    <row r="19" spans="1:18">
      <c r="A19" s="30" t="s">
        <v>129</v>
      </c>
      <c r="B19" s="58" t="s">
        <v>130</v>
      </c>
      <c r="C19" s="79">
        <f>2*C18</f>
        <v>31.124222327134774</v>
      </c>
      <c r="D19" s="59" t="s">
        <v>100</v>
      </c>
      <c r="E19" s="58"/>
      <c r="I19" s="30" t="s">
        <v>129</v>
      </c>
      <c r="J19" s="58" t="s">
        <v>130</v>
      </c>
      <c r="K19" s="79">
        <v>97.165482534043804</v>
      </c>
      <c r="L19" s="79">
        <v>97.165482534043804</v>
      </c>
      <c r="N19" t="s">
        <v>184</v>
      </c>
      <c r="O19" s="31">
        <f>C19-C20</f>
        <v>25.099182231966402</v>
      </c>
      <c r="P19" s="31">
        <f>B3</f>
        <v>18.914329511088855</v>
      </c>
    </row>
    <row r="20" spans="1:18">
      <c r="A20" s="30" t="s">
        <v>131</v>
      </c>
      <c r="B20" s="58" t="s">
        <v>132</v>
      </c>
      <c r="C20" s="79">
        <f>B5</f>
        <v>6.0250400951683734</v>
      </c>
      <c r="D20" s="59" t="s">
        <v>100</v>
      </c>
      <c r="E20" s="58"/>
      <c r="I20" s="30" t="s">
        <v>131</v>
      </c>
      <c r="J20" s="58" t="s">
        <v>132</v>
      </c>
      <c r="K20" s="79">
        <v>5.038793279026887</v>
      </c>
      <c r="L20" s="79">
        <v>5.038793279026887</v>
      </c>
      <c r="N20" t="s">
        <v>185</v>
      </c>
      <c r="P20" s="31">
        <f>O19-P19</f>
        <v>6.1848527208775472</v>
      </c>
    </row>
    <row r="21" spans="1:18">
      <c r="A21" s="30" t="s">
        <v>133</v>
      </c>
      <c r="B21" s="58" t="s">
        <v>134</v>
      </c>
      <c r="C21" s="79">
        <f>N6</f>
        <v>-13.765246272289712</v>
      </c>
      <c r="D21" s="59" t="s">
        <v>100</v>
      </c>
      <c r="E21" s="58"/>
      <c r="I21" s="30" t="s">
        <v>133</v>
      </c>
      <c r="J21" s="58" t="s">
        <v>134</v>
      </c>
      <c r="K21" s="79">
        <v>-1.2165978709537257</v>
      </c>
      <c r="L21" s="79">
        <v>-1.2165978709537257</v>
      </c>
    </row>
    <row r="22" spans="1:18">
      <c r="A22" s="30" t="s">
        <v>135</v>
      </c>
      <c r="B22" s="58" t="s">
        <v>136</v>
      </c>
      <c r="C22" s="80">
        <f>C19-C20-C21</f>
        <v>38.864428504256111</v>
      </c>
      <c r="D22" s="68" t="s">
        <v>100</v>
      </c>
      <c r="E22" s="58"/>
      <c r="I22" s="30" t="s">
        <v>135</v>
      </c>
      <c r="J22" s="58" t="s">
        <v>136</v>
      </c>
      <c r="K22" s="80">
        <v>93.343287125970633</v>
      </c>
      <c r="L22" s="80">
        <v>24.954042808693252</v>
      </c>
    </row>
    <row r="23" spans="1:18">
      <c r="A23" s="30" t="s">
        <v>137</v>
      </c>
      <c r="B23" s="58" t="s">
        <v>138</v>
      </c>
      <c r="C23" s="79">
        <f>C24-C22+C21</f>
        <v>-52.629674776545826</v>
      </c>
      <c r="D23" s="59" t="s">
        <v>100</v>
      </c>
      <c r="E23" s="58"/>
      <c r="I23" s="30" t="s">
        <v>137</v>
      </c>
      <c r="J23" s="58" t="s">
        <v>138</v>
      </c>
      <c r="K23" s="79">
        <v>-33.066171222580749</v>
      </c>
      <c r="L23" s="79">
        <v>-33.066171222580749</v>
      </c>
    </row>
    <row r="24" spans="1:18">
      <c r="A24" s="30" t="s">
        <v>141</v>
      </c>
      <c r="B24" s="58" t="s">
        <v>142</v>
      </c>
      <c r="C24" s="79">
        <f>2*C25</f>
        <v>0</v>
      </c>
      <c r="D24" s="59" t="s">
        <v>100</v>
      </c>
      <c r="E24" s="58"/>
      <c r="I24" s="30" t="s">
        <v>141</v>
      </c>
      <c r="J24" s="58" t="s">
        <v>142</v>
      </c>
      <c r="K24" s="79">
        <v>59.060518032436164</v>
      </c>
      <c r="L24" s="79">
        <v>31.998707695957705</v>
      </c>
    </row>
    <row r="25" spans="1:18">
      <c r="A25" s="30" t="s">
        <v>140</v>
      </c>
      <c r="B25" s="58" t="s">
        <v>143</v>
      </c>
      <c r="C25" s="80">
        <f>D25</f>
        <v>0</v>
      </c>
      <c r="D25" s="69">
        <f>B6</f>
        <v>0</v>
      </c>
      <c r="E25" s="58"/>
      <c r="I25" s="30" t="s">
        <v>140</v>
      </c>
      <c r="J25" s="58" t="s">
        <v>143</v>
      </c>
      <c r="K25" s="80">
        <v>29.530259016218082</v>
      </c>
      <c r="L25" s="80">
        <v>31.998707695957705</v>
      </c>
    </row>
    <row r="26" spans="1:18">
      <c r="A26" s="30" t="s">
        <v>155</v>
      </c>
      <c r="B26" s="58"/>
      <c r="C26" s="76">
        <v>0</v>
      </c>
      <c r="D26">
        <v>0</v>
      </c>
      <c r="E26" s="58"/>
      <c r="I26" s="30" t="s">
        <v>156</v>
      </c>
      <c r="J26" s="58"/>
      <c r="K26" s="76">
        <f>0</f>
        <v>0</v>
      </c>
      <c r="L26" s="79">
        <f>B7</f>
        <v>22.632195936316396</v>
      </c>
    </row>
    <row r="27" spans="1:18">
      <c r="A27" s="58"/>
      <c r="B27" s="58"/>
      <c r="C27" s="58"/>
      <c r="D27" s="58"/>
      <c r="E27" s="58"/>
    </row>
    <row r="28" spans="1:18">
      <c r="A28" s="30" t="s">
        <v>81</v>
      </c>
      <c r="B28" s="70">
        <f>((4*$B$6)+(3*$B$5)+($B$4)+($B$8))/((6*$B$2)+(2*$C$23))</f>
        <v>-6.2610535236105918</v>
      </c>
      <c r="C28" s="58"/>
      <c r="D28" s="58"/>
      <c r="E28" s="58"/>
      <c r="I28" s="30" t="s">
        <v>81</v>
      </c>
      <c r="J28" s="70" t="e">
        <f>((4*$B$6)+(3*$B$5)+($B$4)+(J24))/((6*$B$2)+(2*$B$3))</f>
        <v>#VALUE!</v>
      </c>
    </row>
    <row r="31" spans="1:18">
      <c r="B31" t="s">
        <v>173</v>
      </c>
      <c r="I31" s="78"/>
      <c r="J31" s="78"/>
      <c r="K31" s="78"/>
      <c r="L31" s="78"/>
      <c r="M31" s="78"/>
      <c r="N31" s="78"/>
      <c r="O31" s="78"/>
      <c r="P31" s="78"/>
      <c r="Q31" s="78"/>
      <c r="R31" s="58"/>
    </row>
    <row r="32" spans="1:18">
      <c r="I32" s="78"/>
      <c r="J32" s="78"/>
      <c r="K32" s="78"/>
      <c r="L32" s="78"/>
      <c r="M32" s="78"/>
      <c r="N32" s="78"/>
      <c r="O32" s="78"/>
      <c r="P32" s="78"/>
      <c r="Q32" s="78"/>
      <c r="R32" s="58"/>
    </row>
    <row r="33" spans="9:18">
      <c r="I33" s="78"/>
      <c r="J33" s="78"/>
      <c r="K33" s="78"/>
      <c r="L33" s="78"/>
      <c r="M33" s="78"/>
      <c r="N33" s="78"/>
      <c r="O33" s="78"/>
      <c r="P33" s="78"/>
      <c r="Q33" s="78"/>
      <c r="R33" s="58"/>
    </row>
    <row r="34" spans="9:18">
      <c r="I34" s="78"/>
      <c r="J34" s="78"/>
      <c r="K34" s="78"/>
      <c r="L34" s="78"/>
      <c r="M34" s="78"/>
      <c r="N34" s="78"/>
      <c r="O34" s="78"/>
      <c r="P34" s="78"/>
      <c r="Q34" s="78"/>
      <c r="R34" s="58"/>
    </row>
    <row r="35" spans="9:18">
      <c r="I35" s="78"/>
      <c r="J35" s="78"/>
      <c r="K35" s="78"/>
      <c r="L35" s="78"/>
      <c r="M35" s="78"/>
      <c r="N35" s="78"/>
      <c r="O35" s="78"/>
      <c r="P35" s="78"/>
      <c r="Q35" s="78"/>
      <c r="R35" s="58"/>
    </row>
    <row r="36" spans="9:18">
      <c r="I36" s="78"/>
      <c r="J36" s="78"/>
      <c r="K36" s="78"/>
      <c r="L36" s="78"/>
      <c r="M36" s="78"/>
      <c r="N36" s="78"/>
      <c r="O36" s="78"/>
      <c r="P36" s="78"/>
      <c r="Q36" s="78"/>
      <c r="R36" s="58"/>
    </row>
    <row r="37" spans="9:18">
      <c r="I37" s="78"/>
      <c r="J37" s="78"/>
      <c r="K37" s="78"/>
      <c r="L37" s="78"/>
      <c r="M37" s="78"/>
      <c r="N37" s="78"/>
      <c r="O37" s="78"/>
      <c r="P37" s="78"/>
      <c r="Q37" s="78"/>
      <c r="R37" s="58"/>
    </row>
    <row r="38" spans="9:18">
      <c r="I38" s="78"/>
      <c r="J38" s="78"/>
      <c r="K38" s="78"/>
      <c r="L38" s="78"/>
      <c r="M38" s="78"/>
      <c r="N38" s="78"/>
      <c r="O38" s="78"/>
      <c r="P38" s="78"/>
      <c r="Q38" s="78"/>
      <c r="R38" s="58"/>
    </row>
    <row r="39" spans="9:18">
      <c r="P39" s="58"/>
      <c r="Q39" s="58"/>
      <c r="R39" s="58"/>
    </row>
    <row r="40" spans="9:18">
      <c r="P40" s="58"/>
      <c r="Q40" s="58"/>
      <c r="R40" s="58"/>
    </row>
    <row r="41" spans="9:18">
      <c r="P41" s="58"/>
      <c r="Q41" s="58"/>
      <c r="R41" s="58"/>
    </row>
    <row r="42" spans="9:18">
      <c r="P42" s="58"/>
      <c r="Q42" s="58"/>
      <c r="R42" s="58"/>
    </row>
    <row r="43" spans="9:18">
      <c r="P43" s="58"/>
      <c r="Q43" s="58"/>
      <c r="R43" s="58"/>
    </row>
    <row r="44" spans="9:18">
      <c r="P44" s="58"/>
      <c r="Q44" s="58"/>
      <c r="R44" s="58"/>
    </row>
    <row r="45" spans="9:18">
      <c r="P45" s="58"/>
      <c r="Q45" s="58"/>
      <c r="R45" s="58"/>
    </row>
    <row r="46" spans="9:18">
      <c r="P46" s="58"/>
      <c r="Q46" s="58"/>
      <c r="R46" s="58"/>
    </row>
    <row r="47" spans="9:18">
      <c r="P47" s="58"/>
      <c r="Q47" s="58"/>
      <c r="R47" s="58"/>
    </row>
    <row r="48" spans="9:18">
      <c r="P48" s="58"/>
      <c r="Q48" s="58"/>
      <c r="R48" s="58"/>
    </row>
  </sheetData>
  <mergeCells count="2">
    <mergeCell ref="I6:K6"/>
    <mergeCell ref="I7:K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3" t="s">
        <v>4</v>
      </c>
      <c r="B1" s="133" t="s">
        <v>116</v>
      </c>
      <c r="C1" s="133" t="s">
        <v>116</v>
      </c>
      <c r="D1" s="133" t="s">
        <v>5</v>
      </c>
      <c r="E1" s="4" t="s">
        <v>7</v>
      </c>
      <c r="F1" s="4" t="s">
        <v>9</v>
      </c>
      <c r="G1" s="132" t="s">
        <v>11</v>
      </c>
      <c r="H1" s="132" t="s">
        <v>12</v>
      </c>
      <c r="I1" s="4" t="s">
        <v>13</v>
      </c>
      <c r="J1" s="4" t="s">
        <v>16</v>
      </c>
      <c r="K1" s="4" t="s">
        <v>16</v>
      </c>
    </row>
    <row r="2" spans="1:11">
      <c r="A2" s="134"/>
      <c r="B2" s="134"/>
      <c r="C2" s="134"/>
      <c r="D2" s="134"/>
      <c r="E2" s="5" t="s">
        <v>8</v>
      </c>
      <c r="F2" s="5" t="s">
        <v>10</v>
      </c>
      <c r="G2" s="132"/>
      <c r="H2" s="132"/>
      <c r="I2" s="5" t="s">
        <v>14</v>
      </c>
      <c r="J2" s="5" t="s">
        <v>17</v>
      </c>
      <c r="K2" s="5" t="s">
        <v>144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55</v>
      </c>
      <c r="F3" s="1">
        <f>E3</f>
        <v>55</v>
      </c>
      <c r="G3" s="1">
        <v>0</v>
      </c>
      <c r="H3" s="1">
        <v>0</v>
      </c>
      <c r="I3" s="1">
        <f>$F$22+G3+H3</f>
        <v>1500</v>
      </c>
      <c r="J3" s="13">
        <f>F3*1500/I3</f>
        <v>55</v>
      </c>
      <c r="K3" s="13">
        <f>$F$23-J3</f>
        <v>1520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18" si="0">C4/60</f>
        <v>0.16666666666666666</v>
      </c>
      <c r="E4" s="1">
        <v>49</v>
      </c>
      <c r="F4" s="1">
        <f>E4+F3</f>
        <v>104</v>
      </c>
      <c r="G4" s="40">
        <v>0</v>
      </c>
      <c r="H4" s="40">
        <v>0</v>
      </c>
      <c r="I4" s="1">
        <f t="shared" ref="I4:I19" si="1">$F$23-F3+G4+H4</f>
        <v>1520</v>
      </c>
      <c r="J4" s="13">
        <f>E4*K3/I4</f>
        <v>49</v>
      </c>
      <c r="K4" s="13">
        <f>K3-J4</f>
        <v>1471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54</v>
      </c>
      <c r="F5" s="1">
        <f t="shared" ref="F5:F18" si="2">E5+F4</f>
        <v>158</v>
      </c>
      <c r="G5" s="40">
        <v>0</v>
      </c>
      <c r="H5" s="40">
        <v>0</v>
      </c>
      <c r="I5" s="40">
        <f t="shared" si="1"/>
        <v>1471</v>
      </c>
      <c r="J5" s="13">
        <f t="shared" ref="J5:J13" si="3">E5*K4/I5</f>
        <v>54</v>
      </c>
      <c r="K5" s="13">
        <f>K4-J5</f>
        <v>1417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47</v>
      </c>
      <c r="F6" s="1">
        <f t="shared" si="2"/>
        <v>205</v>
      </c>
      <c r="G6" s="40">
        <v>0</v>
      </c>
      <c r="H6" s="40">
        <v>0</v>
      </c>
      <c r="I6" s="40">
        <f t="shared" si="1"/>
        <v>1417</v>
      </c>
      <c r="J6" s="13">
        <f>E6*K5/I6</f>
        <v>47</v>
      </c>
      <c r="K6" s="13">
        <f t="shared" ref="K6:K13" si="4">K5-J6</f>
        <v>1370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50</v>
      </c>
      <c r="F7" s="1">
        <f t="shared" si="2"/>
        <v>255</v>
      </c>
      <c r="G7" s="40">
        <v>0</v>
      </c>
      <c r="H7" s="40">
        <v>0</v>
      </c>
      <c r="I7" s="40">
        <f t="shared" si="1"/>
        <v>1370</v>
      </c>
      <c r="J7" s="13">
        <f>E7*K6/I7</f>
        <v>50</v>
      </c>
      <c r="K7" s="13">
        <f>K6-J7</f>
        <v>1320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53</v>
      </c>
      <c r="F8" s="1">
        <f t="shared" si="2"/>
        <v>308</v>
      </c>
      <c r="G8" s="40">
        <v>0</v>
      </c>
      <c r="H8" s="40">
        <v>0</v>
      </c>
      <c r="I8" s="40">
        <f t="shared" si="1"/>
        <v>1320</v>
      </c>
      <c r="J8" s="13">
        <f t="shared" si="3"/>
        <v>53</v>
      </c>
      <c r="K8" s="13">
        <f t="shared" si="4"/>
        <v>1267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50</v>
      </c>
      <c r="F9" s="1">
        <f t="shared" si="2"/>
        <v>358</v>
      </c>
      <c r="G9" s="40">
        <v>0</v>
      </c>
      <c r="H9" s="40">
        <v>0</v>
      </c>
      <c r="I9" s="40">
        <f t="shared" si="1"/>
        <v>1267</v>
      </c>
      <c r="J9" s="13">
        <f t="shared" si="3"/>
        <v>50</v>
      </c>
      <c r="K9" s="13">
        <f t="shared" si="4"/>
        <v>1217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44</v>
      </c>
      <c r="F10" s="1">
        <f t="shared" si="2"/>
        <v>402</v>
      </c>
      <c r="G10" s="40">
        <v>0</v>
      </c>
      <c r="H10" s="40">
        <v>0</v>
      </c>
      <c r="I10" s="40">
        <f t="shared" si="1"/>
        <v>1217</v>
      </c>
      <c r="J10" s="13">
        <f t="shared" si="3"/>
        <v>44</v>
      </c>
      <c r="K10" s="13">
        <f t="shared" si="4"/>
        <v>1173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47</v>
      </c>
      <c r="F11" s="1">
        <f t="shared" si="2"/>
        <v>449</v>
      </c>
      <c r="G11" s="40">
        <v>0</v>
      </c>
      <c r="H11" s="40">
        <v>0</v>
      </c>
      <c r="I11" s="40">
        <f t="shared" si="1"/>
        <v>1173</v>
      </c>
      <c r="J11" s="13">
        <f t="shared" si="3"/>
        <v>47</v>
      </c>
      <c r="K11" s="13">
        <f t="shared" si="4"/>
        <v>1126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45</v>
      </c>
      <c r="F12" s="1">
        <f t="shared" si="2"/>
        <v>494</v>
      </c>
      <c r="G12" s="40">
        <v>1</v>
      </c>
      <c r="H12" s="40">
        <v>0</v>
      </c>
      <c r="I12" s="40">
        <f t="shared" si="1"/>
        <v>1127</v>
      </c>
      <c r="J12" s="13">
        <f t="shared" si="3"/>
        <v>44.960070984915703</v>
      </c>
      <c r="K12" s="13">
        <f t="shared" si="4"/>
        <v>1081.0399290150842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>C13/60</f>
        <v>12.666666666666666</v>
      </c>
      <c r="E13" s="1">
        <v>47</v>
      </c>
      <c r="F13" s="1">
        <f t="shared" si="2"/>
        <v>541</v>
      </c>
      <c r="G13" s="40">
        <v>2</v>
      </c>
      <c r="H13" s="40">
        <v>0</v>
      </c>
      <c r="I13" s="40">
        <f t="shared" si="1"/>
        <v>1083</v>
      </c>
      <c r="J13" s="13">
        <f t="shared" si="3"/>
        <v>46.914936900931629</v>
      </c>
      <c r="K13" s="13">
        <f t="shared" si="4"/>
        <v>1034.1249921141525</v>
      </c>
    </row>
    <row r="14" spans="1:11">
      <c r="A14" s="37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46</v>
      </c>
      <c r="F14" s="37">
        <f t="shared" si="2"/>
        <v>587</v>
      </c>
      <c r="G14" s="40">
        <v>3</v>
      </c>
      <c r="H14" s="40">
        <v>0</v>
      </c>
      <c r="I14" s="40">
        <f t="shared" si="1"/>
        <v>1037</v>
      </c>
      <c r="J14" s="13">
        <f t="shared" ref="J14:J19" si="6">E14*K13/I14</f>
        <v>45.872468309788829</v>
      </c>
      <c r="K14" s="13">
        <f t="shared" ref="K14:K18" si="7">K13-J14</f>
        <v>988.2525238043637</v>
      </c>
    </row>
    <row r="15" spans="1:11">
      <c r="A15" s="37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49</v>
      </c>
      <c r="F15" s="37">
        <f t="shared" si="2"/>
        <v>636</v>
      </c>
      <c r="G15" s="40">
        <v>4</v>
      </c>
      <c r="H15" s="40">
        <v>0</v>
      </c>
      <c r="I15" s="40">
        <f t="shared" si="1"/>
        <v>992</v>
      </c>
      <c r="J15" s="13">
        <f t="shared" si="6"/>
        <v>48.814892808884899</v>
      </c>
      <c r="K15" s="13">
        <f t="shared" si="7"/>
        <v>939.4376309954788</v>
      </c>
    </row>
    <row r="16" spans="1:11">
      <c r="A16" s="37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50</v>
      </c>
      <c r="F16" s="37">
        <f t="shared" si="2"/>
        <v>686</v>
      </c>
      <c r="G16" s="40">
        <v>5</v>
      </c>
      <c r="H16" s="40">
        <v>0</v>
      </c>
      <c r="I16" s="40">
        <f t="shared" si="1"/>
        <v>944</v>
      </c>
      <c r="J16" s="13">
        <f t="shared" si="6"/>
        <v>49.758349099336804</v>
      </c>
      <c r="K16" s="13">
        <f t="shared" si="7"/>
        <v>889.67928189614202</v>
      </c>
    </row>
    <row r="17" spans="1:11">
      <c r="A17" s="37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49</v>
      </c>
      <c r="F17" s="37">
        <f t="shared" si="2"/>
        <v>735</v>
      </c>
      <c r="G17" s="40">
        <v>5</v>
      </c>
      <c r="H17" s="40">
        <v>0</v>
      </c>
      <c r="I17" s="40">
        <f t="shared" si="1"/>
        <v>894</v>
      </c>
      <c r="J17" s="13">
        <f t="shared" si="6"/>
        <v>48.763182117350063</v>
      </c>
      <c r="K17" s="13">
        <f t="shared" si="7"/>
        <v>840.91609977879193</v>
      </c>
    </row>
    <row r="18" spans="1:11">
      <c r="A18" s="37">
        <v>14</v>
      </c>
      <c r="B18" s="32">
        <v>360</v>
      </c>
      <c r="C18" s="32">
        <f t="shared" si="5"/>
        <v>1440</v>
      </c>
      <c r="D18" s="13">
        <f t="shared" si="0"/>
        <v>24</v>
      </c>
      <c r="E18" s="37">
        <v>51</v>
      </c>
      <c r="F18" s="37">
        <f t="shared" si="2"/>
        <v>786</v>
      </c>
      <c r="G18" s="40">
        <v>5</v>
      </c>
      <c r="H18" s="40">
        <v>0</v>
      </c>
      <c r="I18" s="40">
        <f t="shared" si="1"/>
        <v>845</v>
      </c>
      <c r="J18" s="13">
        <f t="shared" si="6"/>
        <v>50.753516081323539</v>
      </c>
      <c r="K18" s="13">
        <f t="shared" si="7"/>
        <v>790.16258369746834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>C19/60</f>
        <v>30</v>
      </c>
      <c r="E19" s="37">
        <v>63</v>
      </c>
      <c r="F19" s="37">
        <f>E19+F18</f>
        <v>849</v>
      </c>
      <c r="G19" s="40">
        <v>5</v>
      </c>
      <c r="H19" s="40">
        <v>15</v>
      </c>
      <c r="I19" s="40">
        <f t="shared" si="1"/>
        <v>809</v>
      </c>
      <c r="J19" s="13">
        <f t="shared" si="6"/>
        <v>61.533056579654513</v>
      </c>
      <c r="K19" s="13">
        <f>K18-J19</f>
        <v>728.62952711781384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ref="D20" si="8">C20/60</f>
        <v>48</v>
      </c>
      <c r="E20" s="40">
        <v>56</v>
      </c>
      <c r="F20" s="40">
        <f>E20+F19</f>
        <v>905</v>
      </c>
      <c r="G20" s="40">
        <v>5</v>
      </c>
      <c r="H20" s="40">
        <v>19</v>
      </c>
      <c r="I20" s="40">
        <f>$F$23-F19+G20+H20</f>
        <v>750</v>
      </c>
      <c r="J20" s="13">
        <f t="shared" ref="J20" si="9">E20*K19/I20</f>
        <v>54.404338024796765</v>
      </c>
      <c r="K20" s="13">
        <f t="shared" ref="K20" si="10">K19-J20</f>
        <v>674.22518909301709</v>
      </c>
    </row>
    <row r="22" spans="1:11">
      <c r="A22" s="129" t="s">
        <v>15</v>
      </c>
      <c r="B22" s="130"/>
      <c r="C22" s="130"/>
      <c r="D22" s="130"/>
      <c r="E22" s="131"/>
      <c r="F22" s="1">
        <v>1500</v>
      </c>
    </row>
    <row r="23" spans="1:11">
      <c r="A23" s="129" t="s">
        <v>15</v>
      </c>
      <c r="B23" s="130"/>
      <c r="C23" s="130"/>
      <c r="D23" s="130"/>
      <c r="E23" s="131"/>
      <c r="F23" s="40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19" sqref="D19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3" t="s">
        <v>4</v>
      </c>
      <c r="B1" s="133" t="s">
        <v>116</v>
      </c>
      <c r="C1" s="133" t="s">
        <v>116</v>
      </c>
      <c r="D1" s="133" t="s">
        <v>5</v>
      </c>
      <c r="E1" s="138" t="s">
        <v>18</v>
      </c>
      <c r="F1" s="138"/>
      <c r="G1" s="138"/>
      <c r="H1" s="138"/>
      <c r="I1" s="138" t="s">
        <v>20</v>
      </c>
      <c r="J1" s="138"/>
      <c r="K1" s="138"/>
      <c r="L1" s="138"/>
      <c r="M1" s="138" t="s">
        <v>21</v>
      </c>
      <c r="N1" s="138"/>
      <c r="O1" s="138"/>
      <c r="P1" s="138"/>
      <c r="Q1" s="38" t="s">
        <v>22</v>
      </c>
      <c r="R1" s="38" t="s">
        <v>22</v>
      </c>
      <c r="S1" s="38" t="s">
        <v>22</v>
      </c>
    </row>
    <row r="2" spans="1:19">
      <c r="A2" s="134"/>
      <c r="B2" s="134"/>
      <c r="C2" s="134"/>
      <c r="D2" s="134"/>
      <c r="E2" s="41" t="s">
        <v>19</v>
      </c>
      <c r="F2" s="41" t="s">
        <v>68</v>
      </c>
      <c r="G2" s="41" t="s">
        <v>117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0" t="s">
        <v>6</v>
      </c>
      <c r="B3" s="61">
        <v>-10</v>
      </c>
      <c r="C3" s="61">
        <v>-10</v>
      </c>
      <c r="D3" s="13">
        <f>C3/60</f>
        <v>-0.16666666666666666</v>
      </c>
      <c r="Q3" s="135"/>
      <c r="R3" s="136"/>
      <c r="S3" s="137"/>
    </row>
    <row r="4" spans="1:19">
      <c r="A4" s="63">
        <v>0</v>
      </c>
      <c r="B4" s="64">
        <v>10</v>
      </c>
      <c r="C4" s="64">
        <v>10</v>
      </c>
      <c r="D4" s="13">
        <f t="shared" ref="D4:D18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3">
        <v>1</v>
      </c>
      <c r="B5" s="64">
        <v>110</v>
      </c>
      <c r="C5" s="64"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3">
        <v>2</v>
      </c>
      <c r="B6" s="64">
        <v>80</v>
      </c>
      <c r="C6" s="64"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3">
        <v>3</v>
      </c>
      <c r="B7" s="64">
        <v>80</v>
      </c>
      <c r="C7" s="64"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3">
        <v>4</v>
      </c>
      <c r="B8" s="64">
        <v>80</v>
      </c>
      <c r="C8" s="64"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3">
        <v>5</v>
      </c>
      <c r="B9" s="64">
        <v>80</v>
      </c>
      <c r="C9" s="64"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3">
        <v>6</v>
      </c>
      <c r="B10" s="64">
        <v>80</v>
      </c>
      <c r="C10" s="64"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3">
        <v>7</v>
      </c>
      <c r="B11" s="64">
        <v>80</v>
      </c>
      <c r="C11" s="64"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3">
        <v>8</v>
      </c>
      <c r="B12" s="64">
        <v>80</v>
      </c>
      <c r="C12" s="64"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3">
        <v>9</v>
      </c>
      <c r="B13" s="64">
        <v>80</v>
      </c>
      <c r="C13" s="64">
        <v>760</v>
      </c>
      <c r="D13" s="13">
        <f>C13/60</f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3">
        <v>10</v>
      </c>
      <c r="B14" s="64">
        <v>80</v>
      </c>
      <c r="C14" s="64"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3">
        <v>11</v>
      </c>
      <c r="B15" s="64">
        <v>80</v>
      </c>
      <c r="C15" s="64"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3">
        <v>12</v>
      </c>
      <c r="B16" s="64">
        <v>80</v>
      </c>
      <c r="C16" s="64"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3">
        <v>13</v>
      </c>
      <c r="B17" s="64">
        <v>80</v>
      </c>
      <c r="C17" s="64"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3">
        <v>14</v>
      </c>
      <c r="B18" s="64">
        <v>360</v>
      </c>
      <c r="C18" s="64"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3">
        <v>15</v>
      </c>
      <c r="B19" s="32">
        <v>360</v>
      </c>
      <c r="C19" s="64">
        <v>1815</v>
      </c>
      <c r="D19" s="13">
        <f>C19/60</f>
        <v>30.25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3">
        <v>16</v>
      </c>
      <c r="B20" s="32">
        <v>1080</v>
      </c>
      <c r="C20" s="64">
        <v>2880</v>
      </c>
      <c r="D20" s="13">
        <f t="shared" ref="D20" si="2">C20/60</f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A2" workbookViewId="0">
      <selection activeCell="J25" sqref="J2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3" t="s">
        <v>4</v>
      </c>
      <c r="B1" s="133" t="s">
        <v>116</v>
      </c>
      <c r="C1" s="133" t="s">
        <v>116</v>
      </c>
      <c r="D1" s="133" t="s">
        <v>5</v>
      </c>
      <c r="E1" s="132" t="s">
        <v>118</v>
      </c>
      <c r="F1" s="132"/>
      <c r="G1" s="132"/>
      <c r="H1" s="132"/>
      <c r="I1" s="132" t="s">
        <v>119</v>
      </c>
      <c r="J1" s="132"/>
      <c r="K1" s="132"/>
      <c r="L1" s="132"/>
      <c r="M1" s="132" t="s">
        <v>120</v>
      </c>
      <c r="N1" s="132"/>
      <c r="O1" s="132"/>
      <c r="P1" s="132"/>
      <c r="Q1" s="24" t="s">
        <v>121</v>
      </c>
      <c r="R1" s="24" t="s">
        <v>121</v>
      </c>
      <c r="S1" s="24" t="s">
        <v>121</v>
      </c>
      <c r="T1" s="56" t="s">
        <v>121</v>
      </c>
      <c r="U1" s="74" t="s">
        <v>118</v>
      </c>
      <c r="V1" s="74" t="s">
        <v>119</v>
      </c>
      <c r="W1" s="74" t="s">
        <v>120</v>
      </c>
      <c r="X1" s="74" t="s">
        <v>121</v>
      </c>
    </row>
    <row r="2" spans="1:24">
      <c r="A2" s="134"/>
      <c r="B2" s="134"/>
      <c r="C2" s="134"/>
      <c r="D2" s="134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7" t="s">
        <v>139</v>
      </c>
      <c r="U2" s="75" t="s">
        <v>153</v>
      </c>
      <c r="V2" s="75" t="s">
        <v>153</v>
      </c>
      <c r="W2" s="75" t="s">
        <v>153</v>
      </c>
      <c r="X2" s="75" t="s">
        <v>154</v>
      </c>
    </row>
    <row r="3" spans="1:24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3" t="s">
        <v>100</v>
      </c>
      <c r="F3" s="43" t="s">
        <v>100</v>
      </c>
      <c r="G3" s="43" t="s">
        <v>100</v>
      </c>
      <c r="H3" s="44" t="s">
        <v>100</v>
      </c>
      <c r="I3" s="43" t="s">
        <v>100</v>
      </c>
      <c r="J3" s="43" t="s">
        <v>100</v>
      </c>
      <c r="K3" s="43" t="s">
        <v>100</v>
      </c>
      <c r="L3" s="44" t="s">
        <v>100</v>
      </c>
      <c r="M3" s="43" t="s">
        <v>100</v>
      </c>
      <c r="N3" s="43" t="s">
        <v>100</v>
      </c>
      <c r="O3" s="43" t="s">
        <v>100</v>
      </c>
      <c r="P3" s="44" t="s">
        <v>100</v>
      </c>
      <c r="Q3" s="139" t="s">
        <v>100</v>
      </c>
      <c r="R3" s="140"/>
      <c r="S3" s="141"/>
      <c r="T3" s="73"/>
      <c r="U3" s="44" t="s">
        <v>100</v>
      </c>
      <c r="V3" s="44" t="s">
        <v>100</v>
      </c>
      <c r="W3" s="44" t="s">
        <v>100</v>
      </c>
      <c r="X3" s="44" t="s">
        <v>100</v>
      </c>
    </row>
    <row r="4" spans="1:24">
      <c r="A4" s="63">
        <v>0</v>
      </c>
      <c r="B4" s="64">
        <v>10</v>
      </c>
      <c r="C4" s="64">
        <v>10</v>
      </c>
      <c r="D4" s="13">
        <f t="shared" ref="D4:D18" si="0">C4/60</f>
        <v>0.16666666666666666</v>
      </c>
      <c r="E4" s="32">
        <v>1</v>
      </c>
      <c r="F4" s="32">
        <v>7396</v>
      </c>
      <c r="G4" s="32">
        <v>7</v>
      </c>
      <c r="H4" s="44">
        <f>('Flow cytometer'!F4/'Flow cytometer'!G4)*POWER(10,'Flow cytometer'!E4+2)*10.2</f>
        <v>10777028.571428571</v>
      </c>
      <c r="I4" s="32">
        <v>1</v>
      </c>
      <c r="J4" s="32">
        <v>7037</v>
      </c>
      <c r="K4" s="32">
        <v>7</v>
      </c>
      <c r="L4" s="44">
        <f>('Flow cytometer'!J4/'Flow cytometer'!K4)*POWER(10,'Flow cytometer'!I4+2)*10.2</f>
        <v>10253914.285714285</v>
      </c>
      <c r="M4" s="32">
        <v>1</v>
      </c>
      <c r="N4" s="32">
        <v>7403</v>
      </c>
      <c r="O4" s="32">
        <v>7</v>
      </c>
      <c r="P4" s="44">
        <f>('Flow cytometer'!N4/'Flow cytometer'!O4)*POWER(10,'Flow cytometer'!M4+2)*10.2</f>
        <v>10787228.571428571</v>
      </c>
      <c r="Q4" s="47">
        <f>AVERAGE(H4,L4,P4)*Calculation!I4/Calculation!K3</f>
        <v>10606057.142857144</v>
      </c>
      <c r="R4" s="48">
        <f>STDEV(H4,L4,P4)*Calculation!I4/Calculation!K3</f>
        <v>305007.30135121505</v>
      </c>
      <c r="S4" s="49">
        <f>LOG(Q4)</f>
        <v>7.0255539626619221</v>
      </c>
      <c r="T4" s="72">
        <f>LN(Q4)</f>
        <v>16.176935824450588</v>
      </c>
      <c r="U4" s="49">
        <f>LOG(H4)</f>
        <v>7.0324990342347959</v>
      </c>
      <c r="V4" s="49">
        <f>LOG(L4)</f>
        <v>7.0108896827750558</v>
      </c>
      <c r="W4" s="49">
        <f>LOG(P4)</f>
        <v>7.0329098811298625</v>
      </c>
      <c r="X4" s="49">
        <f xml:space="preserve"> STDEV(U4:W4)*Calculation!I4/Calculation!K3</f>
        <v>1.2596441304768015E-2</v>
      </c>
    </row>
    <row r="5" spans="1:24">
      <c r="A5" s="63">
        <v>1</v>
      </c>
      <c r="B5" s="64">
        <v>110</v>
      </c>
      <c r="C5" s="64">
        <v>120</v>
      </c>
      <c r="D5" s="13">
        <f t="shared" si="0"/>
        <v>2</v>
      </c>
      <c r="E5" s="32">
        <v>1</v>
      </c>
      <c r="F5" s="32">
        <v>10253</v>
      </c>
      <c r="G5" s="32">
        <v>7</v>
      </c>
      <c r="H5" s="44">
        <f>('Flow cytometer'!F5/'Flow cytometer'!G5)*POWER(10,'Flow cytometer'!E5+2)*10.2</f>
        <v>14940085.714285713</v>
      </c>
      <c r="I5" s="32">
        <v>1</v>
      </c>
      <c r="J5" s="32">
        <v>9641</v>
      </c>
      <c r="K5" s="32">
        <v>7</v>
      </c>
      <c r="L5" s="44">
        <f>('Flow cytometer'!J5/'Flow cytometer'!K5)*POWER(10,'Flow cytometer'!I5+2)*10.2</f>
        <v>14048314.285714285</v>
      </c>
      <c r="M5" s="32">
        <v>1</v>
      </c>
      <c r="N5" s="32">
        <v>11200</v>
      </c>
      <c r="O5" s="32">
        <v>7</v>
      </c>
      <c r="P5" s="44">
        <f>('Flow cytometer'!N5/'Flow cytometer'!O5)*POWER(10,'Flow cytometer'!M5+2)*10.2</f>
        <v>16319999.999999998</v>
      </c>
      <c r="Q5" s="47">
        <f>AVERAGE(H5,L5,P5)*Calculation!I5/Calculation!K4</f>
        <v>15102800</v>
      </c>
      <c r="R5" s="48">
        <f>STDEV(H5,L5,P5)*Calculation!I5/Calculation!K4</f>
        <v>1144550.5450630304</v>
      </c>
      <c r="S5" s="49">
        <f t="shared" ref="S5:S19" si="1">LOG(Q5)</f>
        <v>7.1790574712547102</v>
      </c>
      <c r="T5" s="49">
        <f t="shared" ref="T5:T19" si="2">LN(Q5)</f>
        <v>16.530390715058626</v>
      </c>
      <c r="U5" s="49">
        <f t="shared" ref="U5:U20" si="3">LOG(H5)</f>
        <v>7.1743530891215839</v>
      </c>
      <c r="V5" s="49">
        <f t="shared" ref="V5:V20" si="4">LOG(L5)</f>
        <v>7.1476242146087712</v>
      </c>
      <c r="W5" s="49">
        <f t="shared" ref="W5:W20" si="5">LOG(P5)</f>
        <v>7.2127201544178421</v>
      </c>
      <c r="X5" s="49">
        <f xml:space="preserve"> STDEV(U5:W5)*Calculation!I5/Calculation!K4</f>
        <v>3.2720905172369578E-2</v>
      </c>
    </row>
    <row r="6" spans="1:24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32">
        <v>1</v>
      </c>
      <c r="F6" s="32">
        <v>13949</v>
      </c>
      <c r="G6" s="32">
        <v>7</v>
      </c>
      <c r="H6" s="44">
        <f>('Flow cytometer'!F6/'Flow cytometer'!G6)*POWER(10,'Flow cytometer'!E6+2)*10.2</f>
        <v>20325685.714285713</v>
      </c>
      <c r="I6" s="32">
        <v>1</v>
      </c>
      <c r="J6" s="32">
        <v>14712</v>
      </c>
      <c r="K6" s="32">
        <v>7</v>
      </c>
      <c r="L6" s="44">
        <f>('Flow cytometer'!J6/'Flow cytometer'!K6)*POWER(10,'Flow cytometer'!I6+2)*10.2</f>
        <v>21437485.714285716</v>
      </c>
      <c r="M6" s="32">
        <v>1</v>
      </c>
      <c r="N6" s="32">
        <v>12323</v>
      </c>
      <c r="O6" s="32">
        <v>7</v>
      </c>
      <c r="P6" s="44">
        <f>('Flow cytometer'!N6/'Flow cytometer'!O6)*POWER(10,'Flow cytometer'!M6+2)*10.2</f>
        <v>17956371.428571425</v>
      </c>
      <c r="Q6" s="47">
        <f>AVERAGE(H6,L6,P6)*Calculation!I6/Calculation!K5</f>
        <v>19906514.285714287</v>
      </c>
      <c r="R6" s="48">
        <f>STDEV(H6,L6,P6)*Calculation!I6/Calculation!K5</f>
        <v>1778009.4719795473</v>
      </c>
      <c r="S6" s="49">
        <f t="shared" si="1"/>
        <v>7.2989952198962831</v>
      </c>
      <c r="T6" s="49">
        <f t="shared" si="2"/>
        <v>16.806557587167976</v>
      </c>
      <c r="U6" s="49">
        <f t="shared" si="3"/>
        <v>7.3080452060204486</v>
      </c>
      <c r="V6" s="49">
        <f t="shared" si="4"/>
        <v>7.3311738479776816</v>
      </c>
      <c r="W6" s="49">
        <f t="shared" si="5"/>
        <v>7.2542185802287591</v>
      </c>
      <c r="X6" s="49">
        <f xml:space="preserve"> STDEV(U6:W6)*Calculation!I6/Calculation!K5</f>
        <v>3.94849189717053E-2</v>
      </c>
    </row>
    <row r="7" spans="1:24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32">
        <v>1</v>
      </c>
      <c r="F7" s="32">
        <v>23071</v>
      </c>
      <c r="G7" s="32">
        <v>7</v>
      </c>
      <c r="H7" s="44">
        <f>('Flow cytometer'!F7/'Flow cytometer'!G7)*POWER(10,'Flow cytometer'!E7+2)*10.2</f>
        <v>33617742.857142851</v>
      </c>
      <c r="I7" s="32">
        <v>1</v>
      </c>
      <c r="J7" s="32">
        <v>21761</v>
      </c>
      <c r="K7" s="32">
        <v>7</v>
      </c>
      <c r="L7" s="44">
        <f>('Flow cytometer'!J7/'Flow cytometer'!K7)*POWER(10,'Flow cytometer'!I7+2)*10.2</f>
        <v>31708885.714285713</v>
      </c>
      <c r="M7" s="32">
        <v>1</v>
      </c>
      <c r="N7" s="32">
        <v>21247</v>
      </c>
      <c r="O7" s="32">
        <v>7</v>
      </c>
      <c r="P7" s="44">
        <f>('Flow cytometer'!N7/'Flow cytometer'!O7)*POWER(10,'Flow cytometer'!M7+2)*10.2</f>
        <v>30959914.28571428</v>
      </c>
      <c r="Q7" s="47">
        <f>AVERAGE(H7,L7,P7)*Calculation!I7/Calculation!K6</f>
        <v>32095514.285714284</v>
      </c>
      <c r="R7" s="48">
        <f>STDEV(H7,L7,P7)*Calculation!I7/Calculation!K6</f>
        <v>1370446.7950121891</v>
      </c>
      <c r="S7" s="49">
        <f t="shared" si="1"/>
        <v>7.5064443390375386</v>
      </c>
      <c r="T7" s="49">
        <f t="shared" si="2"/>
        <v>17.284226836457378</v>
      </c>
      <c r="U7" s="49">
        <f t="shared" si="3"/>
        <v>7.5265685509358384</v>
      </c>
      <c r="V7" s="49">
        <f t="shared" si="4"/>
        <v>7.5011809807013314</v>
      </c>
      <c r="W7" s="49">
        <f t="shared" si="5"/>
        <v>7.4907997496435152</v>
      </c>
      <c r="X7" s="49">
        <f xml:space="preserve"> STDEV(U7:W7)*Calculation!I7/Calculation!K6</f>
        <v>1.8401566176902324E-2</v>
      </c>
    </row>
    <row r="8" spans="1:24">
      <c r="A8" s="63">
        <v>4</v>
      </c>
      <c r="B8" s="64">
        <v>80</v>
      </c>
      <c r="C8" s="64">
        <v>360</v>
      </c>
      <c r="D8" s="13">
        <f t="shared" si="0"/>
        <v>6</v>
      </c>
      <c r="E8" s="32">
        <v>1</v>
      </c>
      <c r="F8" s="32">
        <v>34130</v>
      </c>
      <c r="G8" s="32">
        <v>7</v>
      </c>
      <c r="H8" s="44">
        <f>('Flow cytometer'!F8/'Flow cytometer'!G8)*POWER(10,'Flow cytometer'!E8+2)*10.2</f>
        <v>49732285.714285709</v>
      </c>
      <c r="I8" s="32">
        <v>1</v>
      </c>
      <c r="J8" s="32">
        <v>34586</v>
      </c>
      <c r="K8" s="32">
        <v>7</v>
      </c>
      <c r="L8" s="44">
        <f>('Flow cytometer'!J8/'Flow cytometer'!K8)*POWER(10,'Flow cytometer'!I8+2)*10.2</f>
        <v>50396742.857142851</v>
      </c>
      <c r="M8" s="32">
        <v>1</v>
      </c>
      <c r="N8" s="32">
        <v>36509</v>
      </c>
      <c r="O8" s="32">
        <v>7</v>
      </c>
      <c r="P8" s="44">
        <f>('Flow cytometer'!N8/'Flow cytometer'!O8)*POWER(10,'Flow cytometer'!M8+2)*10.2</f>
        <v>53198828.571428567</v>
      </c>
      <c r="Q8" s="47">
        <f>AVERAGE(H8,L8,P8)*Calculation!I8/Calculation!K7</f>
        <v>51109285.714285709</v>
      </c>
      <c r="R8" s="48">
        <f>STDEV(H8,L8,P8)*Calculation!I8/Calculation!K7</f>
        <v>1839841.7968811945</v>
      </c>
      <c r="S8" s="49">
        <f t="shared" si="1"/>
        <v>7.7084998114480578</v>
      </c>
      <c r="T8" s="49">
        <f t="shared" si="2"/>
        <v>17.749476755187711</v>
      </c>
      <c r="U8" s="49">
        <f t="shared" si="3"/>
        <v>7.6966384200262992</v>
      </c>
      <c r="V8" s="49">
        <f t="shared" si="4"/>
        <v>7.7024024688883799</v>
      </c>
      <c r="W8" s="49">
        <f t="shared" si="5"/>
        <v>7.7259020693144898</v>
      </c>
      <c r="X8" s="49">
        <f xml:space="preserve"> STDEV(U8:W8)*Calculation!I8/Calculation!K7</f>
        <v>1.5501702321215644E-2</v>
      </c>
    </row>
    <row r="9" spans="1:24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32">
        <v>2</v>
      </c>
      <c r="F9" s="32">
        <v>5485</v>
      </c>
      <c r="G9" s="32">
        <v>7</v>
      </c>
      <c r="H9" s="44">
        <f>('Flow cytometer'!F9/'Flow cytometer'!G9)*POWER(10,'Flow cytometer'!E9+2)*10.2</f>
        <v>79924285.714285702</v>
      </c>
      <c r="I9" s="32">
        <v>2</v>
      </c>
      <c r="J9" s="32">
        <v>5118</v>
      </c>
      <c r="K9" s="32">
        <v>7</v>
      </c>
      <c r="L9" s="44">
        <f>('Flow cytometer'!J9/'Flow cytometer'!K9)*POWER(10,'Flow cytometer'!I9+2)*10.2</f>
        <v>74576571.428571418</v>
      </c>
      <c r="M9" s="32">
        <v>2</v>
      </c>
      <c r="N9" s="32">
        <v>4587</v>
      </c>
      <c r="O9" s="32">
        <v>7</v>
      </c>
      <c r="P9" s="44">
        <f>('Flow cytometer'!N9/'Flow cytometer'!O9)*POWER(10,'Flow cytometer'!M9+2)*10.2</f>
        <v>66839142.857142858</v>
      </c>
      <c r="Q9" s="47">
        <f>AVERAGE(H9,L9,P9)*Calculation!I9/Calculation!K8</f>
        <v>73780000</v>
      </c>
      <c r="R9" s="48">
        <f>STDEV(H9,L9,P9)*Calculation!I9/Calculation!K8</f>
        <v>6578839.9759054286</v>
      </c>
      <c r="S9" s="49">
        <f t="shared" si="1"/>
        <v>7.8679386508907845</v>
      </c>
      <c r="T9" s="49">
        <f t="shared" si="2"/>
        <v>18.116598250132803</v>
      </c>
      <c r="U9" s="49">
        <f t="shared" si="3"/>
        <v>7.9026787636583906</v>
      </c>
      <c r="V9" s="49">
        <f t="shared" si="4"/>
        <v>7.8726024132988277</v>
      </c>
      <c r="W9" s="49">
        <f t="shared" si="5"/>
        <v>7.8250308718796431</v>
      </c>
      <c r="X9" s="49">
        <f xml:space="preserve"> STDEV(U9:W9)*Calculation!I9/Calculation!K8</f>
        <v>3.9151061078921107E-2</v>
      </c>
    </row>
    <row r="10" spans="1:24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32">
        <v>2</v>
      </c>
      <c r="F10" s="32">
        <v>9703</v>
      </c>
      <c r="G10" s="32">
        <v>7</v>
      </c>
      <c r="H10" s="44">
        <f>('Flow cytometer'!F10/'Flow cytometer'!G10)*POWER(10,'Flow cytometer'!E10+2)*10.2</f>
        <v>141386571.4285714</v>
      </c>
      <c r="I10" s="32">
        <v>2</v>
      </c>
      <c r="J10" s="32">
        <v>9454</v>
      </c>
      <c r="K10" s="32">
        <v>7</v>
      </c>
      <c r="L10" s="44">
        <f>('Flow cytometer'!J10/'Flow cytometer'!K10)*POWER(10,'Flow cytometer'!I10+2)*10.2</f>
        <v>137758285.71428573</v>
      </c>
      <c r="M10" s="32">
        <v>2</v>
      </c>
      <c r="N10" s="32">
        <v>9338</v>
      </c>
      <c r="O10" s="32">
        <v>7</v>
      </c>
      <c r="P10" s="44">
        <f>('Flow cytometer'!N10/'Flow cytometer'!O10)*POWER(10,'Flow cytometer'!M10+2)*10.2</f>
        <v>136068000</v>
      </c>
      <c r="Q10" s="47">
        <f>AVERAGE(H10,L10,P10)*Calculation!I10/Calculation!K9</f>
        <v>138404285.7142857</v>
      </c>
      <c r="R10" s="48">
        <f>STDEV(H10,L10,P10)*Calculation!I10/Calculation!K9</f>
        <v>2717496.5520132668</v>
      </c>
      <c r="S10" s="49">
        <f t="shared" si="1"/>
        <v>8.1411495383378476</v>
      </c>
      <c r="T10" s="49">
        <f t="shared" si="2"/>
        <v>18.745689566812086</v>
      </c>
      <c r="U10" s="49">
        <f t="shared" si="3"/>
        <v>8.1504081631283825</v>
      </c>
      <c r="V10" s="49">
        <f t="shared" si="4"/>
        <v>8.139117729714556</v>
      </c>
      <c r="W10" s="49">
        <f t="shared" si="5"/>
        <v>8.1337560013424479</v>
      </c>
      <c r="X10" s="49">
        <f xml:space="preserve"> STDEV(U10:W10)*Calculation!I10/Calculation!K9</f>
        <v>8.5001618607457082E-3</v>
      </c>
    </row>
    <row r="11" spans="1:24">
      <c r="A11" s="63">
        <v>7</v>
      </c>
      <c r="B11" s="64">
        <v>80</v>
      </c>
      <c r="C11" s="64">
        <v>600</v>
      </c>
      <c r="D11" s="13">
        <f t="shared" si="0"/>
        <v>10</v>
      </c>
      <c r="E11" s="32">
        <v>2</v>
      </c>
      <c r="F11" s="32">
        <v>17978</v>
      </c>
      <c r="G11" s="32">
        <v>7</v>
      </c>
      <c r="H11" s="44">
        <f>('Flow cytometer'!F11/'Flow cytometer'!G11)*POWER(10,'Flow cytometer'!E11+2)*10.2</f>
        <v>261965142.85714284</v>
      </c>
      <c r="I11" s="32">
        <v>2</v>
      </c>
      <c r="J11" s="32">
        <v>19727</v>
      </c>
      <c r="K11" s="32">
        <v>7</v>
      </c>
      <c r="L11" s="44">
        <f>('Flow cytometer'!J11/'Flow cytometer'!K11)*POWER(10,'Flow cytometer'!I11+2)*10.2</f>
        <v>287450571.42857146</v>
      </c>
      <c r="M11" s="32">
        <v>2</v>
      </c>
      <c r="N11" s="32">
        <v>18864</v>
      </c>
      <c r="O11" s="32">
        <v>7</v>
      </c>
      <c r="P11" s="44">
        <f>('Flow cytometer'!N11/'Flow cytometer'!O11)*POWER(10,'Flow cytometer'!M11+2)*10.2</f>
        <v>274875428.57142854</v>
      </c>
      <c r="Q11" s="47">
        <f>AVERAGE(H11,L11,P11)*Calculation!I11/Calculation!K10</f>
        <v>274763714.28571427</v>
      </c>
      <c r="R11" s="48">
        <f>STDEV(H11,L11,P11)*Calculation!I11/Calculation!K10</f>
        <v>12743081.5515154</v>
      </c>
      <c r="S11" s="49">
        <f t="shared" si="1"/>
        <v>8.4389593785840251</v>
      </c>
      <c r="T11" s="49">
        <f t="shared" si="2"/>
        <v>19.431422065509871</v>
      </c>
      <c r="U11" s="49">
        <f t="shared" si="3"/>
        <v>8.4182435078391968</v>
      </c>
      <c r="V11" s="49">
        <f t="shared" si="4"/>
        <v>8.4585631763252831</v>
      </c>
      <c r="W11" s="49">
        <f t="shared" si="5"/>
        <v>8.4391359194986748</v>
      </c>
      <c r="X11" s="49">
        <f xml:space="preserve"> STDEV(U11:W11)*Calculation!I11/Calculation!K10</f>
        <v>2.0164270544637392E-2</v>
      </c>
    </row>
    <row r="12" spans="1:24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32">
        <v>2</v>
      </c>
      <c r="F12" s="32">
        <v>37261</v>
      </c>
      <c r="G12" s="32">
        <v>7</v>
      </c>
      <c r="H12" s="44">
        <f>('Flow cytometer'!F12/'Flow cytometer'!G12)*POWER(10,'Flow cytometer'!E12+2)*10.2</f>
        <v>542946000</v>
      </c>
      <c r="I12" s="32">
        <v>2</v>
      </c>
      <c r="J12" s="32">
        <v>34851</v>
      </c>
      <c r="K12" s="32">
        <v>7</v>
      </c>
      <c r="L12" s="44">
        <f>('Flow cytometer'!J12/'Flow cytometer'!K12)*POWER(10,'Flow cytometer'!I12+2)*10.2</f>
        <v>507828857.14285702</v>
      </c>
      <c r="M12" s="32">
        <v>2</v>
      </c>
      <c r="N12" s="32">
        <v>38108</v>
      </c>
      <c r="O12" s="32">
        <v>7</v>
      </c>
      <c r="P12" s="44">
        <f>('Flow cytometer'!N12/'Flow cytometer'!O12)*POWER(10,'Flow cytometer'!M12+2)*10.2</f>
        <v>555288000</v>
      </c>
      <c r="Q12" s="47">
        <f>AVERAGE(H12,L12,P12)*Calculation!I12/Calculation!K11</f>
        <v>535829733.57015985</v>
      </c>
      <c r="R12" s="48">
        <f>STDEV(H12,L12,P12)*Calculation!I12/Calculation!K11</f>
        <v>24645396.616938125</v>
      </c>
      <c r="S12" s="49">
        <f t="shared" si="1"/>
        <v>8.7290268092482286</v>
      </c>
      <c r="T12" s="49">
        <f t="shared" si="2"/>
        <v>20.099327007320351</v>
      </c>
      <c r="U12" s="49">
        <f t="shared" si="3"/>
        <v>8.7347566379346731</v>
      </c>
      <c r="V12" s="49">
        <f t="shared" si="4"/>
        <v>8.7057173758244755</v>
      </c>
      <c r="W12" s="49">
        <f t="shared" si="5"/>
        <v>8.7445182882932144</v>
      </c>
      <c r="X12" s="49">
        <f xml:space="preserve"> STDEV(U12:W12)*Calculation!I12/Calculation!K11</f>
        <v>2.0200752745471989E-2</v>
      </c>
    </row>
    <row r="13" spans="1:24">
      <c r="A13" s="63">
        <v>9</v>
      </c>
      <c r="B13" s="64">
        <v>80</v>
      </c>
      <c r="C13" s="64">
        <v>760</v>
      </c>
      <c r="D13" s="13">
        <f>C13/60</f>
        <v>12.666666666666666</v>
      </c>
      <c r="E13" s="32">
        <v>3</v>
      </c>
      <c r="F13" s="32">
        <v>5828</v>
      </c>
      <c r="G13" s="32">
        <v>7</v>
      </c>
      <c r="H13" s="44">
        <f>('Flow cytometer'!F13/'Flow cytometer'!G13)*POWER(10,'Flow cytometer'!E13+2)*10.2</f>
        <v>849222857.14285707</v>
      </c>
      <c r="I13" s="32">
        <v>3</v>
      </c>
      <c r="J13" s="32">
        <v>5702</v>
      </c>
      <c r="K13" s="32">
        <v>7</v>
      </c>
      <c r="L13" s="44">
        <f>('Flow cytometer'!J13/'Flow cytometer'!K13)*POWER(10,'Flow cytometer'!I13+2)*10.2</f>
        <v>830862857.14285707</v>
      </c>
      <c r="M13" s="32">
        <v>3</v>
      </c>
      <c r="N13" s="32">
        <v>5553</v>
      </c>
      <c r="O13" s="32">
        <v>7</v>
      </c>
      <c r="P13" s="44">
        <f>('Flow cytometer'!N13/'Flow cytometer'!O13)*POWER(10,'Flow cytometer'!M13+2)*10.2</f>
        <v>809151428.57142854</v>
      </c>
      <c r="Q13" s="47">
        <f>AVERAGE(H13,L13,P13)*Calculation!I13/Calculation!K12</f>
        <v>831250155.01521742</v>
      </c>
      <c r="R13" s="48">
        <f>STDEV(H13,L13,P13)*Calculation!I13/Calculation!K12</f>
        <v>20095428.902754154</v>
      </c>
      <c r="S13" s="49">
        <f t="shared" si="1"/>
        <v>8.9197317393003299</v>
      </c>
      <c r="T13" s="49">
        <f t="shared" si="2"/>
        <v>20.538441336418792</v>
      </c>
      <c r="U13" s="49">
        <f t="shared" si="3"/>
        <v>8.9290216748456128</v>
      </c>
      <c r="V13" s="49">
        <f t="shared" si="4"/>
        <v>8.9195293447211021</v>
      </c>
      <c r="W13" s="49">
        <f t="shared" si="5"/>
        <v>8.9080298052202274</v>
      </c>
      <c r="X13" s="49">
        <f xml:space="preserve"> STDEV(U13:W13)*Calculation!I13/Calculation!K12</f>
        <v>1.0530976014603005E-2</v>
      </c>
    </row>
    <row r="14" spans="1:24">
      <c r="A14" s="63">
        <v>10</v>
      </c>
      <c r="B14" s="64">
        <v>80</v>
      </c>
      <c r="C14" s="64">
        <v>840</v>
      </c>
      <c r="D14" s="13">
        <f t="shared" si="0"/>
        <v>14</v>
      </c>
      <c r="E14" s="32">
        <v>3</v>
      </c>
      <c r="F14" s="32">
        <v>8881</v>
      </c>
      <c r="G14" s="32">
        <v>7</v>
      </c>
      <c r="H14" s="44">
        <f>('Flow cytometer'!F14/'Flow cytometer'!G14)*POWER(10,'Flow cytometer'!E14+2)*10.2</f>
        <v>1294088571.4285715</v>
      </c>
      <c r="I14" s="32">
        <v>3</v>
      </c>
      <c r="J14" s="32">
        <v>9236</v>
      </c>
      <c r="K14" s="32">
        <v>7</v>
      </c>
      <c r="L14" s="44">
        <f>('Flow cytometer'!J14/'Flow cytometer'!K14)*POWER(10,'Flow cytometer'!I14+2)*10.2</f>
        <v>1345817142.8571427</v>
      </c>
      <c r="M14" s="32">
        <v>3</v>
      </c>
      <c r="N14" s="32">
        <v>7474</v>
      </c>
      <c r="O14" s="32">
        <v>7</v>
      </c>
      <c r="P14" s="44">
        <f>('Flow cytometer'!N14/'Flow cytometer'!O14)*POWER(10,'Flow cytometer'!M14+2)*10.2</f>
        <v>1089068571.4285715</v>
      </c>
      <c r="Q14" s="47">
        <f>AVERAGE(H14,L14,P14)*Calculation!I14/Calculation!K13</f>
        <v>1246447113.5093563</v>
      </c>
      <c r="R14" s="48">
        <f>STDEV(H14,L14,P14)*Calculation!I14/Calculation!K13</f>
        <v>136164640.59081876</v>
      </c>
      <c r="S14" s="49">
        <f t="shared" si="1"/>
        <v>9.0956738562065649</v>
      </c>
      <c r="T14" s="49">
        <f t="shared" si="2"/>
        <v>20.943563032036906</v>
      </c>
      <c r="U14" s="49">
        <f t="shared" si="3"/>
        <v>9.1119640018089445</v>
      </c>
      <c r="V14" s="49">
        <f t="shared" si="4"/>
        <v>9.1289860559927991</v>
      </c>
      <c r="W14" s="49">
        <f t="shared" si="5"/>
        <v>9.0370552252612804</v>
      </c>
      <c r="X14" s="49">
        <f xml:space="preserve"> STDEV(U14:W14)*Calculation!I14/Calculation!K13</f>
        <v>4.9044650883704646E-2</v>
      </c>
    </row>
    <row r="15" spans="1:24">
      <c r="A15" s="63">
        <v>11</v>
      </c>
      <c r="B15" s="64">
        <v>80</v>
      </c>
      <c r="C15" s="64">
        <v>920</v>
      </c>
      <c r="D15" s="13">
        <f t="shared" si="0"/>
        <v>15.333333333333334</v>
      </c>
      <c r="E15" s="32">
        <v>3</v>
      </c>
      <c r="F15" s="32">
        <v>10021</v>
      </c>
      <c r="G15" s="32">
        <v>7</v>
      </c>
      <c r="H15" s="44">
        <f>('Flow cytometer'!F15/'Flow cytometer'!G15)*POWER(10,'Flow cytometer'!E15+2)*10.2</f>
        <v>1460202857.1428571</v>
      </c>
      <c r="I15" s="32">
        <v>3</v>
      </c>
      <c r="J15" s="32">
        <v>10686</v>
      </c>
      <c r="K15" s="32">
        <v>7</v>
      </c>
      <c r="L15" s="44">
        <f>('Flow cytometer'!J15/'Flow cytometer'!K15)*POWER(10,'Flow cytometer'!I15+2)*10.2</f>
        <v>1557102857.1428571</v>
      </c>
      <c r="M15" s="32">
        <v>3</v>
      </c>
      <c r="N15" s="32">
        <v>10454</v>
      </c>
      <c r="O15" s="32">
        <v>7</v>
      </c>
      <c r="P15" s="44">
        <f>('Flow cytometer'!N15/'Flow cytometer'!O15)*POWER(10,'Flow cytometer'!M15+2)*10.2</f>
        <v>1523297142.8571427</v>
      </c>
      <c r="Q15" s="47">
        <f>AVERAGE(H15,L15,P15)*Calculation!I15/Calculation!K14</f>
        <v>1519273642.3770533</v>
      </c>
      <c r="R15" s="48">
        <f>STDEV(H15,L15,P15)*Calculation!I15/Calculation!K14</f>
        <v>49368687.148404203</v>
      </c>
      <c r="S15" s="49">
        <f t="shared" si="1"/>
        <v>9.1816360034027671</v>
      </c>
      <c r="T15" s="49">
        <f t="shared" si="2"/>
        <v>21.141498190732641</v>
      </c>
      <c r="U15" s="49">
        <f t="shared" si="3"/>
        <v>9.1644131938788842</v>
      </c>
      <c r="V15" s="49">
        <f t="shared" si="4"/>
        <v>9.1923173015945476</v>
      </c>
      <c r="W15" s="49">
        <f t="shared" si="5"/>
        <v>9.1827846275093918</v>
      </c>
      <c r="X15" s="49">
        <f xml:space="preserve"> STDEV(U15:W15)*Calculation!I15/Calculation!K14</f>
        <v>1.4237228970884933E-2</v>
      </c>
    </row>
    <row r="16" spans="1:24">
      <c r="A16" s="63">
        <v>12</v>
      </c>
      <c r="B16" s="64">
        <v>80</v>
      </c>
      <c r="C16" s="64">
        <v>1000</v>
      </c>
      <c r="D16" s="13">
        <f t="shared" si="0"/>
        <v>16.666666666666668</v>
      </c>
      <c r="E16" s="32">
        <v>3</v>
      </c>
      <c r="F16" s="32">
        <v>10026</v>
      </c>
      <c r="G16" s="32">
        <v>7</v>
      </c>
      <c r="H16" s="44">
        <f>('Flow cytometer'!F16/'Flow cytometer'!G16)*POWER(10,'Flow cytometer'!E16+2)*10.2</f>
        <v>1460931428.5714285</v>
      </c>
      <c r="I16" s="32">
        <v>3</v>
      </c>
      <c r="J16" s="32">
        <v>11163</v>
      </c>
      <c r="K16" s="32">
        <v>7</v>
      </c>
      <c r="L16" s="44">
        <f>('Flow cytometer'!J16/'Flow cytometer'!K16)*POWER(10,'Flow cytometer'!I16+2)*10.2</f>
        <v>1626608571.4285712</v>
      </c>
      <c r="M16" s="32">
        <v>3</v>
      </c>
      <c r="N16" s="32">
        <v>10910</v>
      </c>
      <c r="O16" s="32">
        <v>7</v>
      </c>
      <c r="P16" s="44">
        <f>('Flow cytometer'!N16/'Flow cytometer'!O16)*POWER(10,'Flow cytometer'!M16+2)*10.2</f>
        <v>1589742857.1428571</v>
      </c>
      <c r="Q16" s="47">
        <f>AVERAGE(H16,L16,P16)*Calculation!I16/Calculation!K15</f>
        <v>1566666010.7650816</v>
      </c>
      <c r="R16" s="48">
        <f>STDEV(H16,L16,P16)*Calculation!I16/Calculation!K15</f>
        <v>87409404.930164218</v>
      </c>
      <c r="S16" s="49">
        <f t="shared" si="1"/>
        <v>9.1949764213940348</v>
      </c>
      <c r="T16" s="49">
        <f t="shared" si="2"/>
        <v>21.17221563833364</v>
      </c>
      <c r="U16" s="49">
        <f t="shared" si="3"/>
        <v>9.1646298320246959</v>
      </c>
      <c r="V16" s="49">
        <f t="shared" si="4"/>
        <v>9.2112830564888579</v>
      </c>
      <c r="W16" s="49">
        <f t="shared" si="5"/>
        <v>9.2013268823360033</v>
      </c>
      <c r="X16" s="49">
        <f xml:space="preserve"> STDEV(U16:W16)*Calculation!I16/Calculation!K15</f>
        <v>2.4690049387670911E-2</v>
      </c>
    </row>
    <row r="17" spans="1:24">
      <c r="A17" s="63">
        <v>13</v>
      </c>
      <c r="B17" s="64">
        <v>80</v>
      </c>
      <c r="C17" s="64">
        <v>1080</v>
      </c>
      <c r="D17" s="13">
        <f t="shared" si="0"/>
        <v>18</v>
      </c>
      <c r="E17" s="32">
        <v>3</v>
      </c>
      <c r="F17" s="32">
        <v>10687</v>
      </c>
      <c r="G17" s="32">
        <v>7</v>
      </c>
      <c r="H17" s="44">
        <f>('Flow cytometer'!F17/'Flow cytometer'!G17)*POWER(10,'Flow cytometer'!E17+2)*10.2</f>
        <v>1557248571.4285712</v>
      </c>
      <c r="I17" s="32">
        <v>3</v>
      </c>
      <c r="J17" s="32">
        <v>11266</v>
      </c>
      <c r="K17" s="32">
        <v>7</v>
      </c>
      <c r="L17" s="44">
        <f>('Flow cytometer'!J17/'Flow cytometer'!K17)*POWER(10,'Flow cytometer'!I17+2)*10.2</f>
        <v>1641617142.8571427</v>
      </c>
      <c r="M17" s="32">
        <v>3</v>
      </c>
      <c r="N17" s="32">
        <v>11555</v>
      </c>
      <c r="O17" s="32">
        <v>7</v>
      </c>
      <c r="P17" s="44">
        <f>('Flow cytometer'!N17/'Flow cytometer'!O17)*POWER(10,'Flow cytometer'!M17+2)*10.2</f>
        <v>1683728571.4285712</v>
      </c>
      <c r="Q17" s="47">
        <f>AVERAGE(H17,L17,P17)*Calculation!I17/Calculation!K16</f>
        <v>1635435517.8889172</v>
      </c>
      <c r="R17" s="48">
        <f>STDEV(H17,L17,P17)*Calculation!I17/Calculation!K16</f>
        <v>64718555.173692673</v>
      </c>
      <c r="S17" s="49">
        <f t="shared" si="1"/>
        <v>9.2136334253933789</v>
      </c>
      <c r="T17" s="49">
        <f t="shared" si="2"/>
        <v>21.215174977622461</v>
      </c>
      <c r="U17" s="49">
        <f t="shared" si="3"/>
        <v>9.1923579411381056</v>
      </c>
      <c r="V17" s="49">
        <f t="shared" si="4"/>
        <v>9.2152718786469929</v>
      </c>
      <c r="W17" s="49">
        <f t="shared" si="5"/>
        <v>9.2262720815627883</v>
      </c>
      <c r="X17" s="49">
        <f xml:space="preserve"> STDEV(U17:W17)*Calculation!I17/Calculation!K16</f>
        <v>1.7386349759136641E-2</v>
      </c>
    </row>
    <row r="18" spans="1:24">
      <c r="A18" s="63">
        <v>14</v>
      </c>
      <c r="B18" s="64">
        <v>360</v>
      </c>
      <c r="C18" s="64">
        <v>1440</v>
      </c>
      <c r="D18" s="13">
        <f t="shared" si="0"/>
        <v>24</v>
      </c>
      <c r="E18" s="32">
        <v>3</v>
      </c>
      <c r="F18" s="32">
        <v>11275</v>
      </c>
      <c r="G18" s="32">
        <v>7</v>
      </c>
      <c r="H18" s="44">
        <f>('Flow cytometer'!F18/'Flow cytometer'!G18)*POWER(10,'Flow cytometer'!E18+2)*10.2</f>
        <v>1642928571.4285712</v>
      </c>
      <c r="I18" s="32">
        <v>3</v>
      </c>
      <c r="J18" s="32">
        <v>11217</v>
      </c>
      <c r="K18" s="32">
        <v>7</v>
      </c>
      <c r="L18" s="44">
        <f>('Flow cytometer'!J18/'Flow cytometer'!K18)*POWER(10,'Flow cytometer'!I18+2)*10.2</f>
        <v>1634477142.8571427</v>
      </c>
      <c r="M18" s="32">
        <v>3</v>
      </c>
      <c r="N18" s="32">
        <v>11037</v>
      </c>
      <c r="O18" s="32">
        <v>7</v>
      </c>
      <c r="P18" s="44">
        <f>('Flow cytometer'!N18/'Flow cytometer'!O18)*POWER(10,'Flow cytometer'!M18+2)*10.2</f>
        <v>1608248571.4285712</v>
      </c>
      <c r="Q18" s="47">
        <f>AVERAGE(H18,L18,P18)*Calculation!I18/Calculation!K17</f>
        <v>1636460471.5082221</v>
      </c>
      <c r="R18" s="48">
        <f>STDEV(H18,L18,P18)*Calculation!I18/Calculation!K17</f>
        <v>18171272.181012083</v>
      </c>
      <c r="S18" s="49">
        <f t="shared" si="1"/>
        <v>9.2139055194434807</v>
      </c>
      <c r="T18" s="49">
        <f t="shared" si="2"/>
        <v>21.215801497326115</v>
      </c>
      <c r="U18" s="49">
        <f t="shared" si="3"/>
        <v>9.2156186822976593</v>
      </c>
      <c r="V18" s="49">
        <f t="shared" si="4"/>
        <v>9.2133788516215436</v>
      </c>
      <c r="W18" s="49">
        <f t="shared" si="5"/>
        <v>9.2063531742984495</v>
      </c>
      <c r="X18" s="49">
        <f xml:space="preserve"> STDEV(U18:W18)*Calculation!I18/Calculation!K17</f>
        <v>4.8578449841423163E-3</v>
      </c>
    </row>
    <row r="19" spans="1:24">
      <c r="A19" s="63">
        <v>15</v>
      </c>
      <c r="B19" s="32">
        <v>360</v>
      </c>
      <c r="C19" s="64">
        <v>1815</v>
      </c>
      <c r="D19" s="13">
        <f>C19/60</f>
        <v>30.25</v>
      </c>
      <c r="E19" s="32">
        <v>3</v>
      </c>
      <c r="F19" s="32">
        <v>12003</v>
      </c>
      <c r="G19" s="32">
        <v>7</v>
      </c>
      <c r="H19" s="44">
        <f>('Flow cytometer'!F19/'Flow cytometer'!G19)*POWER(10,'Flow cytometer'!E19+2)*10.2</f>
        <v>1749008571.4285712</v>
      </c>
      <c r="I19" s="32">
        <v>3</v>
      </c>
      <c r="J19" s="32">
        <v>13385</v>
      </c>
      <c r="K19" s="32">
        <v>7</v>
      </c>
      <c r="L19" s="44">
        <f>('Flow cytometer'!J19/'Flow cytometer'!K19)*POWER(10,'Flow cytometer'!I19+2)*10.2</f>
        <v>1950385714.2857139</v>
      </c>
      <c r="M19" s="32">
        <v>3</v>
      </c>
      <c r="N19" s="32">
        <v>13623</v>
      </c>
      <c r="O19" s="32">
        <v>7</v>
      </c>
      <c r="P19" s="44">
        <f>('Flow cytometer'!N19/'Flow cytometer'!O19)*POWER(10,'Flow cytometer'!M19+2)*10.2</f>
        <v>1985065714.2857139</v>
      </c>
      <c r="Q19" s="47">
        <f>AVERAGE(H19,L19,P19)*Calculation!I19/Calculation!K18</f>
        <v>1939992365.6558621</v>
      </c>
      <c r="R19" s="48">
        <f>STDEV(H19,L19,P19)*Calculation!I19/Calculation!K18</f>
        <v>130500056.63847493</v>
      </c>
      <c r="S19" s="49">
        <f t="shared" si="1"/>
        <v>9.2878000208786506</v>
      </c>
      <c r="T19" s="49">
        <f t="shared" si="2"/>
        <v>21.385949874784966</v>
      </c>
      <c r="U19" s="49">
        <f t="shared" si="3"/>
        <v>9.2427919378463201</v>
      </c>
      <c r="V19" s="49">
        <f t="shared" si="4"/>
        <v>9.2901205072706112</v>
      </c>
      <c r="W19" s="49">
        <f t="shared" si="5"/>
        <v>9.2977748883682896</v>
      </c>
      <c r="X19" s="49">
        <f xml:space="preserve"> STDEV(U19:W19)*Calculation!I19/Calculation!K18</f>
        <v>3.0491721990511141E-2</v>
      </c>
    </row>
    <row r="20" spans="1:24">
      <c r="A20" s="63">
        <v>16</v>
      </c>
      <c r="B20" s="32">
        <v>1080</v>
      </c>
      <c r="C20" s="64">
        <v>2880</v>
      </c>
      <c r="D20" s="13">
        <f t="shared" ref="D20" si="6">C20/60</f>
        <v>48</v>
      </c>
      <c r="E20" s="32">
        <v>3</v>
      </c>
      <c r="F20" s="32">
        <v>13730</v>
      </c>
      <c r="G20" s="32">
        <v>7</v>
      </c>
      <c r="H20" s="44">
        <f>('Flow cytometer'!F20/'Flow cytometer'!G20)*POWER(10,'Flow cytometer'!E20+2)*10.2</f>
        <v>2000657142.8571427</v>
      </c>
      <c r="I20" s="32">
        <v>3</v>
      </c>
      <c r="J20" s="32">
        <v>14150</v>
      </c>
      <c r="K20" s="32">
        <v>7</v>
      </c>
      <c r="L20" s="44">
        <f>('Flow cytometer'!J20/'Flow cytometer'!K20)*POWER(10,'Flow cytometer'!I20+2)*10.2</f>
        <v>2061857142.8571427</v>
      </c>
      <c r="M20" s="32">
        <v>3</v>
      </c>
      <c r="N20" s="32">
        <v>13757</v>
      </c>
      <c r="O20" s="32">
        <v>7</v>
      </c>
      <c r="P20" s="44">
        <f>('Flow cytometer'!N20/'Flow cytometer'!O20)*POWER(10,'Flow cytometer'!M20+2)*10.2</f>
        <v>2004591428.5714285</v>
      </c>
      <c r="Q20" s="47">
        <f>AVERAGE(H20,L20,P20)*Calculation!I20/Calculation!K19</f>
        <v>2081684000.0586162</v>
      </c>
      <c r="R20" s="48">
        <f>STDEV(H20,L20,P20)*Calculation!I20/Calculation!K19</f>
        <v>35259313.886954129</v>
      </c>
      <c r="S20" s="49">
        <f t="shared" ref="S20" si="7">LOG(Q20)</f>
        <v>9.3184148042107324</v>
      </c>
      <c r="T20" s="49">
        <f t="shared" ref="T20" si="8">LN(Q20)</f>
        <v>21.456443018510662</v>
      </c>
      <c r="U20" s="49">
        <f t="shared" si="3"/>
        <v>9.3011726689844156</v>
      </c>
      <c r="V20" s="49">
        <f t="shared" si="4"/>
        <v>9.3142585716079704</v>
      </c>
      <c r="W20" s="49">
        <f t="shared" si="5"/>
        <v>9.3020258690268189</v>
      </c>
      <c r="X20" s="49">
        <f xml:space="preserve"> STDEV(U20:W20)*Calculation!I20/Calculation!K19</f>
        <v>7.5360221282033931E-3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B27" workbookViewId="0">
      <selection activeCell="H26" sqref="H26"/>
    </sheetView>
  </sheetViews>
  <sheetFormatPr baseColWidth="10" defaultRowHeight="14" x14ac:dyDescent="0"/>
  <cols>
    <col min="7" max="7" width="11" bestFit="1" customWidth="1"/>
  </cols>
  <sheetData>
    <row r="1" spans="1:22">
      <c r="A1" s="89"/>
      <c r="B1" s="147" t="s">
        <v>4</v>
      </c>
      <c r="C1" s="149" t="s">
        <v>186</v>
      </c>
      <c r="D1" s="150" t="s">
        <v>18</v>
      </c>
      <c r="E1" s="150"/>
      <c r="F1" s="150"/>
      <c r="G1" s="150"/>
      <c r="H1" s="150" t="s">
        <v>20</v>
      </c>
      <c r="I1" s="150"/>
      <c r="J1" s="150"/>
      <c r="K1" s="150"/>
      <c r="L1" s="150" t="s">
        <v>21</v>
      </c>
      <c r="M1" s="150"/>
      <c r="N1" s="150"/>
      <c r="O1" s="150"/>
      <c r="P1" s="121" t="s">
        <v>22</v>
      </c>
      <c r="Q1" s="121" t="s">
        <v>22</v>
      </c>
      <c r="R1" s="121" t="s">
        <v>22</v>
      </c>
      <c r="S1" s="142" t="s">
        <v>237</v>
      </c>
      <c r="T1" s="89"/>
      <c r="U1" s="89"/>
      <c r="V1" s="89"/>
    </row>
    <row r="2" spans="1:22">
      <c r="A2" s="89"/>
      <c r="B2" s="148"/>
      <c r="C2" s="148"/>
      <c r="D2" s="123" t="s">
        <v>19</v>
      </c>
      <c r="E2" s="123" t="s">
        <v>68</v>
      </c>
      <c r="F2" s="123" t="s">
        <v>69</v>
      </c>
      <c r="G2" s="123" t="s">
        <v>70</v>
      </c>
      <c r="H2" s="123" t="s">
        <v>19</v>
      </c>
      <c r="I2" s="123" t="s">
        <v>68</v>
      </c>
      <c r="J2" s="123" t="s">
        <v>69</v>
      </c>
      <c r="K2" s="123" t="s">
        <v>70</v>
      </c>
      <c r="L2" s="123" t="s">
        <v>19</v>
      </c>
      <c r="M2" s="123" t="s">
        <v>68</v>
      </c>
      <c r="N2" s="123" t="s">
        <v>69</v>
      </c>
      <c r="O2" s="123" t="s">
        <v>71</v>
      </c>
      <c r="P2" s="122" t="s">
        <v>70</v>
      </c>
      <c r="Q2" s="122" t="s">
        <v>23</v>
      </c>
      <c r="R2" s="122" t="s">
        <v>72</v>
      </c>
      <c r="S2" s="143"/>
      <c r="T2" s="89"/>
      <c r="U2" s="89"/>
      <c r="V2" s="89"/>
    </row>
    <row r="3" spans="1:22">
      <c r="A3" s="89"/>
      <c r="B3" s="90"/>
      <c r="C3" s="90"/>
      <c r="D3" s="91"/>
      <c r="E3" s="91"/>
      <c r="F3" s="91"/>
      <c r="G3" s="92"/>
      <c r="H3" s="91"/>
      <c r="I3" s="91"/>
      <c r="J3" s="91"/>
      <c r="K3" s="92"/>
      <c r="L3" s="91"/>
      <c r="M3" s="91"/>
      <c r="N3" s="91"/>
      <c r="O3" s="92"/>
      <c r="P3" s="144"/>
      <c r="Q3" s="145"/>
      <c r="R3" s="146"/>
      <c r="S3" s="89"/>
      <c r="T3" s="89"/>
      <c r="U3" s="89"/>
      <c r="V3" s="89"/>
    </row>
    <row r="4" spans="1:22">
      <c r="A4" s="89"/>
      <c r="B4" s="93" t="s">
        <v>187</v>
      </c>
      <c r="C4" s="94">
        <v>500</v>
      </c>
      <c r="D4" s="94">
        <v>2</v>
      </c>
      <c r="E4" s="94">
        <v>11777</v>
      </c>
      <c r="F4" s="94">
        <v>6</v>
      </c>
      <c r="G4" s="92">
        <f>(E4/F4)*(10.2)*POWER(10,D4+2)</f>
        <v>200208999.99999997</v>
      </c>
      <c r="H4" s="94">
        <v>2</v>
      </c>
      <c r="I4" s="94">
        <v>12350</v>
      </c>
      <c r="J4" s="94">
        <v>6</v>
      </c>
      <c r="K4" s="92">
        <f>(I4/J4)*(10.2)*POWER(10,H4+2)</f>
        <v>209950000</v>
      </c>
      <c r="L4" s="94">
        <v>2</v>
      </c>
      <c r="M4" s="94">
        <v>12193</v>
      </c>
      <c r="N4" s="94">
        <v>6</v>
      </c>
      <c r="O4" s="92">
        <f t="shared" ref="O4:O19" si="0">(M4/N4)*(10.2)*POWER(10,L4+2)</f>
        <v>207281000</v>
      </c>
      <c r="P4" s="95">
        <f t="shared" ref="P4:P19" si="1">AVERAGE(O4,K4,G4)</f>
        <v>205813333.33333334</v>
      </c>
      <c r="Q4" s="95">
        <f t="shared" ref="Q4:Q19" si="2">STDEV(O4,K4,G4)</f>
        <v>5033617.4202389978</v>
      </c>
      <c r="R4" s="96">
        <f>LOG(P4)</f>
        <v>8.313473506507659</v>
      </c>
      <c r="S4" s="103"/>
      <c r="T4" s="89"/>
      <c r="U4" s="89"/>
      <c r="V4" s="89"/>
    </row>
    <row r="5" spans="1:22">
      <c r="A5" s="89"/>
      <c r="B5" s="93" t="s">
        <v>188</v>
      </c>
      <c r="C5" s="94">
        <v>500</v>
      </c>
      <c r="D5" s="94">
        <v>1</v>
      </c>
      <c r="E5" s="94">
        <v>10368</v>
      </c>
      <c r="F5" s="94">
        <v>6</v>
      </c>
      <c r="G5" s="92">
        <f t="shared" ref="G5:G19" si="3">(E5/F5)*(10.2)*POWER(10,D5+2)</f>
        <v>17625600</v>
      </c>
      <c r="H5" s="94">
        <v>1</v>
      </c>
      <c r="I5" s="94">
        <v>11649</v>
      </c>
      <c r="J5" s="94">
        <v>6</v>
      </c>
      <c r="K5" s="92">
        <f t="shared" ref="K5:K19" si="4">(I5/J5)*(10.2)*POWER(10,H5+2)</f>
        <v>19803300</v>
      </c>
      <c r="L5" s="94">
        <v>1</v>
      </c>
      <c r="M5" s="94">
        <v>11377</v>
      </c>
      <c r="N5" s="94">
        <v>6</v>
      </c>
      <c r="O5" s="92">
        <f t="shared" si="0"/>
        <v>19340899.999999996</v>
      </c>
      <c r="P5" s="95">
        <f t="shared" si="1"/>
        <v>18923266.666666668</v>
      </c>
      <c r="Q5" s="95">
        <f t="shared" si="2"/>
        <v>1147348.0393208207</v>
      </c>
      <c r="R5" s="96">
        <f t="shared" ref="R5:R19" si="5">LOG(P5)</f>
        <v>7.2769961094890272</v>
      </c>
      <c r="S5" s="89"/>
      <c r="T5" s="89"/>
      <c r="U5" s="89"/>
      <c r="V5" s="89"/>
    </row>
    <row r="6" spans="1:22">
      <c r="A6" s="89"/>
      <c r="B6" s="93" t="s">
        <v>189</v>
      </c>
      <c r="C6" s="94">
        <v>500</v>
      </c>
      <c r="D6" s="94">
        <v>1</v>
      </c>
      <c r="E6" s="94">
        <v>1368</v>
      </c>
      <c r="F6" s="94">
        <v>6</v>
      </c>
      <c r="G6" s="92">
        <f t="shared" si="3"/>
        <v>2325600</v>
      </c>
      <c r="H6" s="94">
        <v>1</v>
      </c>
      <c r="I6" s="94">
        <v>1169</v>
      </c>
      <c r="J6" s="94">
        <v>6</v>
      </c>
      <c r="K6" s="92">
        <f t="shared" si="4"/>
        <v>1987300</v>
      </c>
      <c r="L6" s="94">
        <v>1</v>
      </c>
      <c r="M6" s="94">
        <v>1324</v>
      </c>
      <c r="N6" s="94">
        <v>6</v>
      </c>
      <c r="O6" s="92">
        <f t="shared" si="0"/>
        <v>2250799.9999999995</v>
      </c>
      <c r="P6" s="95">
        <f t="shared" si="1"/>
        <v>2187900</v>
      </c>
      <c r="Q6" s="95">
        <f t="shared" si="2"/>
        <v>177704.89582451005</v>
      </c>
      <c r="R6" s="96">
        <f t="shared" si="5"/>
        <v>6.3400274682826607</v>
      </c>
      <c r="S6" s="89"/>
      <c r="T6" s="89"/>
      <c r="U6" s="89"/>
      <c r="V6" s="89"/>
    </row>
    <row r="7" spans="1:22">
      <c r="A7" s="89"/>
      <c r="B7" s="93" t="s">
        <v>190</v>
      </c>
      <c r="C7" s="94">
        <v>500</v>
      </c>
      <c r="D7" s="94">
        <v>1</v>
      </c>
      <c r="E7" s="94">
        <v>1657</v>
      </c>
      <c r="F7" s="94">
        <v>67</v>
      </c>
      <c r="G7" s="92">
        <f>(E7/F7)*(10.2)*POWER(10,D7+2)</f>
        <v>252259.70149253728</v>
      </c>
      <c r="H7" s="94">
        <v>1</v>
      </c>
      <c r="I7" s="94">
        <v>1712</v>
      </c>
      <c r="J7" s="94">
        <v>67</v>
      </c>
      <c r="K7" s="92">
        <f t="shared" si="4"/>
        <v>260632.83582089547</v>
      </c>
      <c r="L7" s="94">
        <v>1</v>
      </c>
      <c r="M7" s="94">
        <v>1701</v>
      </c>
      <c r="N7" s="94">
        <v>67</v>
      </c>
      <c r="O7" s="92">
        <f t="shared" si="0"/>
        <v>258958.20895522388</v>
      </c>
      <c r="P7" s="95">
        <f t="shared" si="1"/>
        <v>257283.58208955219</v>
      </c>
      <c r="Q7" s="95">
        <f t="shared" si="2"/>
        <v>4430.6462253947329</v>
      </c>
      <c r="R7" s="96">
        <f t="shared" si="5"/>
        <v>5.410412073674765</v>
      </c>
      <c r="S7" s="103"/>
      <c r="T7" s="89"/>
      <c r="U7" s="89"/>
      <c r="V7" s="89"/>
    </row>
    <row r="8" spans="1:22">
      <c r="A8" s="89"/>
      <c r="B8" s="93" t="s">
        <v>191</v>
      </c>
      <c r="C8" s="94">
        <v>500</v>
      </c>
      <c r="D8" s="94">
        <v>1</v>
      </c>
      <c r="E8" s="94">
        <v>1582</v>
      </c>
      <c r="F8" s="94">
        <v>334</v>
      </c>
      <c r="G8" s="92">
        <f t="shared" si="3"/>
        <v>48312.574850299396</v>
      </c>
      <c r="H8" s="94">
        <v>1</v>
      </c>
      <c r="I8" s="94">
        <v>1222</v>
      </c>
      <c r="J8" s="94">
        <v>334</v>
      </c>
      <c r="K8" s="92">
        <f t="shared" si="4"/>
        <v>37318.562874251496</v>
      </c>
      <c r="L8" s="94">
        <v>1</v>
      </c>
      <c r="M8" s="94">
        <v>1331</v>
      </c>
      <c r="N8" s="94">
        <v>334</v>
      </c>
      <c r="O8" s="92">
        <f t="shared" si="0"/>
        <v>40647.305389221554</v>
      </c>
      <c r="P8" s="95">
        <f t="shared" si="1"/>
        <v>42092.814371257482</v>
      </c>
      <c r="Q8" s="95">
        <f t="shared" si="2"/>
        <v>5637.7475107733544</v>
      </c>
      <c r="R8" s="96">
        <f t="shared" si="5"/>
        <v>4.6242079641192557</v>
      </c>
      <c r="S8" s="103"/>
      <c r="T8" s="89"/>
      <c r="U8" s="89"/>
      <c r="V8" s="89"/>
    </row>
    <row r="9" spans="1:22">
      <c r="A9" s="89"/>
      <c r="B9" s="93" t="s">
        <v>192</v>
      </c>
      <c r="C9" s="94">
        <v>900</v>
      </c>
      <c r="D9" s="94">
        <v>2</v>
      </c>
      <c r="E9" s="94">
        <v>14797</v>
      </c>
      <c r="F9" s="94">
        <v>6</v>
      </c>
      <c r="G9" s="92">
        <f t="shared" si="3"/>
        <v>251548999.99999997</v>
      </c>
      <c r="H9" s="94">
        <v>2</v>
      </c>
      <c r="I9" s="94">
        <v>12831</v>
      </c>
      <c r="J9" s="94">
        <v>6</v>
      </c>
      <c r="K9" s="92">
        <f t="shared" si="4"/>
        <v>218126999.99999997</v>
      </c>
      <c r="L9" s="94">
        <v>2</v>
      </c>
      <c r="M9" s="94">
        <v>13557</v>
      </c>
      <c r="N9" s="94">
        <v>6</v>
      </c>
      <c r="O9" s="92">
        <f t="shared" si="0"/>
        <v>230468999.99999997</v>
      </c>
      <c r="P9" s="95">
        <f t="shared" si="1"/>
        <v>233381666.66666663</v>
      </c>
      <c r="Q9" s="95">
        <f t="shared" si="2"/>
        <v>16900302.995311458</v>
      </c>
      <c r="R9" s="96">
        <f t="shared" si="5"/>
        <v>8.3680667369783137</v>
      </c>
      <c r="S9" s="89"/>
      <c r="T9" s="89"/>
      <c r="U9" s="89"/>
      <c r="V9" s="89"/>
    </row>
    <row r="10" spans="1:22">
      <c r="A10" s="89"/>
      <c r="B10" s="93" t="s">
        <v>193</v>
      </c>
      <c r="C10" s="94">
        <v>900</v>
      </c>
      <c r="D10" s="94">
        <v>2</v>
      </c>
      <c r="E10" s="94">
        <v>6167</v>
      </c>
      <c r="F10" s="94">
        <v>6</v>
      </c>
      <c r="G10" s="92">
        <f t="shared" si="3"/>
        <v>104838999.99999999</v>
      </c>
      <c r="H10" s="94">
        <v>2</v>
      </c>
      <c r="I10" s="94">
        <v>6132</v>
      </c>
      <c r="J10" s="94">
        <v>6</v>
      </c>
      <c r="K10" s="92">
        <f t="shared" si="4"/>
        <v>104244000</v>
      </c>
      <c r="L10" s="94">
        <v>2</v>
      </c>
      <c r="M10" s="94">
        <v>5412</v>
      </c>
      <c r="N10" s="94">
        <v>6</v>
      </c>
      <c r="O10" s="92">
        <f t="shared" si="0"/>
        <v>92004000</v>
      </c>
      <c r="P10" s="95">
        <f t="shared" si="1"/>
        <v>100362333.33333333</v>
      </c>
      <c r="Q10" s="95">
        <f t="shared" si="2"/>
        <v>7244639.9726510411</v>
      </c>
      <c r="R10" s="96">
        <f t="shared" si="5"/>
        <v>8.0015707497132311</v>
      </c>
      <c r="S10" s="89"/>
      <c r="T10" s="89"/>
      <c r="U10" s="89"/>
      <c r="V10" s="89"/>
    </row>
    <row r="11" spans="1:22">
      <c r="A11" s="89"/>
      <c r="B11" s="93" t="s">
        <v>194</v>
      </c>
      <c r="C11" s="94">
        <v>900</v>
      </c>
      <c r="D11" s="94">
        <v>2</v>
      </c>
      <c r="E11" s="94">
        <v>2783</v>
      </c>
      <c r="F11" s="94">
        <v>6</v>
      </c>
      <c r="G11" s="92">
        <f t="shared" si="3"/>
        <v>47310999.999999993</v>
      </c>
      <c r="H11" s="94">
        <v>2</v>
      </c>
      <c r="I11" s="94">
        <v>2791</v>
      </c>
      <c r="J11" s="94">
        <v>6</v>
      </c>
      <c r="K11" s="92">
        <f t="shared" si="4"/>
        <v>47447000</v>
      </c>
      <c r="L11" s="94">
        <v>2</v>
      </c>
      <c r="M11" s="94">
        <v>2844</v>
      </c>
      <c r="N11" s="94">
        <v>6</v>
      </c>
      <c r="O11" s="92">
        <f t="shared" si="0"/>
        <v>48347999.999999993</v>
      </c>
      <c r="P11" s="95">
        <f t="shared" si="1"/>
        <v>47702000</v>
      </c>
      <c r="Q11" s="95">
        <f t="shared" si="2"/>
        <v>563569.87144452473</v>
      </c>
      <c r="R11" s="96">
        <f t="shared" si="5"/>
        <v>7.6785365880706147</v>
      </c>
      <c r="S11" s="89"/>
      <c r="T11" s="89"/>
      <c r="U11" s="89"/>
      <c r="V11" s="89"/>
    </row>
    <row r="12" spans="1:22">
      <c r="A12" s="89"/>
      <c r="B12" s="93" t="s">
        <v>195</v>
      </c>
      <c r="C12" s="94">
        <v>900</v>
      </c>
      <c r="D12" s="94">
        <v>1</v>
      </c>
      <c r="E12" s="94">
        <v>14347</v>
      </c>
      <c r="F12" s="94">
        <v>6</v>
      </c>
      <c r="G12" s="92">
        <f t="shared" si="3"/>
        <v>24389899.999999996</v>
      </c>
      <c r="H12" s="94">
        <v>1</v>
      </c>
      <c r="I12" s="94">
        <v>13548</v>
      </c>
      <c r="J12" s="94">
        <v>6</v>
      </c>
      <c r="K12" s="92">
        <f t="shared" si="4"/>
        <v>23031600</v>
      </c>
      <c r="L12" s="94">
        <v>1</v>
      </c>
      <c r="M12" s="94">
        <v>14200</v>
      </c>
      <c r="N12" s="94">
        <v>6</v>
      </c>
      <c r="O12" s="92">
        <f t="shared" si="0"/>
        <v>24139999.999999996</v>
      </c>
      <c r="P12" s="95">
        <f t="shared" si="1"/>
        <v>23853833.333333332</v>
      </c>
      <c r="Q12" s="95">
        <f t="shared" si="2"/>
        <v>722954.52369656716</v>
      </c>
      <c r="R12" s="96">
        <f t="shared" si="5"/>
        <v>7.3775581805140655</v>
      </c>
      <c r="S12" s="89"/>
      <c r="T12" s="89"/>
      <c r="U12" s="89"/>
      <c r="V12" s="89"/>
    </row>
    <row r="13" spans="1:22">
      <c r="A13" s="89"/>
      <c r="B13" s="93" t="s">
        <v>196</v>
      </c>
      <c r="C13" s="94">
        <v>900</v>
      </c>
      <c r="D13" s="94">
        <v>1</v>
      </c>
      <c r="E13" s="94">
        <v>5210</v>
      </c>
      <c r="F13" s="94">
        <v>6</v>
      </c>
      <c r="G13" s="92">
        <f t="shared" si="3"/>
        <v>8857000</v>
      </c>
      <c r="H13" s="94">
        <v>1</v>
      </c>
      <c r="I13" s="94">
        <v>5214</v>
      </c>
      <c r="J13" s="94">
        <v>6</v>
      </c>
      <c r="K13" s="92">
        <f t="shared" si="4"/>
        <v>8863800</v>
      </c>
      <c r="L13" s="94">
        <v>1</v>
      </c>
      <c r="M13" s="94">
        <v>5752</v>
      </c>
      <c r="N13" s="94">
        <v>6</v>
      </c>
      <c r="O13" s="92">
        <f t="shared" si="0"/>
        <v>9778400</v>
      </c>
      <c r="P13" s="95">
        <f t="shared" si="1"/>
        <v>9166400</v>
      </c>
      <c r="Q13" s="95">
        <f t="shared" si="2"/>
        <v>530018.4525089669</v>
      </c>
      <c r="R13" s="96">
        <f t="shared" si="5"/>
        <v>6.9621988049055377</v>
      </c>
      <c r="S13" s="89"/>
      <c r="T13" s="89"/>
      <c r="U13" s="89"/>
      <c r="V13" s="89"/>
    </row>
    <row r="14" spans="1:22">
      <c r="A14" s="89"/>
      <c r="B14" s="93" t="s">
        <v>197</v>
      </c>
      <c r="C14" s="94">
        <v>900</v>
      </c>
      <c r="D14" s="94">
        <v>1</v>
      </c>
      <c r="E14" s="94">
        <v>2620</v>
      </c>
      <c r="F14" s="94">
        <v>6</v>
      </c>
      <c r="G14" s="92">
        <f t="shared" si="3"/>
        <v>4454000</v>
      </c>
      <c r="H14" s="94">
        <v>1</v>
      </c>
      <c r="I14" s="94">
        <v>2454</v>
      </c>
      <c r="J14" s="94">
        <v>6</v>
      </c>
      <c r="K14" s="92">
        <f t="shared" si="4"/>
        <v>4171799.9999999991</v>
      </c>
      <c r="L14" s="94">
        <v>1</v>
      </c>
      <c r="M14" s="94">
        <v>2673</v>
      </c>
      <c r="N14" s="94">
        <v>6</v>
      </c>
      <c r="O14" s="92">
        <f t="shared" si="0"/>
        <v>4544099.9999999991</v>
      </c>
      <c r="P14" s="95">
        <f t="shared" si="1"/>
        <v>4389966.666666666</v>
      </c>
      <c r="Q14" s="95">
        <f t="shared" si="2"/>
        <v>194234.45454741904</v>
      </c>
      <c r="R14" s="96">
        <f t="shared" si="5"/>
        <v>6.642461222625335</v>
      </c>
      <c r="S14" s="89"/>
      <c r="T14" s="89"/>
      <c r="U14" s="89"/>
      <c r="V14" s="89"/>
    </row>
    <row r="15" spans="1:22">
      <c r="A15" s="89"/>
      <c r="B15" s="93" t="s">
        <v>198</v>
      </c>
      <c r="C15" s="94">
        <v>900</v>
      </c>
      <c r="D15" s="94">
        <v>1</v>
      </c>
      <c r="E15" s="94">
        <v>1562</v>
      </c>
      <c r="F15" s="94">
        <v>6</v>
      </c>
      <c r="G15" s="92">
        <f t="shared" si="3"/>
        <v>2655399.9999999995</v>
      </c>
      <c r="H15" s="94">
        <v>1</v>
      </c>
      <c r="I15" s="94">
        <v>1614</v>
      </c>
      <c r="J15" s="94">
        <v>6</v>
      </c>
      <c r="K15" s="92">
        <f t="shared" si="4"/>
        <v>2743799.9999999995</v>
      </c>
      <c r="L15" s="94">
        <v>1</v>
      </c>
      <c r="M15" s="94">
        <v>1660</v>
      </c>
      <c r="N15" s="94">
        <v>6</v>
      </c>
      <c r="O15" s="92">
        <f t="shared" si="0"/>
        <v>2822000</v>
      </c>
      <c r="P15" s="95">
        <f t="shared" si="1"/>
        <v>2740400</v>
      </c>
      <c r="Q15" s="95">
        <f t="shared" si="2"/>
        <v>83352.024570492809</v>
      </c>
      <c r="R15" s="96">
        <f t="shared" si="5"/>
        <v>6.4378139588473458</v>
      </c>
      <c r="S15" s="89"/>
      <c r="T15" s="89"/>
      <c r="U15" s="89"/>
      <c r="V15" s="89"/>
    </row>
    <row r="16" spans="1:22">
      <c r="A16" s="89"/>
      <c r="B16" s="93" t="s">
        <v>199</v>
      </c>
      <c r="C16" s="94">
        <v>900</v>
      </c>
      <c r="D16" s="94">
        <v>1</v>
      </c>
      <c r="E16" s="94">
        <v>2084</v>
      </c>
      <c r="F16" s="94">
        <v>13</v>
      </c>
      <c r="G16" s="92">
        <f t="shared" si="3"/>
        <v>1635138.4615384615</v>
      </c>
      <c r="H16" s="94">
        <v>1</v>
      </c>
      <c r="I16" s="94">
        <v>2144</v>
      </c>
      <c r="J16" s="94">
        <v>13</v>
      </c>
      <c r="K16" s="92">
        <f t="shared" si="4"/>
        <v>1682215.3846153847</v>
      </c>
      <c r="L16" s="94">
        <v>1</v>
      </c>
      <c r="M16" s="94">
        <v>1740</v>
      </c>
      <c r="N16" s="94">
        <v>13</v>
      </c>
      <c r="O16" s="92">
        <f t="shared" si="0"/>
        <v>1365230.769230769</v>
      </c>
      <c r="P16" s="95">
        <f t="shared" si="1"/>
        <v>1560861.5384615387</v>
      </c>
      <c r="Q16" s="95">
        <f t="shared" si="2"/>
        <v>171048.55326475156</v>
      </c>
      <c r="R16" s="96">
        <f t="shared" si="5"/>
        <v>6.1933643792000312</v>
      </c>
      <c r="S16" s="89"/>
      <c r="T16" s="89"/>
      <c r="U16" s="89"/>
      <c r="V16" s="89"/>
    </row>
    <row r="17" spans="1:22">
      <c r="A17" s="89"/>
      <c r="B17" s="93" t="s">
        <v>200</v>
      </c>
      <c r="C17" s="94">
        <v>900</v>
      </c>
      <c r="D17" s="94">
        <v>1</v>
      </c>
      <c r="E17" s="94">
        <v>2200</v>
      </c>
      <c r="F17" s="94">
        <v>26</v>
      </c>
      <c r="G17" s="92">
        <f t="shared" si="3"/>
        <v>863076.92307692301</v>
      </c>
      <c r="H17" s="94">
        <v>1</v>
      </c>
      <c r="I17" s="94">
        <v>2389</v>
      </c>
      <c r="J17" s="94">
        <v>26</v>
      </c>
      <c r="K17" s="92">
        <f t="shared" si="4"/>
        <v>937223.07692307688</v>
      </c>
      <c r="L17" s="94">
        <v>1</v>
      </c>
      <c r="M17" s="94">
        <v>2163</v>
      </c>
      <c r="N17" s="94">
        <v>26</v>
      </c>
      <c r="O17" s="92">
        <f t="shared" si="0"/>
        <v>848561.53846153838</v>
      </c>
      <c r="P17" s="95">
        <f t="shared" si="1"/>
        <v>882953.84615384601</v>
      </c>
      <c r="Q17" s="95">
        <f t="shared" si="2"/>
        <v>47555.611170987548</v>
      </c>
      <c r="R17" s="96">
        <f t="shared" si="5"/>
        <v>5.9459380026890356</v>
      </c>
      <c r="S17" s="89"/>
      <c r="T17" s="89"/>
      <c r="U17" s="89"/>
      <c r="V17" s="89"/>
    </row>
    <row r="18" spans="1:22">
      <c r="A18" s="89"/>
      <c r="B18" s="93" t="s">
        <v>201</v>
      </c>
      <c r="C18" s="94">
        <v>900</v>
      </c>
      <c r="D18" s="94">
        <v>1</v>
      </c>
      <c r="E18" s="94">
        <v>2258</v>
      </c>
      <c r="F18" s="94">
        <v>53</v>
      </c>
      <c r="G18" s="92">
        <f t="shared" si="3"/>
        <v>434558.49056603765</v>
      </c>
      <c r="H18" s="94">
        <v>1</v>
      </c>
      <c r="I18" s="94">
        <v>2364</v>
      </c>
      <c r="J18" s="94">
        <v>53</v>
      </c>
      <c r="K18" s="92">
        <f t="shared" si="4"/>
        <v>454958.49056603771</v>
      </c>
      <c r="L18" s="94">
        <v>1</v>
      </c>
      <c r="M18" s="94">
        <v>2494</v>
      </c>
      <c r="N18" s="94">
        <v>53</v>
      </c>
      <c r="O18" s="92">
        <f t="shared" si="0"/>
        <v>479977.35849056597</v>
      </c>
      <c r="P18" s="95">
        <f t="shared" si="1"/>
        <v>456498.11320754705</v>
      </c>
      <c r="Q18" s="95">
        <f t="shared" si="2"/>
        <v>22748.543234570494</v>
      </c>
      <c r="R18" s="96">
        <f t="shared" si="5"/>
        <v>5.6594389868533534</v>
      </c>
      <c r="S18" s="89"/>
      <c r="T18" s="89"/>
      <c r="U18" s="89"/>
      <c r="V18" s="89"/>
    </row>
    <row r="19" spans="1:22">
      <c r="A19" s="89"/>
      <c r="B19" s="93" t="s">
        <v>202</v>
      </c>
      <c r="C19" s="94">
        <v>900</v>
      </c>
      <c r="D19" s="94">
        <v>1</v>
      </c>
      <c r="E19" s="94">
        <v>2389</v>
      </c>
      <c r="F19" s="94">
        <v>107</v>
      </c>
      <c r="G19" s="92">
        <f t="shared" si="3"/>
        <v>227736.44859813081</v>
      </c>
      <c r="H19" s="94">
        <v>1</v>
      </c>
      <c r="I19" s="94">
        <v>2798</v>
      </c>
      <c r="J19" s="94">
        <v>107</v>
      </c>
      <c r="K19" s="92">
        <f t="shared" si="4"/>
        <v>266725.23364485975</v>
      </c>
      <c r="L19" s="94">
        <v>1</v>
      </c>
      <c r="M19" s="94">
        <v>7437</v>
      </c>
      <c r="N19" s="94">
        <v>394</v>
      </c>
      <c r="O19" s="92">
        <f t="shared" si="0"/>
        <v>192531.47208121826</v>
      </c>
      <c r="P19" s="95">
        <f t="shared" si="1"/>
        <v>228997.71810806962</v>
      </c>
      <c r="Q19" s="95">
        <f t="shared" si="2"/>
        <v>37112.958172626859</v>
      </c>
      <c r="R19" s="96">
        <f t="shared" si="5"/>
        <v>5.359831154750319</v>
      </c>
      <c r="S19" s="89"/>
      <c r="T19" s="89"/>
      <c r="U19" s="89"/>
      <c r="V19" s="89"/>
    </row>
    <row r="20" spans="1:22" ht="15" thickBo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ht="43" thickBot="1">
      <c r="A21" s="89"/>
      <c r="B21" s="97" t="s">
        <v>4</v>
      </c>
      <c r="C21" s="97" t="s">
        <v>203</v>
      </c>
      <c r="D21" s="97" t="s">
        <v>204</v>
      </c>
      <c r="E21" s="97" t="s">
        <v>205</v>
      </c>
      <c r="F21" s="97" t="s">
        <v>206</v>
      </c>
      <c r="G21" s="98" t="s">
        <v>207</v>
      </c>
      <c r="H21" s="99" t="s">
        <v>208</v>
      </c>
      <c r="I21" s="99" t="s">
        <v>209</v>
      </c>
      <c r="J21" s="99" t="s">
        <v>210</v>
      </c>
      <c r="K21" s="99" t="s">
        <v>211</v>
      </c>
      <c r="L21" s="99" t="s">
        <v>212</v>
      </c>
      <c r="M21" s="103" t="s">
        <v>237</v>
      </c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89"/>
      <c r="B23" s="93" t="s">
        <v>187</v>
      </c>
      <c r="C23" s="100">
        <v>12.024166107177734</v>
      </c>
      <c r="D23" s="100">
        <v>11.937971115112305</v>
      </c>
      <c r="E23" s="100">
        <v>12.113894462585449</v>
      </c>
      <c r="F23" s="101">
        <f>AVERAGE(C23:E23)</f>
        <v>12.025343894958496</v>
      </c>
      <c r="G23" s="125">
        <f>1000/1000*200/4*1000/900</f>
        <v>55.555555555555557</v>
      </c>
      <c r="H23" s="102">
        <f>LOG(G23)/LOG(2)</f>
        <v>5.7958592832197748</v>
      </c>
      <c r="I23" s="100">
        <f>C23-H23</f>
        <v>6.2283068239579595</v>
      </c>
      <c r="J23" s="100">
        <f>D23-H23</f>
        <v>6.1421118318925298</v>
      </c>
      <c r="K23" s="100">
        <f>E23-H23</f>
        <v>6.3180351793656744</v>
      </c>
      <c r="L23" s="101">
        <f>AVERAGE(I23:K23)</f>
        <v>6.2294846117387221</v>
      </c>
      <c r="M23" s="103"/>
      <c r="N23" s="89"/>
      <c r="O23" s="89"/>
      <c r="P23" s="89"/>
      <c r="Q23" s="89"/>
      <c r="R23" s="89"/>
      <c r="S23" s="89"/>
      <c r="T23" s="89"/>
      <c r="U23" s="89"/>
      <c r="V23" s="89"/>
    </row>
    <row r="24" spans="1:22">
      <c r="A24" s="89"/>
      <c r="B24" s="93" t="s">
        <v>188</v>
      </c>
      <c r="C24" s="100">
        <v>17.587196350097656</v>
      </c>
      <c r="D24" s="100">
        <v>17.463251113891602</v>
      </c>
      <c r="E24" s="100">
        <v>17.496953964233398</v>
      </c>
      <c r="F24" s="101">
        <f t="shared" ref="F24:F38" si="6">AVERAGE(C24:E24)</f>
        <v>17.515800476074219</v>
      </c>
      <c r="G24" s="125">
        <f t="shared" ref="G24:G27" si="7">1000/1000*200/4*1000/900</f>
        <v>55.555555555555557</v>
      </c>
      <c r="H24" s="102">
        <f t="shared" ref="H24:H38" si="8">LOG(G24)/LOG(2)</f>
        <v>5.7958592832197748</v>
      </c>
      <c r="I24" s="100">
        <f>C24-H24</f>
        <v>11.791337066877881</v>
      </c>
      <c r="J24" s="100">
        <f t="shared" ref="J24:J38" si="9">D24-H24</f>
        <v>11.667391830671827</v>
      </c>
      <c r="K24" s="100">
        <f t="shared" ref="K24:K38" si="10">E24-H24</f>
        <v>11.701094681013624</v>
      </c>
      <c r="L24" s="101">
        <f t="shared" ref="L24:L38" si="11">AVERAGE(I24:K24)</f>
        <v>11.719941192854444</v>
      </c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>
      <c r="A25" s="89"/>
      <c r="B25" s="93" t="s">
        <v>189</v>
      </c>
      <c r="C25" s="100">
        <v>20.035877227783203</v>
      </c>
      <c r="D25" s="100">
        <v>19.974271774291992</v>
      </c>
      <c r="E25" s="100">
        <v>19.944717407226562</v>
      </c>
      <c r="F25" s="101">
        <f t="shared" si="6"/>
        <v>19.984955469767254</v>
      </c>
      <c r="G25" s="125">
        <f t="shared" si="7"/>
        <v>55.555555555555557</v>
      </c>
      <c r="H25" s="102">
        <f t="shared" si="8"/>
        <v>5.7958592832197748</v>
      </c>
      <c r="I25" s="100">
        <f>C25-H25</f>
        <v>14.240017944563428</v>
      </c>
      <c r="J25" s="100">
        <f t="shared" si="9"/>
        <v>14.178412491072217</v>
      </c>
      <c r="K25" s="100">
        <f t="shared" si="10"/>
        <v>14.148858124006788</v>
      </c>
      <c r="L25" s="101">
        <f t="shared" si="11"/>
        <v>14.189096186547479</v>
      </c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>
      <c r="A26" s="89"/>
      <c r="B26" s="93" t="s">
        <v>190</v>
      </c>
      <c r="C26" s="100">
        <v>24.500289916992188</v>
      </c>
      <c r="D26" s="100">
        <v>24.458871841430664</v>
      </c>
      <c r="E26" s="100">
        <v>24.548263549804688</v>
      </c>
      <c r="F26" s="101">
        <f t="shared" si="6"/>
        <v>24.502475102742512</v>
      </c>
      <c r="G26" s="125">
        <f t="shared" si="7"/>
        <v>55.555555555555557</v>
      </c>
      <c r="H26" s="102">
        <f t="shared" si="8"/>
        <v>5.7958592832197748</v>
      </c>
      <c r="I26" s="100">
        <f>C26-H26</f>
        <v>18.704430633772411</v>
      </c>
      <c r="J26" s="100">
        <f t="shared" si="9"/>
        <v>18.663012558210887</v>
      </c>
      <c r="K26" s="100">
        <f t="shared" si="10"/>
        <v>18.752404266584911</v>
      </c>
      <c r="L26" s="101">
        <f t="shared" si="11"/>
        <v>18.706615819522735</v>
      </c>
      <c r="M26" s="103"/>
      <c r="N26" s="89"/>
      <c r="O26" s="89"/>
      <c r="P26" s="89"/>
      <c r="Q26" s="89"/>
      <c r="R26" s="89"/>
      <c r="S26" s="89"/>
      <c r="T26" s="89"/>
      <c r="U26" s="89"/>
      <c r="V26" s="89"/>
    </row>
    <row r="27" spans="1:22">
      <c r="A27" s="89"/>
      <c r="B27" s="93" t="s">
        <v>191</v>
      </c>
      <c r="C27" s="100">
        <v>27.966335296630859</v>
      </c>
      <c r="D27" s="100">
        <v>27.953102111816406</v>
      </c>
      <c r="E27" s="100">
        <v>27.858415603637695</v>
      </c>
      <c r="F27" s="101">
        <f>AVERAGE(C27:E27)</f>
        <v>27.92595100402832</v>
      </c>
      <c r="G27" s="125">
        <f t="shared" si="7"/>
        <v>55.555555555555557</v>
      </c>
      <c r="H27" s="102">
        <f t="shared" si="8"/>
        <v>5.7958592832197748</v>
      </c>
      <c r="I27" s="100">
        <f>C27-H27</f>
        <v>22.170476013411083</v>
      </c>
      <c r="J27" s="100">
        <f>D27-H27</f>
        <v>22.15724282859663</v>
      </c>
      <c r="K27" s="100">
        <f>E27-H27</f>
        <v>22.062556320417919</v>
      </c>
      <c r="L27" s="101">
        <f t="shared" si="11"/>
        <v>22.130091720808547</v>
      </c>
      <c r="M27" s="103"/>
      <c r="N27" s="89"/>
      <c r="O27" s="89"/>
      <c r="P27" s="89"/>
      <c r="Q27" s="89"/>
      <c r="R27" s="89"/>
      <c r="S27" s="89"/>
      <c r="T27" s="89"/>
      <c r="U27" s="89"/>
      <c r="V27" s="89"/>
    </row>
    <row r="28" spans="1:22">
      <c r="A28" s="89"/>
      <c r="B28" s="93" t="s">
        <v>192</v>
      </c>
      <c r="C28" s="100">
        <v>13.96388053894043</v>
      </c>
      <c r="D28" s="100">
        <v>13.646139144897461</v>
      </c>
      <c r="E28" s="100">
        <v>13.680848121643066</v>
      </c>
      <c r="F28" s="101">
        <f t="shared" si="6"/>
        <v>13.763622601826986</v>
      </c>
      <c r="G28" s="89">
        <f>1000/1000*200/4*1000/500</f>
        <v>100</v>
      </c>
      <c r="H28" s="102">
        <f t="shared" si="8"/>
        <v>6.6438561897747244</v>
      </c>
      <c r="I28" s="100">
        <f t="shared" ref="I28:I38" si="12">C28-H28</f>
        <v>7.3200243491657053</v>
      </c>
      <c r="J28" s="100">
        <f t="shared" si="9"/>
        <v>7.0022829551227366</v>
      </c>
      <c r="K28" s="100">
        <f t="shared" si="10"/>
        <v>7.036991931868342</v>
      </c>
      <c r="L28" s="101">
        <f t="shared" si="11"/>
        <v>7.119766412052261</v>
      </c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>
      <c r="A29" s="89"/>
      <c r="B29" s="93" t="s">
        <v>193</v>
      </c>
      <c r="C29" s="100">
        <v>15.15186882019043</v>
      </c>
      <c r="D29" s="100">
        <v>15.517631530761719</v>
      </c>
      <c r="E29" s="100">
        <v>15.663459777832031</v>
      </c>
      <c r="F29" s="101">
        <f t="shared" si="6"/>
        <v>15.44432004292806</v>
      </c>
      <c r="G29" s="89">
        <f t="shared" ref="G29:G38" si="13">1000/1000*200/4*1000/500</f>
        <v>100</v>
      </c>
      <c r="H29" s="102">
        <f t="shared" si="8"/>
        <v>6.6438561897747244</v>
      </c>
      <c r="I29" s="100">
        <f t="shared" si="12"/>
        <v>8.5080126304157062</v>
      </c>
      <c r="J29" s="100">
        <f t="shared" si="9"/>
        <v>8.8737753409869953</v>
      </c>
      <c r="K29" s="100">
        <f t="shared" si="10"/>
        <v>9.0196035880573078</v>
      </c>
      <c r="L29" s="101">
        <f t="shared" si="11"/>
        <v>8.800463853153337</v>
      </c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>
      <c r="A30" s="89"/>
      <c r="B30" s="93" t="s">
        <v>194</v>
      </c>
      <c r="C30" s="100">
        <v>16.251581192016602</v>
      </c>
      <c r="D30" s="100">
        <v>16.335042953491211</v>
      </c>
      <c r="E30" s="100">
        <v>16.212072372436523</v>
      </c>
      <c r="F30" s="101">
        <f t="shared" si="6"/>
        <v>16.266232172648113</v>
      </c>
      <c r="G30" s="89">
        <f t="shared" si="13"/>
        <v>100</v>
      </c>
      <c r="H30" s="102">
        <f t="shared" si="8"/>
        <v>6.6438561897747244</v>
      </c>
      <c r="I30" s="100">
        <f t="shared" si="12"/>
        <v>9.6077250022418781</v>
      </c>
      <c r="J30" s="100">
        <f t="shared" si="9"/>
        <v>9.6911867637164875</v>
      </c>
      <c r="K30" s="100">
        <f t="shared" si="10"/>
        <v>9.5682161826618</v>
      </c>
      <c r="L30" s="101">
        <f t="shared" si="11"/>
        <v>9.6223759828733879</v>
      </c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>
      <c r="A31" s="89"/>
      <c r="B31" s="93" t="s">
        <v>195</v>
      </c>
      <c r="C31" s="100">
        <v>18.410284042358398</v>
      </c>
      <c r="D31" s="100">
        <v>18.640316009521484</v>
      </c>
      <c r="E31" s="100">
        <v>18.454940795898438</v>
      </c>
      <c r="F31" s="101">
        <f t="shared" si="6"/>
        <v>18.501846949259441</v>
      </c>
      <c r="G31" s="89">
        <f t="shared" si="13"/>
        <v>100</v>
      </c>
      <c r="H31" s="102">
        <f t="shared" si="8"/>
        <v>6.6438561897747244</v>
      </c>
      <c r="I31" s="100">
        <f t="shared" si="12"/>
        <v>11.766427852583675</v>
      </c>
      <c r="J31" s="100">
        <f t="shared" si="9"/>
        <v>11.996459819746761</v>
      </c>
      <c r="K31" s="100">
        <f t="shared" si="10"/>
        <v>11.811084606123714</v>
      </c>
      <c r="L31" s="101">
        <f t="shared" si="11"/>
        <v>11.857990759484716</v>
      </c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>
      <c r="A32" s="89"/>
      <c r="B32" s="93" t="s">
        <v>196</v>
      </c>
      <c r="C32" s="100">
        <v>18.648725509643555</v>
      </c>
      <c r="D32" s="100">
        <v>18.836643218994141</v>
      </c>
      <c r="E32" s="100">
        <v>18.618749618530273</v>
      </c>
      <c r="F32" s="101">
        <f t="shared" si="6"/>
        <v>18.701372782389324</v>
      </c>
      <c r="G32" s="89">
        <f t="shared" si="13"/>
        <v>100</v>
      </c>
      <c r="H32" s="102">
        <f t="shared" si="8"/>
        <v>6.6438561897747244</v>
      </c>
      <c r="I32" s="100">
        <f t="shared" si="12"/>
        <v>12.004869319868831</v>
      </c>
      <c r="J32" s="100">
        <f t="shared" si="9"/>
        <v>12.192787029219417</v>
      </c>
      <c r="K32" s="100">
        <f t="shared" si="10"/>
        <v>11.97489342875555</v>
      </c>
      <c r="L32" s="101">
        <f t="shared" si="11"/>
        <v>12.057516592614599</v>
      </c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>
      <c r="A33" s="89"/>
      <c r="B33" s="93" t="s">
        <v>197</v>
      </c>
      <c r="C33" s="100">
        <v>19.173038482666016</v>
      </c>
      <c r="D33" s="100">
        <v>19.267778396606445</v>
      </c>
      <c r="E33" s="100">
        <v>19.15654182434082</v>
      </c>
      <c r="F33" s="101">
        <f t="shared" si="6"/>
        <v>19.199119567871094</v>
      </c>
      <c r="G33" s="89">
        <f t="shared" si="13"/>
        <v>100</v>
      </c>
      <c r="H33" s="102">
        <f t="shared" si="8"/>
        <v>6.6438561897747244</v>
      </c>
      <c r="I33" s="100">
        <f t="shared" si="12"/>
        <v>12.529182292891292</v>
      </c>
      <c r="J33" s="100">
        <f t="shared" si="9"/>
        <v>12.623922206831722</v>
      </c>
      <c r="K33" s="100">
        <f t="shared" si="10"/>
        <v>12.512685634566097</v>
      </c>
      <c r="L33" s="101">
        <f t="shared" si="11"/>
        <v>12.55526337809637</v>
      </c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>
      <c r="A34" s="89"/>
      <c r="B34" s="93" t="s">
        <v>198</v>
      </c>
      <c r="C34" s="100">
        <v>20.283313751220703</v>
      </c>
      <c r="D34" s="100">
        <v>20.449991226196289</v>
      </c>
      <c r="E34" s="100">
        <v>20.311237335205078</v>
      </c>
      <c r="F34" s="101">
        <f t="shared" si="6"/>
        <v>20.348180770874023</v>
      </c>
      <c r="G34" s="89">
        <f t="shared" si="13"/>
        <v>100</v>
      </c>
      <c r="H34" s="102">
        <f t="shared" si="8"/>
        <v>6.6438561897747244</v>
      </c>
      <c r="I34" s="100">
        <f t="shared" si="12"/>
        <v>13.63945756144598</v>
      </c>
      <c r="J34" s="100">
        <f t="shared" si="9"/>
        <v>13.806135036421566</v>
      </c>
      <c r="K34" s="100">
        <f t="shared" si="10"/>
        <v>13.667381145430355</v>
      </c>
      <c r="L34" s="101">
        <f t="shared" si="11"/>
        <v>13.7043245810993</v>
      </c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>
      <c r="A35" s="89"/>
      <c r="B35" s="93" t="s">
        <v>199</v>
      </c>
      <c r="C35" s="100">
        <v>21.243825912475586</v>
      </c>
      <c r="D35" s="100">
        <v>21.539775848388672</v>
      </c>
      <c r="E35" s="100">
        <v>21.392797470092773</v>
      </c>
      <c r="F35" s="101">
        <f t="shared" si="6"/>
        <v>21.392133076985676</v>
      </c>
      <c r="G35" s="89">
        <f t="shared" si="13"/>
        <v>100</v>
      </c>
      <c r="H35" s="102">
        <f t="shared" si="8"/>
        <v>6.6438561897747244</v>
      </c>
      <c r="I35" s="100">
        <f t="shared" si="12"/>
        <v>14.599969722700862</v>
      </c>
      <c r="J35" s="100">
        <f t="shared" si="9"/>
        <v>14.895919658613948</v>
      </c>
      <c r="K35" s="100">
        <f t="shared" si="10"/>
        <v>14.74894128031805</v>
      </c>
      <c r="L35" s="101">
        <f t="shared" si="11"/>
        <v>14.748276887210954</v>
      </c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>
      <c r="A36" s="89"/>
      <c r="B36" s="93" t="s">
        <v>200</v>
      </c>
      <c r="C36" s="100">
        <v>22.513101577758789</v>
      </c>
      <c r="D36" s="100">
        <v>22.496644973754883</v>
      </c>
      <c r="E36" s="100">
        <v>22.572574615478516</v>
      </c>
      <c r="F36" s="101">
        <f t="shared" si="6"/>
        <v>22.527440388997395</v>
      </c>
      <c r="G36" s="89">
        <f t="shared" si="13"/>
        <v>100</v>
      </c>
      <c r="H36" s="102">
        <f t="shared" si="8"/>
        <v>6.6438561897747244</v>
      </c>
      <c r="I36" s="100">
        <f t="shared" si="12"/>
        <v>15.869245387984066</v>
      </c>
      <c r="J36" s="100">
        <f t="shared" si="9"/>
        <v>15.852788783980159</v>
      </c>
      <c r="K36" s="100">
        <f t="shared" si="10"/>
        <v>15.928718425703792</v>
      </c>
      <c r="L36" s="101">
        <f t="shared" si="11"/>
        <v>15.883584199222673</v>
      </c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>
      <c r="A37" s="89"/>
      <c r="B37" s="93" t="s">
        <v>201</v>
      </c>
      <c r="C37" s="100">
        <v>25.11761474609375</v>
      </c>
      <c r="D37" s="100">
        <v>25.00200080871582</v>
      </c>
      <c r="E37" s="100">
        <v>25.069990158081055</v>
      </c>
      <c r="F37" s="101">
        <f t="shared" si="6"/>
        <v>25.063201904296875</v>
      </c>
      <c r="G37" s="89">
        <f t="shared" si="13"/>
        <v>100</v>
      </c>
      <c r="H37" s="102">
        <f t="shared" si="8"/>
        <v>6.6438561897747244</v>
      </c>
      <c r="I37" s="100">
        <f t="shared" si="12"/>
        <v>18.473758556319027</v>
      </c>
      <c r="J37" s="100">
        <f t="shared" si="9"/>
        <v>18.358144618941097</v>
      </c>
      <c r="K37" s="100">
        <f t="shared" si="10"/>
        <v>18.426133968306331</v>
      </c>
      <c r="L37" s="101">
        <f t="shared" si="11"/>
        <v>18.419345714522152</v>
      </c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>
      <c r="A38" s="89"/>
      <c r="B38" s="93" t="s">
        <v>202</v>
      </c>
      <c r="C38" s="100">
        <v>25.78911018371582</v>
      </c>
      <c r="D38" s="100">
        <v>25.811565399169922</v>
      </c>
      <c r="E38" s="100">
        <v>25.885698318481445</v>
      </c>
      <c r="F38" s="101">
        <f t="shared" si="6"/>
        <v>25.82879130045573</v>
      </c>
      <c r="G38" s="89">
        <f t="shared" si="13"/>
        <v>100</v>
      </c>
      <c r="H38" s="102">
        <f t="shared" si="8"/>
        <v>6.6438561897747244</v>
      </c>
      <c r="I38" s="100">
        <f t="shared" si="12"/>
        <v>19.145253993941097</v>
      </c>
      <c r="J38" s="100">
        <f t="shared" si="9"/>
        <v>19.167709209395198</v>
      </c>
      <c r="K38" s="100">
        <f t="shared" si="10"/>
        <v>19.241842128706722</v>
      </c>
      <c r="L38" s="101">
        <f t="shared" si="11"/>
        <v>19.184935110681007</v>
      </c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>
      <c r="A39" s="89"/>
      <c r="B39" s="89"/>
      <c r="C39" s="89"/>
      <c r="D39" s="89"/>
      <c r="E39" s="89"/>
      <c r="F39" s="102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>
      <c r="A40" s="89"/>
      <c r="B40" s="93" t="s">
        <v>235</v>
      </c>
      <c r="C40" s="100">
        <v>10.746070861816406</v>
      </c>
      <c r="D40" s="100">
        <v>10.822755813598633</v>
      </c>
      <c r="E40" s="100">
        <v>10.731834411621094</v>
      </c>
      <c r="F40" s="101">
        <f>AVERAGE(C40:E40)</f>
        <v>10.766887029012045</v>
      </c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>
      <c r="A42" s="89"/>
      <c r="B42" s="103" t="s">
        <v>213</v>
      </c>
      <c r="C42" s="89" t="s">
        <v>214</v>
      </c>
      <c r="D42" s="89"/>
      <c r="E42" s="89"/>
      <c r="F42" t="s">
        <v>215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>
      <c r="A43" s="89"/>
      <c r="B43" s="89" t="s">
        <v>216</v>
      </c>
      <c r="C43" s="89" t="s">
        <v>214</v>
      </c>
      <c r="D43" s="89"/>
      <c r="E43" s="89"/>
      <c r="F43">
        <v>0.34642903804779052</v>
      </c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>
      <c r="A44" s="89"/>
      <c r="B44" s="89"/>
      <c r="C44" s="104" t="s">
        <v>217</v>
      </c>
      <c r="D44" s="105">
        <v>-3.9893000000000001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>
      <c r="A45" s="89"/>
      <c r="B45" s="89"/>
      <c r="C45" s="104" t="s">
        <v>218</v>
      </c>
      <c r="D45" s="105">
        <v>40.134999999999998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>
      <c r="A48" s="89"/>
      <c r="B48" s="103" t="s">
        <v>219</v>
      </c>
      <c r="C48" s="89"/>
      <c r="D48" s="89">
        <f>-1+ POWER(10,-(1/D44))</f>
        <v>0.78102716558460528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>
      <c r="A50" s="89"/>
      <c r="B50" s="103" t="s">
        <v>241</v>
      </c>
      <c r="C50" s="124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selection activeCell="H15" sqref="H15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6" t="s">
        <v>239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29">
      <c r="A2" s="133" t="s">
        <v>4</v>
      </c>
      <c r="B2" s="133" t="s">
        <v>116</v>
      </c>
      <c r="C2" s="133" t="s">
        <v>116</v>
      </c>
      <c r="D2" s="133" t="s">
        <v>5</v>
      </c>
      <c r="E2" s="147" t="s">
        <v>220</v>
      </c>
      <c r="F2" s="147" t="s">
        <v>221</v>
      </c>
      <c r="G2" s="147" t="s">
        <v>222</v>
      </c>
      <c r="H2" s="149" t="s">
        <v>223</v>
      </c>
      <c r="I2" s="149" t="s">
        <v>224</v>
      </c>
      <c r="J2" s="149" t="s">
        <v>225</v>
      </c>
      <c r="K2" s="147" t="s">
        <v>226</v>
      </c>
      <c r="L2" s="147" t="s">
        <v>227</v>
      </c>
      <c r="M2" s="147" t="s">
        <v>228</v>
      </c>
      <c r="N2" s="147" t="s">
        <v>229</v>
      </c>
      <c r="O2" s="147" t="s">
        <v>230</v>
      </c>
      <c r="P2" s="149" t="s">
        <v>231</v>
      </c>
      <c r="Q2" s="149" t="s">
        <v>232</v>
      </c>
      <c r="R2" s="149" t="s">
        <v>236</v>
      </c>
      <c r="S2" s="149" t="s">
        <v>233</v>
      </c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29">
      <c r="A3" s="134"/>
      <c r="B3" s="134"/>
      <c r="C3" s="134"/>
      <c r="D3" s="134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29">
      <c r="A4" s="32">
        <v>0</v>
      </c>
      <c r="B4" s="63">
        <v>10</v>
      </c>
      <c r="C4" s="64">
        <v>10</v>
      </c>
      <c r="D4" s="62">
        <v>0.16666666666666666</v>
      </c>
      <c r="E4" s="126">
        <v>28.050058364868164</v>
      </c>
      <c r="F4" s="126">
        <v>27.167057037353516</v>
      </c>
      <c r="G4" s="127">
        <v>26.43328857421875</v>
      </c>
      <c r="H4" s="128">
        <f>(E4-$H$42)+$H$67</f>
        <v>28.020260655981865</v>
      </c>
      <c r="I4" s="128">
        <f>(F4-$H$42)+$H$67</f>
        <v>27.137259328467216</v>
      </c>
      <c r="J4" s="128">
        <f>(G4-$H$42)+$H$67</f>
        <v>26.403490865332451</v>
      </c>
      <c r="K4" s="101">
        <f>((H4-'CalibrationB. hydrogenotrophica'!$D$45)/('CalibrationB. hydrogenotrophica'!$D$44))+$B$24</f>
        <v>6.6900208119775684</v>
      </c>
      <c r="L4" s="101">
        <f>((I4-'CalibrationB. hydrogenotrophica'!$D$45)/('CalibrationB. hydrogenotrophica'!$D$44))+$B$24</f>
        <v>6.9113632348373795</v>
      </c>
      <c r="M4" s="101">
        <f>((J4-'CalibrationB. hydrogenotrophica'!$D$45)/('CalibrationB. hydrogenotrophica'!$D$44))+$B$24</f>
        <v>7.0952973744445202</v>
      </c>
      <c r="N4" s="112">
        <f>AVERAGE(K4:M4)</f>
        <v>6.8988938070864902</v>
      </c>
      <c r="O4" s="112">
        <f>STDEV(K4:M4)</f>
        <v>0.20292581894027997</v>
      </c>
      <c r="P4" s="113">
        <f>(AVERAGE(POWER(10,K4),POWER(10,L4),POWER(10,M4)))*Calculation!$I4/Calculation!$K3</f>
        <v>8501851.0717741679</v>
      </c>
      <c r="Q4" s="113">
        <f>(STDEV(POWER(10,K4),POWER(10,L4),POWER(10,M4)))*Calculation!$I4/Calculation!$K3</f>
        <v>3789825.3924498288</v>
      </c>
      <c r="R4" s="112">
        <f>LOG(P4)</f>
        <v>6.9295134930948574</v>
      </c>
      <c r="S4" s="112">
        <f>O4*Calculation!$I4/Calculation!$K3</f>
        <v>0.20292581894027997</v>
      </c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1:29">
      <c r="A5" s="32">
        <v>1</v>
      </c>
      <c r="B5" s="63">
        <v>110</v>
      </c>
      <c r="C5" s="64">
        <f>C4+B5</f>
        <v>120</v>
      </c>
      <c r="D5" s="62">
        <v>2</v>
      </c>
      <c r="E5" s="126">
        <v>26.416173934936523</v>
      </c>
      <c r="F5" s="126">
        <v>24.956239700317383</v>
      </c>
      <c r="G5" s="127">
        <v>24.874244689941406</v>
      </c>
      <c r="H5" s="128">
        <f>(E5-$H$42)+$H$67</f>
        <v>26.386376226050224</v>
      </c>
      <c r="I5" s="128">
        <f>(F5-$H$42)+$H$67</f>
        <v>24.926441991431084</v>
      </c>
      <c r="J5" s="128">
        <f>(G5-$H$42)+$H$67</f>
        <v>24.844446981055107</v>
      </c>
      <c r="K5" s="101">
        <f>((H5-'CalibrationB. hydrogenotrophica'!$D$45)/('CalibrationB. hydrogenotrophica'!$D$44))+$B$24</f>
        <v>7.0995875103787007</v>
      </c>
      <c r="L5" s="101">
        <f>((I5-'CalibrationB. hydrogenotrophica'!$D$45)/('CalibrationB. hydrogenotrophica'!$D$44))+$B$24</f>
        <v>7.465550018743361</v>
      </c>
      <c r="M5" s="101">
        <f>((J5-'CalibrationB. hydrogenotrophica'!$D$45)/('CalibrationB. hydrogenotrophica'!$D$44))+$B$24</f>
        <v>7.4861037525753567</v>
      </c>
      <c r="N5" s="112">
        <f t="shared" ref="N5:N20" si="0">AVERAGE(K5:M5)</f>
        <v>7.3504137605658064</v>
      </c>
      <c r="O5" s="112">
        <f t="shared" ref="O5:O20" si="1">STDEV(K5:M5)</f>
        <v>0.21746487033726256</v>
      </c>
      <c r="P5" s="113">
        <f>(AVERAGE(POWER(10,K5),POWER(10,L5),POWER(10,M5)))*Calculation!$I5/Calculation!$K4</f>
        <v>24138498.189467885</v>
      </c>
      <c r="Q5" s="113">
        <f>(STDEV(POWER(10,K5),POWER(10,L5),POWER(10,M5)))*Calculation!$I5/Calculation!$K4</f>
        <v>10037280.007001286</v>
      </c>
      <c r="R5" s="112">
        <f t="shared" ref="R5:R19" si="2">LOG(P5)</f>
        <v>7.3827102463613228</v>
      </c>
      <c r="S5" s="112">
        <f>O5*Calculation!$I5/Calculation!$K4</f>
        <v>0.21746487033726256</v>
      </c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1:29">
      <c r="A6" s="32">
        <v>2</v>
      </c>
      <c r="B6" s="63">
        <v>80</v>
      </c>
      <c r="C6" s="64">
        <f t="shared" ref="C6:C18" si="3">C5+B6</f>
        <v>200</v>
      </c>
      <c r="D6" s="62">
        <v>3.3333333333333335</v>
      </c>
      <c r="E6" s="126">
        <v>24.155073165893555</v>
      </c>
      <c r="F6" s="126">
        <v>23.840904235839844</v>
      </c>
      <c r="G6" s="127">
        <v>24.023738861083984</v>
      </c>
      <c r="H6" s="128">
        <f>(E6-$H$42)+$H$67</f>
        <v>24.125275457007255</v>
      </c>
      <c r="I6" s="128">
        <f>(F6-$H$42)+$H$67</f>
        <v>23.811106526953544</v>
      </c>
      <c r="J6" s="128">
        <f>(G6-$H$42)+$H$67</f>
        <v>23.993941152197685</v>
      </c>
      <c r="K6" s="101">
        <f>((H6-'CalibrationB. hydrogenotrophica'!$D$45)/('CalibrationB. hydrogenotrophica'!$D$44))+$B$24</f>
        <v>7.6663788695251593</v>
      </c>
      <c r="L6" s="101">
        <f>((I6-'CalibrationB. hydrogenotrophica'!$D$45)/('CalibrationB. hydrogenotrophica'!$D$44))+$B$24</f>
        <v>7.7451317660367565</v>
      </c>
      <c r="M6" s="101">
        <f>((J6-'CalibrationB. hydrogenotrophica'!$D$45)/('CalibrationB. hydrogenotrophica'!$D$44))+$B$24</f>
        <v>7.6993005111188157</v>
      </c>
      <c r="N6" s="112">
        <f t="shared" si="0"/>
        <v>7.7036037155602441</v>
      </c>
      <c r="O6" s="112">
        <f t="shared" si="1"/>
        <v>3.9552406419712645E-2</v>
      </c>
      <c r="P6" s="113">
        <f>(AVERAGE(POWER(10,K6),POWER(10,L6),POWER(10,M6)))*Calculation!$I6/Calculation!$K5</f>
        <v>50676833.269213982</v>
      </c>
      <c r="Q6" s="113">
        <f>(STDEV(POWER(10,K6),POWER(10,L6),POWER(10,M6)))*Calculation!$I6/Calculation!$K5</f>
        <v>4644141.7919982113</v>
      </c>
      <c r="R6" s="112">
        <f t="shared" si="2"/>
        <v>7.7048094685500912</v>
      </c>
      <c r="S6" s="112">
        <f>O6*Calculation!$I6/Calculation!$K5</f>
        <v>3.9552406419712645E-2</v>
      </c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1:29">
      <c r="A7" s="32">
        <v>3</v>
      </c>
      <c r="B7" s="63">
        <v>80</v>
      </c>
      <c r="C7" s="64">
        <f>C6+B7</f>
        <v>280</v>
      </c>
      <c r="D7" s="62">
        <v>4.666666666666667</v>
      </c>
      <c r="E7" s="126">
        <v>24.058364868164062</v>
      </c>
      <c r="F7" s="126">
        <v>23.270668029785156</v>
      </c>
      <c r="G7" s="127">
        <v>23.067905426025391</v>
      </c>
      <c r="H7" s="128">
        <f>(E7-$H$42)+$H$67</f>
        <v>24.028567159277763</v>
      </c>
      <c r="I7" s="128">
        <f>(F7-$H$42)+$H$67</f>
        <v>23.240870320898857</v>
      </c>
      <c r="J7" s="128">
        <f>(G7-$H$42)+$H$67</f>
        <v>23.038107717139091</v>
      </c>
      <c r="K7" s="101">
        <f>((H7-'CalibrationB. hydrogenotrophica'!$D$45)/('CalibrationB. hydrogenotrophica'!$D$44))+$B$24</f>
        <v>7.6906207910977393</v>
      </c>
      <c r="L7" s="101">
        <f>((I7-'CalibrationB. hydrogenotrophica'!$D$45)/('CalibrationB. hydrogenotrophica'!$D$44))+$B$24</f>
        <v>7.888073185848425</v>
      </c>
      <c r="M7" s="101">
        <f>((J7-'CalibrationB. hydrogenotrophica'!$D$45)/('CalibrationB. hydrogenotrophica'!$D$44))+$B$24</f>
        <v>7.9388997979758056</v>
      </c>
      <c r="N7" s="112">
        <f t="shared" si="0"/>
        <v>7.8391979249739903</v>
      </c>
      <c r="O7" s="112">
        <f t="shared" si="1"/>
        <v>0.13115719445858764</v>
      </c>
      <c r="P7" s="113">
        <f>(AVERAGE(POWER(10,K7),POWER(10,L7),POWER(10,M7)))*Calculation!$I7/Calculation!$K6</f>
        <v>71068339.666771606</v>
      </c>
      <c r="Q7" s="113">
        <f>(STDEV(POWER(10,K7),POWER(10,L7),POWER(10,M7)))*Calculation!$I7/Calculation!$K6</f>
        <v>19664410.267287422</v>
      </c>
      <c r="R7" s="112">
        <f t="shared" si="2"/>
        <v>7.8516761693613502</v>
      </c>
      <c r="S7" s="112">
        <f>O7*Calculation!$I7/Calculation!$K6</f>
        <v>0.13115719445858764</v>
      </c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1:29">
      <c r="A8" s="32">
        <v>4</v>
      </c>
      <c r="B8" s="63">
        <v>80</v>
      </c>
      <c r="C8" s="64">
        <f t="shared" si="3"/>
        <v>360</v>
      </c>
      <c r="D8" s="62">
        <v>6</v>
      </c>
      <c r="E8" s="126">
        <v>22.407918930053711</v>
      </c>
      <c r="F8" s="126">
        <v>22.693365097045898</v>
      </c>
      <c r="G8" s="127">
        <v>23.157175064086914</v>
      </c>
      <c r="H8" s="128">
        <f>(E8-$H$42)+$H$67</f>
        <v>22.378121221167412</v>
      </c>
      <c r="I8" s="128">
        <f>(F8-$H$42)+$H$67</f>
        <v>22.663567388159599</v>
      </c>
      <c r="J8" s="128">
        <f>(G8-$H$42)+$H$67</f>
        <v>23.127377355200615</v>
      </c>
      <c r="K8" s="101">
        <f>((H8-'CalibrationB. hydrogenotrophica'!$D$45)/('CalibrationB. hydrogenotrophica'!$D$44))+$B$24</f>
        <v>8.1043389717585956</v>
      </c>
      <c r="L8" s="101">
        <f>((I8-'CalibrationB. hydrogenotrophica'!$D$45)/('CalibrationB. hydrogenotrophica'!$D$44))+$B$24</f>
        <v>8.0327860258803234</v>
      </c>
      <c r="M8" s="101">
        <f>((J8-'CalibrationB. hydrogenotrophica'!$D$45)/('CalibrationB. hydrogenotrophica'!$D$44))+$B$24</f>
        <v>7.9165225292666292</v>
      </c>
      <c r="N8" s="112">
        <f t="shared" si="0"/>
        <v>8.0178825089685173</v>
      </c>
      <c r="O8" s="112">
        <f t="shared" si="1"/>
        <v>9.4791034016092082E-2</v>
      </c>
      <c r="P8" s="113">
        <f>(AVERAGE(POWER(10,K8),POWER(10,L8),POWER(10,M8)))*Calculation!$I8/Calculation!$K7</f>
        <v>105837058.04176788</v>
      </c>
      <c r="Q8" s="113">
        <f>(STDEV(POWER(10,K8),POWER(10,L8),POWER(10,M8)))*Calculation!$I8/Calculation!$K7</f>
        <v>22389192.811531015</v>
      </c>
      <c r="R8" s="112">
        <f t="shared" si="2"/>
        <v>8.0246377592408216</v>
      </c>
      <c r="S8" s="112">
        <f>O8*Calculation!$I8/Calculation!$K7</f>
        <v>9.4791034016092082E-2</v>
      </c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1:29">
      <c r="A9" s="32">
        <v>5</v>
      </c>
      <c r="B9" s="63">
        <v>80</v>
      </c>
      <c r="C9" s="64">
        <f t="shared" si="3"/>
        <v>440</v>
      </c>
      <c r="D9" s="62">
        <v>7.333333333333333</v>
      </c>
      <c r="E9" s="126"/>
      <c r="F9" s="126"/>
      <c r="G9" s="127"/>
      <c r="H9" s="128">
        <f>(E9-$H$42)+$H$67</f>
        <v>-2.9797708886301066E-2</v>
      </c>
      <c r="I9" s="128">
        <f>(F9-$H$42)+$H$67</f>
        <v>-2.9797708886301066E-2</v>
      </c>
      <c r="J9" s="128">
        <f>(G9-$H$42)+$H$67</f>
        <v>-2.9797708886301066E-2</v>
      </c>
      <c r="K9" s="101">
        <f>((H9-'CalibrationB. hydrogenotrophica'!$D$45)/('CalibrationB. hydrogenotrophica'!$D$44))+$B$24</f>
        <v>13.721344193239485</v>
      </c>
      <c r="L9" s="101">
        <f>((I9-'CalibrationB. hydrogenotrophica'!$D$45)/('CalibrationB. hydrogenotrophica'!$D$44))+$B$24</f>
        <v>13.721344193239485</v>
      </c>
      <c r="M9" s="101">
        <f>((J9-'CalibrationB. hydrogenotrophica'!$D$45)/('CalibrationB. hydrogenotrophica'!$D$44))+$B$24</f>
        <v>13.721344193239485</v>
      </c>
      <c r="N9" s="112">
        <f t="shared" si="0"/>
        <v>13.721344193239483</v>
      </c>
      <c r="O9" s="112">
        <f t="shared" si="1"/>
        <v>2.1755839288168292E-15</v>
      </c>
      <c r="P9" s="113">
        <f>(AVERAGE(POWER(10,K9),POWER(10,L9),POWER(10,M9)))*Calculation!$I9/Calculation!$K8</f>
        <v>52643431831800.062</v>
      </c>
      <c r="Q9" s="113">
        <f>(STDEV(POWER(10,K9),POWER(10,L9),POWER(10,M9)))*Calculation!$I9/Calculation!$K8</f>
        <v>0</v>
      </c>
      <c r="R9" s="112">
        <f t="shared" si="2"/>
        <v>13.721344193239487</v>
      </c>
      <c r="S9" s="112">
        <f>O9*Calculation!$I9/Calculation!$K8</f>
        <v>2.1755839288168292E-15</v>
      </c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spans="1:29">
      <c r="A10" s="32">
        <v>6</v>
      </c>
      <c r="B10" s="63">
        <v>80</v>
      </c>
      <c r="C10" s="64">
        <f t="shared" si="3"/>
        <v>520</v>
      </c>
      <c r="D10" s="62">
        <v>8.6666666666666661</v>
      </c>
      <c r="E10" s="126"/>
      <c r="F10" s="126"/>
      <c r="G10" s="127"/>
      <c r="H10" s="128">
        <f>(E10-$H$42)+$H$67</f>
        <v>-2.9797708886301066E-2</v>
      </c>
      <c r="I10" s="128">
        <f>(F10-$H$42)+$H$67</f>
        <v>-2.9797708886301066E-2</v>
      </c>
      <c r="J10" s="128">
        <f>(G10-$H$42)+$H$67</f>
        <v>-2.9797708886301066E-2</v>
      </c>
      <c r="K10" s="101">
        <f>((H10-'CalibrationB. hydrogenotrophica'!$D$45)/('CalibrationB. hydrogenotrophica'!$D$44))+$B$24</f>
        <v>13.721344193239485</v>
      </c>
      <c r="L10" s="101">
        <f>((I10-'CalibrationB. hydrogenotrophica'!$D$45)/('CalibrationB. hydrogenotrophica'!$D$44))+$B$24</f>
        <v>13.721344193239485</v>
      </c>
      <c r="M10" s="101">
        <f>((J10-'CalibrationB. hydrogenotrophica'!$D$45)/('CalibrationB. hydrogenotrophica'!$D$44))+$B$24</f>
        <v>13.721344193239485</v>
      </c>
      <c r="N10" s="112">
        <f t="shared" si="0"/>
        <v>13.721344193239483</v>
      </c>
      <c r="O10" s="112">
        <f t="shared" si="1"/>
        <v>2.1755839288168292E-15</v>
      </c>
      <c r="P10" s="113">
        <f>(AVERAGE(POWER(10,K10),POWER(10,L10),POWER(10,M10)))*Calculation!$I10/Calculation!$K9</f>
        <v>52643431831800.062</v>
      </c>
      <c r="Q10" s="113">
        <f>(STDEV(POWER(10,K10),POWER(10,L10),POWER(10,M10)))*Calculation!$I10/Calculation!$K9</f>
        <v>0</v>
      </c>
      <c r="R10" s="112">
        <f t="shared" si="2"/>
        <v>13.721344193239487</v>
      </c>
      <c r="S10" s="112">
        <f>O10*Calculation!$I10/Calculation!$K9</f>
        <v>2.1755839288168292E-15</v>
      </c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spans="1:29">
      <c r="A11" s="32">
        <v>7</v>
      </c>
      <c r="B11" s="63">
        <v>80</v>
      </c>
      <c r="C11" s="64">
        <f t="shared" si="3"/>
        <v>600</v>
      </c>
      <c r="D11" s="62">
        <v>10</v>
      </c>
      <c r="E11" s="126">
        <v>19.404396057128906</v>
      </c>
      <c r="F11" s="126">
        <v>20.827367782592773</v>
      </c>
      <c r="G11" s="127">
        <v>20.362831115722656</v>
      </c>
      <c r="H11" s="128">
        <f>(E11-$H$42)+$H$67</f>
        <v>19.374598348242607</v>
      </c>
      <c r="I11" s="128">
        <f>(F11-$H$42)+$H$67</f>
        <v>20.797570073706474</v>
      </c>
      <c r="J11" s="128">
        <f>(G11-$H$42)+$H$67</f>
        <v>20.333033406836357</v>
      </c>
      <c r="K11" s="101">
        <f>((H11-'CalibrationB. hydrogenotrophica'!$D$45)/('CalibrationB. hydrogenotrophica'!$D$44))+$B$24</f>
        <v>8.857233683343285</v>
      </c>
      <c r="L11" s="101">
        <f>((I11-'CalibrationB. hydrogenotrophica'!$D$45)/('CalibrationB. hydrogenotrophica'!$D$44))+$B$24</f>
        <v>8.5005365872452572</v>
      </c>
      <c r="M11" s="101">
        <f>((J11-'CalibrationB. hydrogenotrophica'!$D$45)/('CalibrationB. hydrogenotrophica'!$D$44))+$B$24</f>
        <v>8.616982246100223</v>
      </c>
      <c r="N11" s="112">
        <f t="shared" si="0"/>
        <v>8.6582508388962562</v>
      </c>
      <c r="O11" s="112">
        <f t="shared" si="1"/>
        <v>0.18189427466172473</v>
      </c>
      <c r="P11" s="113">
        <f>(AVERAGE(POWER(10,K11),POWER(10,L11),POWER(10,M11)))*Calculation!$I11/Calculation!$K10</f>
        <v>483479223.33334571</v>
      </c>
      <c r="Q11" s="113">
        <f>(STDEV(POWER(10,K11),POWER(10,L11),POWER(10,M11)))*Calculation!$I11/Calculation!$K10</f>
        <v>210400580.05167633</v>
      </c>
      <c r="R11" s="112">
        <f t="shared" si="2"/>
        <v>8.6843778157808504</v>
      </c>
      <c r="S11" s="112">
        <f>O11*Calculation!$I11/Calculation!$K10</f>
        <v>0.18189427466172473</v>
      </c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 spans="1:29">
      <c r="A12" s="32">
        <v>8</v>
      </c>
      <c r="B12" s="63">
        <v>80</v>
      </c>
      <c r="C12" s="64">
        <f t="shared" si="3"/>
        <v>680</v>
      </c>
      <c r="D12" s="62">
        <v>11.333333333333334</v>
      </c>
      <c r="E12" s="126">
        <v>18.146516799926758</v>
      </c>
      <c r="F12" s="126">
        <v>18.88238525390625</v>
      </c>
      <c r="G12" s="127">
        <v>19.070077896118164</v>
      </c>
      <c r="H12" s="128">
        <f>(E12-$H$42)+$H$67</f>
        <v>18.116719091040459</v>
      </c>
      <c r="I12" s="128">
        <f>(F12-$H$42)+$H$67</f>
        <v>18.852587545019951</v>
      </c>
      <c r="J12" s="128">
        <f>(G12-$H$42)+$H$67</f>
        <v>19.040280187231865</v>
      </c>
      <c r="K12" s="101">
        <f>((H12-'CalibrationB. hydrogenotrophica'!$D$45)/('CalibrationB. hydrogenotrophica'!$D$44))+$B$24</f>
        <v>9.1725469606606467</v>
      </c>
      <c r="L12" s="101">
        <f>((I12-'CalibrationB. hydrogenotrophica'!$D$45)/('CalibrationB. hydrogenotrophica'!$D$44))+$B$24</f>
        <v>8.9880864152066842</v>
      </c>
      <c r="M12" s="101">
        <f>((J12-'CalibrationB. hydrogenotrophica'!$D$45)/('CalibrationB. hydrogenotrophica'!$D$44))+$B$24</f>
        <v>8.9410373985341067</v>
      </c>
      <c r="N12" s="112">
        <f>AVERAGE(K12:M12)</f>
        <v>9.0338902581338125</v>
      </c>
      <c r="O12" s="112">
        <f>STDEV(K12:M12)</f>
        <v>0.12236283487716092</v>
      </c>
      <c r="P12" s="113">
        <f>(AVERAGE(POWER(10,K12),POWER(10,L12),POWER(10,M12)))*Calculation!$I12/Calculation!$K11</f>
        <v>1112252110.1008441</v>
      </c>
      <c r="Q12" s="113">
        <f>(STDEV(POWER(10,K12),POWER(10,L12),POWER(10,M12)))*Calculation!$I12/Calculation!$K11</f>
        <v>330191778.52221024</v>
      </c>
      <c r="R12" s="112">
        <f>LOG(P12)</f>
        <v>9.0462032383394195</v>
      </c>
      <c r="S12" s="112">
        <f>O12*Calculation!$I12/Calculation!$K11</f>
        <v>0.12247150524561309</v>
      </c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spans="1:29">
      <c r="A13" s="32">
        <v>9</v>
      </c>
      <c r="B13" s="63">
        <v>80</v>
      </c>
      <c r="C13" s="64">
        <f t="shared" si="3"/>
        <v>760</v>
      </c>
      <c r="D13" s="62">
        <v>12.666666666666666</v>
      </c>
      <c r="E13" s="126">
        <v>17.718870162963867</v>
      </c>
      <c r="F13" s="126">
        <v>19.044750213623047</v>
      </c>
      <c r="G13" s="127">
        <v>18.412155151367188</v>
      </c>
      <c r="H13" s="128">
        <f>(E13-$H$42)+$H$67</f>
        <v>17.689072454077568</v>
      </c>
      <c r="I13" s="128">
        <f>(F13-$H$42)+$H$67</f>
        <v>19.014952504736748</v>
      </c>
      <c r="J13" s="128">
        <f>(G13-$H$42)+$H$67</f>
        <v>18.382357442480888</v>
      </c>
      <c r="K13" s="101">
        <f>((H13-'CalibrationB. hydrogenotrophica'!$D$45)/('CalibrationB. hydrogenotrophica'!$D$44))+$B$24</f>
        <v>9.2797453756614967</v>
      </c>
      <c r="L13" s="101">
        <f>((I13-'CalibrationB. hydrogenotrophica'!$D$45)/('CalibrationB. hydrogenotrophica'!$D$44))+$B$24</f>
        <v>8.9473863024759304</v>
      </c>
      <c r="M13" s="101">
        <f>((J13-'CalibrationB. hydrogenotrophica'!$D$45)/('CalibrationB. hydrogenotrophica'!$D$44))+$B$24</f>
        <v>9.1059592506763316</v>
      </c>
      <c r="N13" s="112">
        <f t="shared" si="0"/>
        <v>9.111030309604585</v>
      </c>
      <c r="O13" s="112">
        <f t="shared" si="1"/>
        <v>0.16623755625965672</v>
      </c>
      <c r="P13" s="113">
        <f>(AVERAGE(POWER(10,K13),POWER(10,L13),POWER(10,M13)))*Calculation!$I13/Calculation!$K12</f>
        <v>1357979810.0449073</v>
      </c>
      <c r="Q13" s="113">
        <f>(STDEV(POWER(10,K13),POWER(10,L13),POWER(10,M13)))*Calculation!$I13/Calculation!$K12</f>
        <v>514750815.71459842</v>
      </c>
      <c r="R13" s="112">
        <f t="shared" si="2"/>
        <v>9.1328933130584229</v>
      </c>
      <c r="S13" s="112">
        <f>O13*Calculation!$I13/Calculation!$K12</f>
        <v>0.16653896733789941</v>
      </c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1:29">
      <c r="A14" s="32">
        <v>10</v>
      </c>
      <c r="B14" s="63">
        <v>80</v>
      </c>
      <c r="C14" s="64">
        <f t="shared" si="3"/>
        <v>840</v>
      </c>
      <c r="D14" s="62">
        <v>14</v>
      </c>
      <c r="E14" s="126">
        <v>17.937906265258789</v>
      </c>
      <c r="F14" s="126">
        <v>18.807945251464844</v>
      </c>
      <c r="G14" s="127">
        <v>18.675079345703125</v>
      </c>
      <c r="H14" s="128">
        <f>(E14-$H$42)+$H$67</f>
        <v>17.90810855637249</v>
      </c>
      <c r="I14" s="128">
        <f>(F14-$H$42)+$H$67</f>
        <v>18.778147542578544</v>
      </c>
      <c r="J14" s="128">
        <f>(G14-$H$42)+$H$67</f>
        <v>18.645281636816826</v>
      </c>
      <c r="K14" s="101">
        <f>((H14-'CalibrationB. hydrogenotrophica'!$D$45)/('CalibrationB. hydrogenotrophica'!$D$44))+$B$24</f>
        <v>9.2248394768083344</v>
      </c>
      <c r="L14" s="101">
        <f>((I14-'CalibrationB. hydrogenotrophica'!$D$45)/('CalibrationB. hydrogenotrophica'!$D$44))+$B$24</f>
        <v>9.0067463310920282</v>
      </c>
      <c r="M14" s="101">
        <f>((J14-'CalibrationB. hydrogenotrophica'!$D$45)/('CalibrationB. hydrogenotrophica'!$D$44))+$B$24</f>
        <v>9.0400518999290984</v>
      </c>
      <c r="N14" s="112">
        <f t="shared" si="0"/>
        <v>9.0905459026098203</v>
      </c>
      <c r="O14" s="112">
        <f t="shared" si="1"/>
        <v>0.11748782184613457</v>
      </c>
      <c r="P14" s="113">
        <f>(AVERAGE(POWER(10,K14),POWER(10,L14),POWER(10,M14)))*Calculation!$I14/Calculation!$K13</f>
        <v>1266995365.0765865</v>
      </c>
      <c r="Q14" s="113">
        <f>(STDEV(POWER(10,K14),POWER(10,L14),POWER(10,M14)))*Calculation!$I14/Calculation!$K13</f>
        <v>362420079.20575374</v>
      </c>
      <c r="R14" s="112">
        <f t="shared" si="2"/>
        <v>9.1027750261499421</v>
      </c>
      <c r="S14" s="112">
        <f>O14*Calculation!$I14/Calculation!$K13</f>
        <v>0.11781445394271328</v>
      </c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1:29">
      <c r="A15" s="32">
        <v>11</v>
      </c>
      <c r="B15" s="63">
        <v>80</v>
      </c>
      <c r="C15" s="64">
        <f t="shared" si="3"/>
        <v>920</v>
      </c>
      <c r="D15" s="62">
        <v>15.333333333333334</v>
      </c>
      <c r="E15" s="126">
        <v>17.106225967407227</v>
      </c>
      <c r="F15" s="126">
        <v>18.008907318115234</v>
      </c>
      <c r="G15" s="127">
        <v>17.644617080688477</v>
      </c>
      <c r="H15" s="128">
        <f>(E15-$H$42)+$H$67</f>
        <v>17.076428258520927</v>
      </c>
      <c r="I15" s="128">
        <f>(F15-$H$42)+$H$67</f>
        <v>17.979109609228935</v>
      </c>
      <c r="J15" s="128">
        <f>(G15-$H$42)+$H$67</f>
        <v>17.614819371802177</v>
      </c>
      <c r="K15" s="101">
        <f>((H15-'CalibrationB. hydrogenotrophica'!$D$45)/('CalibrationB. hydrogenotrophica'!$D$44))+$B$24</f>
        <v>9.4333172292590302</v>
      </c>
      <c r="L15" s="101">
        <f>((I15-'CalibrationB. hydrogenotrophica'!$D$45)/('CalibrationB. hydrogenotrophica'!$D$44))+$B$24</f>
        <v>9.207041604285223</v>
      </c>
      <c r="M15" s="101">
        <f>((J15-'CalibrationB. hydrogenotrophica'!$D$45)/('CalibrationB. hydrogenotrophica'!$D$44))+$B$24</f>
        <v>9.2983584361671969</v>
      </c>
      <c r="N15" s="112">
        <f t="shared" si="0"/>
        <v>9.3129057565704851</v>
      </c>
      <c r="O15" s="112">
        <f t="shared" si="1"/>
        <v>0.11383708979286435</v>
      </c>
      <c r="P15" s="113">
        <f>(AVERAGE(POWER(10,K15),POWER(10,L15),POWER(10,M15)))*Calculation!$I15/Calculation!$K14</f>
        <v>2111545689.0930934</v>
      </c>
      <c r="Q15" s="113">
        <f>(STDEV(POWER(10,K15),POWER(10,L15),POWER(10,M15)))*Calculation!$I15/Calculation!$K14</f>
        <v>561870975.79393971</v>
      </c>
      <c r="R15" s="112">
        <f t="shared" si="2"/>
        <v>9.3246004830170666</v>
      </c>
      <c r="S15" s="112">
        <f>O15*Calculation!$I15/Calculation!$K14</f>
        <v>0.11426876264358171</v>
      </c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1:29">
      <c r="A16" s="32">
        <v>12</v>
      </c>
      <c r="B16" s="63">
        <v>80</v>
      </c>
      <c r="C16" s="64">
        <f t="shared" si="3"/>
        <v>1000</v>
      </c>
      <c r="D16" s="62">
        <v>16.666666666666668</v>
      </c>
      <c r="E16" s="126">
        <v>16.387786865234375</v>
      </c>
      <c r="F16" s="126">
        <v>17.09514045715332</v>
      </c>
      <c r="G16" s="127">
        <v>17.580102920532227</v>
      </c>
      <c r="H16" s="128">
        <f>(E16-$H$42)+$H$67</f>
        <v>16.357989156348076</v>
      </c>
      <c r="I16" s="128">
        <f>(F16-$H$42)+$H$67</f>
        <v>17.065342748267021</v>
      </c>
      <c r="J16" s="128">
        <f>(G16-$H$42)+$H$67</f>
        <v>17.550305211645927</v>
      </c>
      <c r="K16" s="101">
        <f>((H16-'CalibrationB. hydrogenotrophica'!$D$45)/('CalibrationB. hydrogenotrophica'!$D$44))+$B$24</f>
        <v>9.6134087496192056</v>
      </c>
      <c r="L16" s="101">
        <f>((I16-'CalibrationB. hydrogenotrophica'!$D$45)/('CalibrationB. hydrogenotrophica'!$D$44))+$B$24</f>
        <v>9.4360960401416172</v>
      </c>
      <c r="M16" s="101">
        <f>((J16-'CalibrationB. hydrogenotrophica'!$D$45)/('CalibrationB. hydrogenotrophica'!$D$44))+$B$24</f>
        <v>9.3145302357701976</v>
      </c>
      <c r="N16" s="112">
        <f t="shared" si="0"/>
        <v>9.4546783418436746</v>
      </c>
      <c r="O16" s="112">
        <f t="shared" si="1"/>
        <v>0.1503032533332449</v>
      </c>
      <c r="P16" s="113">
        <f>(AVERAGE(POWER(10,K16),POWER(10,L16),POWER(10,M16)))*Calculation!$I16/Calculation!$K15</f>
        <v>2980616120.1630545</v>
      </c>
      <c r="Q16" s="113">
        <f>(STDEV(POWER(10,K16),POWER(10,L16),POWER(10,M16)))*Calculation!$I16/Calculation!$K15</f>
        <v>1046792551.6752471</v>
      </c>
      <c r="R16" s="112">
        <f t="shared" si="2"/>
        <v>9.4743060459318755</v>
      </c>
      <c r="S16" s="112">
        <f>O16*Calculation!$I16/Calculation!$K15</f>
        <v>0.15103319950706345</v>
      </c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1:29">
      <c r="A17" s="32">
        <v>13</v>
      </c>
      <c r="B17" s="63">
        <v>80</v>
      </c>
      <c r="C17" s="64">
        <f t="shared" si="3"/>
        <v>1080</v>
      </c>
      <c r="D17" s="62">
        <v>18</v>
      </c>
      <c r="E17" s="126">
        <v>16.624059677124023</v>
      </c>
      <c r="F17" s="126">
        <v>17.716968536376953</v>
      </c>
      <c r="G17" s="127">
        <v>16.856039047241211</v>
      </c>
      <c r="H17" s="128">
        <f>(E17-$H$42)+$H$67</f>
        <v>16.594261968237724</v>
      </c>
      <c r="I17" s="128">
        <f>(F17-$H$42)+$H$67</f>
        <v>17.687170827490654</v>
      </c>
      <c r="J17" s="128">
        <f>(G17-$H$42)+$H$67</f>
        <v>16.826241338354912</v>
      </c>
      <c r="K17" s="101">
        <f>((H17-'CalibrationB. hydrogenotrophica'!$D$45)/('CalibrationB. hydrogenotrophica'!$D$44))+$B$24</f>
        <v>9.5541821154002591</v>
      </c>
      <c r="L17" s="101">
        <f>((I17-'CalibrationB. hydrogenotrophica'!$D$45)/('CalibrationB. hydrogenotrophica'!$D$44))+$B$24</f>
        <v>9.2802220574319616</v>
      </c>
      <c r="M17" s="101">
        <f>((J17-'CalibrationB. hydrogenotrophica'!$D$45)/('CalibrationB. hydrogenotrophica'!$D$44))+$B$24</f>
        <v>9.4960317205647762</v>
      </c>
      <c r="N17" s="112">
        <f t="shared" si="0"/>
        <v>9.4434786311323329</v>
      </c>
      <c r="O17" s="112">
        <f t="shared" si="1"/>
        <v>0.14434298994814077</v>
      </c>
      <c r="P17" s="113">
        <f>(AVERAGE(POWER(10,K17),POWER(10,L17),POWER(10,M17)))*Calculation!$I17/Calculation!$K16</f>
        <v>2888096938.0010748</v>
      </c>
      <c r="Q17" s="113">
        <f>(STDEV(POWER(10,K17),POWER(10,L17),POWER(10,M17)))*Calculation!$I17/Calculation!$K16</f>
        <v>871811846.69669008</v>
      </c>
      <c r="R17" s="112">
        <f t="shared" si="2"/>
        <v>9.4606117660902669</v>
      </c>
      <c r="S17" s="112">
        <f>O17*Calculation!$I17/Calculation!$K16</f>
        <v>0.14504399016532546</v>
      </c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1:29">
      <c r="A18" s="32">
        <v>14</v>
      </c>
      <c r="B18" s="63">
        <v>360</v>
      </c>
      <c r="C18" s="64">
        <f t="shared" si="3"/>
        <v>1440</v>
      </c>
      <c r="D18" s="62">
        <v>24</v>
      </c>
      <c r="E18" s="126">
        <v>17.022834777832031</v>
      </c>
      <c r="F18" s="126">
        <v>17.163707733154297</v>
      </c>
      <c r="G18" s="127">
        <v>17.712930679321289</v>
      </c>
      <c r="H18" s="128">
        <f>(E18-$H$42)+$H$67</f>
        <v>16.993037068945732</v>
      </c>
      <c r="I18" s="128">
        <f>(F18-$H$42)+$H$67</f>
        <v>17.133910024267998</v>
      </c>
      <c r="J18" s="128">
        <f>(G18-$H$42)+$H$67</f>
        <v>17.68313297043499</v>
      </c>
      <c r="K18" s="101">
        <f>((H18-'CalibrationB. hydrogenotrophica'!$D$45)/('CalibrationB. hydrogenotrophica'!$D$44))+$B$24</f>
        <v>9.454220944090002</v>
      </c>
      <c r="L18" s="101">
        <f>((I18-'CalibrationB. hydrogenotrophica'!$D$45)/('CalibrationB. hydrogenotrophica'!$D$44))+$B$24</f>
        <v>9.418908243786122</v>
      </c>
      <c r="M18" s="101">
        <f>((J18-'CalibrationB. hydrogenotrophica'!$D$45)/('CalibrationB. hydrogenotrophica'!$D$44))+$B$24</f>
        <v>9.2812342292555048</v>
      </c>
      <c r="N18" s="112">
        <f t="shared" si="0"/>
        <v>9.3847878057105429</v>
      </c>
      <c r="O18" s="112">
        <f t="shared" si="1"/>
        <v>9.1401608837919174E-2</v>
      </c>
      <c r="P18" s="113">
        <f>(AVERAGE(POWER(10,K18),POWER(10,L18),POWER(10,M18)))*Calculation!$I18/Calculation!$K17</f>
        <v>2472099810.6491122</v>
      </c>
      <c r="Q18" s="113">
        <f>(STDEV(POWER(10,K18),POWER(10,L18),POWER(10,M18)))*Calculation!$I18/Calculation!$K17</f>
        <v>490859876.4297604</v>
      </c>
      <c r="R18" s="112">
        <f t="shared" si="2"/>
        <v>9.393066001343584</v>
      </c>
      <c r="S18" s="112">
        <f>O18*Calculation!$I18/Calculation!$K17</f>
        <v>9.1845499792855279E-2</v>
      </c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 spans="1:29">
      <c r="A19" s="32">
        <v>15</v>
      </c>
      <c r="B19" s="63">
        <v>360</v>
      </c>
      <c r="C19" s="64">
        <f>C18+B19</f>
        <v>1800</v>
      </c>
      <c r="D19" s="62">
        <v>30</v>
      </c>
      <c r="E19" s="126">
        <v>16.953031539916992</v>
      </c>
      <c r="F19" s="126">
        <v>17.285127639770508</v>
      </c>
      <c r="G19" s="127">
        <v>17.614387512207031</v>
      </c>
      <c r="H19" s="128">
        <f>(E19-$H$42)+$H$67</f>
        <v>16.923233831030693</v>
      </c>
      <c r="I19" s="128">
        <f>(F19-$H$42)+$H$67</f>
        <v>17.255329930884209</v>
      </c>
      <c r="J19" s="128">
        <f>(G19-$H$42)+$H$67</f>
        <v>17.584589803320732</v>
      </c>
      <c r="K19" s="101">
        <f>((H19-'CalibrationB. hydrogenotrophica'!$D$45)/('CalibrationB. hydrogenotrophica'!$D$44))+$B$24</f>
        <v>9.4717185596904923</v>
      </c>
      <c r="L19" s="101">
        <f>((I19-'CalibrationB. hydrogenotrophica'!$D$45)/('CalibrationB. hydrogenotrophica'!$D$44))+$B$24</f>
        <v>9.3884718497780977</v>
      </c>
      <c r="M19" s="101">
        <f>((J19-'CalibrationB. hydrogenotrophica'!$D$45)/('CalibrationB. hydrogenotrophica'!$D$44))+$B$24</f>
        <v>9.3059360985343904</v>
      </c>
      <c r="N19" s="112">
        <f t="shared" si="0"/>
        <v>9.388708836000994</v>
      </c>
      <c r="O19" s="112">
        <f t="shared" si="1"/>
        <v>8.2891484656724454E-2</v>
      </c>
      <c r="P19" s="113">
        <f>(AVERAGE(POWER(10,K19),POWER(10,L19),POWER(10,M19)))*Calculation!$I19/Calculation!$K18</f>
        <v>2536296852.0346498</v>
      </c>
      <c r="Q19" s="113">
        <f>(STDEV(POWER(10,K19),POWER(10,L19),POWER(10,M19)))*Calculation!$I19/Calculation!$K18</f>
        <v>482093579.8156932</v>
      </c>
      <c r="R19" s="112">
        <f t="shared" si="2"/>
        <v>9.4042000826701564</v>
      </c>
      <c r="S19" s="112">
        <f>O19*Calculation!$I19/Calculation!$K18</f>
        <v>8.4867611388905279E-2</v>
      </c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1:29">
      <c r="A20" s="32">
        <v>16</v>
      </c>
      <c r="B20" s="63">
        <v>1080</v>
      </c>
      <c r="C20" s="64">
        <f>C19+B20</f>
        <v>2880</v>
      </c>
      <c r="D20" s="62">
        <v>48</v>
      </c>
      <c r="E20" s="126">
        <v>16.879415512084961</v>
      </c>
      <c r="F20" s="126">
        <v>17.259498596191406</v>
      </c>
      <c r="G20" s="127">
        <v>17.192264556884766</v>
      </c>
      <c r="H20" s="128">
        <f>(E20-$H$42)+$H$67</f>
        <v>16.849617803198662</v>
      </c>
      <c r="I20" s="128">
        <f>(F20-$H$42)+$H$67</f>
        <v>17.229700887305107</v>
      </c>
      <c r="J20" s="128">
        <f>(G20-$H$42)+$H$67</f>
        <v>17.162466847998466</v>
      </c>
      <c r="K20" s="101">
        <f>((H20-'CalibrationB. hydrogenotrophica'!$D$45)/('CalibrationB. hydrogenotrophica'!$D$44))+$B$24</f>
        <v>9.4901719294125062</v>
      </c>
      <c r="L20" s="101">
        <f>((I20-'CalibrationB. hydrogenotrophica'!$D$45)/('CalibrationB. hydrogenotrophica'!$D$44))+$B$24</f>
        <v>9.3948962960666957</v>
      </c>
      <c r="M20" s="101">
        <f>((J20-'CalibrationB. hydrogenotrophica'!$D$45)/('CalibrationB. hydrogenotrophica'!$D$44))+$B$24</f>
        <v>9.4117498892551339</v>
      </c>
      <c r="N20" s="112">
        <f t="shared" si="0"/>
        <v>9.4322727049114459</v>
      </c>
      <c r="O20" s="112">
        <f t="shared" si="1"/>
        <v>5.0845364087677966E-2</v>
      </c>
      <c r="P20" s="113">
        <f>(AVERAGE(POWER(10,K20),POWER(10,L20),POWER(10,M20)))*Calculation!$I20/Calculation!$K19</f>
        <v>2798003817.9723945</v>
      </c>
      <c r="Q20" s="113">
        <f>(STDEV(POWER(10,K20),POWER(10,L20),POWER(10,M20)))*Calculation!$I20/Calculation!$K19</f>
        <v>336536248.60479468</v>
      </c>
      <c r="R20" s="112">
        <f>LOG(P20)</f>
        <v>9.4468483027659627</v>
      </c>
      <c r="S20" s="112">
        <f>O20*Calculation!$I20/Calculation!$K19</f>
        <v>5.2336642486343399E-2</v>
      </c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1:29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1:29">
      <c r="A22" s="115"/>
      <c r="B22" s="116"/>
      <c r="C22" s="115"/>
      <c r="D22" s="116"/>
      <c r="E22" s="117"/>
      <c r="F22" s="117"/>
      <c r="G22" s="118"/>
      <c r="H22" s="114"/>
      <c r="I22" s="114"/>
      <c r="J22" s="114"/>
      <c r="K22" s="118"/>
      <c r="L22" s="118"/>
      <c r="M22" s="118"/>
      <c r="N22" s="119"/>
      <c r="O22" s="119"/>
      <c r="P22" s="120"/>
      <c r="Q22" s="120"/>
      <c r="R22" s="119"/>
      <c r="S22" s="119"/>
      <c r="U22" s="89"/>
      <c r="V22" s="89"/>
      <c r="W22" s="89"/>
      <c r="X22" s="89"/>
      <c r="Y22" s="89"/>
      <c r="Z22" s="89"/>
      <c r="AA22" s="89"/>
      <c r="AB22" s="89"/>
      <c r="AC22" s="89"/>
    </row>
    <row r="23" spans="1:29">
      <c r="A23" s="115"/>
      <c r="B23" s="116"/>
      <c r="C23" s="115"/>
      <c r="D23" s="116"/>
      <c r="E23" s="117"/>
      <c r="F23" s="117"/>
      <c r="G23" s="118"/>
      <c r="H23" s="114"/>
      <c r="I23" s="114"/>
      <c r="J23" s="114"/>
      <c r="K23" s="118"/>
      <c r="L23" s="118"/>
      <c r="M23" s="118"/>
      <c r="N23" s="119"/>
      <c r="O23" s="119"/>
      <c r="P23" s="120"/>
      <c r="Q23" s="120"/>
      <c r="R23" s="119"/>
      <c r="S23" s="119"/>
      <c r="U23" s="89"/>
      <c r="V23" s="89"/>
      <c r="W23" s="89"/>
      <c r="X23" s="89"/>
      <c r="Y23" s="89"/>
      <c r="Z23" s="89"/>
      <c r="AA23" s="89"/>
      <c r="AB23" s="89"/>
      <c r="AC23" s="89"/>
    </row>
    <row r="24" spans="1:29">
      <c r="A24" s="104" t="s">
        <v>234</v>
      </c>
      <c r="B24" s="108">
        <f>LOG(B25)</f>
        <v>3.6532125137753435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1:29">
      <c r="A25" s="103" t="s">
        <v>238</v>
      </c>
      <c r="B25" s="89">
        <f>20*1800/4/2</f>
        <v>4500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1:29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1:29">
      <c r="A27" s="110" t="s">
        <v>240</v>
      </c>
      <c r="E27" s="100">
        <v>11.064262390136719</v>
      </c>
      <c r="F27" s="100">
        <v>11.419097900390625</v>
      </c>
      <c r="G27" s="100"/>
      <c r="H27" s="107">
        <f>AVERAGE(E27:G27)</f>
        <v>11.241680145263672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</row>
    <row r="28" spans="1:29">
      <c r="A28" s="110" t="s">
        <v>242</v>
      </c>
      <c r="E28" s="109">
        <v>10.746070861816406</v>
      </c>
      <c r="F28" s="107">
        <v>10.822755813598633</v>
      </c>
      <c r="G28" s="107">
        <v>10.731834411621094</v>
      </c>
      <c r="H28" s="107">
        <f t="shared" ref="H28:H49" si="4">AVERAGE(E28:G28)</f>
        <v>10.766887029012045</v>
      </c>
    </row>
    <row r="29" spans="1:29">
      <c r="A29" s="110" t="s">
        <v>243</v>
      </c>
      <c r="E29" s="109">
        <v>11.464282989501953</v>
      </c>
      <c r="F29" s="107">
        <v>11.464282989501953</v>
      </c>
      <c r="G29" s="107">
        <v>11.464282989501953</v>
      </c>
      <c r="H29" s="107">
        <f t="shared" si="4"/>
        <v>11.464282989501953</v>
      </c>
    </row>
    <row r="30" spans="1:29">
      <c r="A30" s="110" t="s">
        <v>244</v>
      </c>
      <c r="E30" s="109">
        <v>11.279656410217285</v>
      </c>
      <c r="F30" s="107">
        <v>11.587799072265625</v>
      </c>
      <c r="G30" s="107">
        <v>11.689614295959473</v>
      </c>
      <c r="H30" s="107">
        <f t="shared" si="4"/>
        <v>11.519023259480795</v>
      </c>
    </row>
    <row r="31" spans="1:29">
      <c r="A31" s="110" t="s">
        <v>245</v>
      </c>
      <c r="E31" s="109">
        <v>11.480988502502441</v>
      </c>
      <c r="F31" s="107">
        <v>11.470051765441895</v>
      </c>
      <c r="G31" s="107">
        <v>11.500860214233398</v>
      </c>
      <c r="H31" s="107">
        <f t="shared" si="4"/>
        <v>11.483966827392578</v>
      </c>
    </row>
    <row r="32" spans="1:29">
      <c r="A32" s="110" t="s">
        <v>246</v>
      </c>
      <c r="E32" s="109">
        <v>11.4913330078125</v>
      </c>
      <c r="F32" s="107">
        <v>11.453336715698242</v>
      </c>
      <c r="G32" s="107">
        <v>11.486644744873047</v>
      </c>
      <c r="H32" s="107">
        <f t="shared" si="4"/>
        <v>11.477104822794596</v>
      </c>
    </row>
    <row r="33" spans="1:8">
      <c r="A33" s="110" t="s">
        <v>247</v>
      </c>
      <c r="E33" s="109">
        <v>11.603283882141113</v>
      </c>
      <c r="F33" s="107">
        <v>11.571865081787109</v>
      </c>
      <c r="G33" s="107">
        <v>11.644859313964844</v>
      </c>
      <c r="H33" s="107">
        <f t="shared" si="4"/>
        <v>11.606669425964355</v>
      </c>
    </row>
    <row r="34" spans="1:8">
      <c r="A34" s="110" t="s">
        <v>248</v>
      </c>
      <c r="E34" s="109">
        <v>11.201085090637207</v>
      </c>
      <c r="F34" s="107">
        <v>11.201085090637207</v>
      </c>
      <c r="G34" s="107">
        <v>11.201085090637207</v>
      </c>
      <c r="H34" s="107">
        <f t="shared" si="4"/>
        <v>11.201085090637207</v>
      </c>
    </row>
    <row r="35" spans="1:8">
      <c r="A35" s="110" t="s">
        <v>249</v>
      </c>
      <c r="E35" s="109">
        <v>10.40058422088623</v>
      </c>
      <c r="F35" s="107">
        <v>11.156428337097168</v>
      </c>
      <c r="G35" s="107">
        <v>11.374870300292969</v>
      </c>
      <c r="H35" s="107">
        <f t="shared" si="4"/>
        <v>10.977294286092123</v>
      </c>
    </row>
    <row r="36" spans="1:8">
      <c r="A36" s="110" t="s">
        <v>249</v>
      </c>
      <c r="E36" s="109">
        <v>11.333348274230957</v>
      </c>
      <c r="F36" s="107">
        <v>11.546666145324707</v>
      </c>
      <c r="G36" s="107">
        <v>11.621123313903809</v>
      </c>
      <c r="H36" s="107">
        <f t="shared" si="4"/>
        <v>11.50037924448649</v>
      </c>
    </row>
    <row r="37" spans="1:8">
      <c r="A37" s="110" t="s">
        <v>250</v>
      </c>
      <c r="E37" s="109">
        <v>11.689837455749512</v>
      </c>
      <c r="F37" s="107">
        <v>11.664087295532227</v>
      </c>
      <c r="G37" s="107">
        <v>11.717653274536133</v>
      </c>
      <c r="H37" s="107">
        <f t="shared" si="4"/>
        <v>11.690526008605957</v>
      </c>
    </row>
    <row r="38" spans="1:8">
      <c r="A38" s="110" t="s">
        <v>250</v>
      </c>
      <c r="E38" s="109">
        <v>11.29168701171875</v>
      </c>
      <c r="F38" s="107">
        <v>11.470722198486328</v>
      </c>
      <c r="G38" s="107">
        <v>10.995722770690918</v>
      </c>
      <c r="H38" s="107">
        <f t="shared" si="4"/>
        <v>11.252710660298666</v>
      </c>
    </row>
    <row r="39" spans="1:8">
      <c r="A39" s="110" t="s">
        <v>252</v>
      </c>
      <c r="E39" s="109">
        <v>11.183300018310547</v>
      </c>
      <c r="F39" s="107">
        <v>11.342129707336426</v>
      </c>
      <c r="G39" s="107">
        <v>11.389498710632324</v>
      </c>
      <c r="H39" s="107">
        <f t="shared" si="4"/>
        <v>11.304976145426432</v>
      </c>
    </row>
    <row r="40" spans="1:8">
      <c r="A40" s="110" t="s">
        <v>253</v>
      </c>
      <c r="E40" s="109">
        <v>11.500882148742676</v>
      </c>
      <c r="F40" s="107">
        <v>11.500882148742676</v>
      </c>
      <c r="G40" s="107">
        <v>11.500882148742676</v>
      </c>
      <c r="H40" s="107">
        <f t="shared" si="4"/>
        <v>11.500882148742676</v>
      </c>
    </row>
    <row r="41" spans="1:8">
      <c r="A41" s="110" t="s">
        <v>254</v>
      </c>
      <c r="E41" s="109">
        <v>11.322457313537598</v>
      </c>
      <c r="F41" s="107">
        <v>11.33414363861084</v>
      </c>
      <c r="G41" s="107">
        <v>11.329196929931641</v>
      </c>
      <c r="H41" s="107">
        <f t="shared" si="4"/>
        <v>11.328599294026693</v>
      </c>
    </row>
    <row r="42" spans="1:8">
      <c r="A42" s="110" t="s">
        <v>255</v>
      </c>
      <c r="E42" s="109">
        <v>11.317984580993652</v>
      </c>
      <c r="F42" s="107">
        <v>11.273995399475098</v>
      </c>
      <c r="G42" s="107">
        <v>11.386194229125977</v>
      </c>
      <c r="H42" s="107">
        <f t="shared" si="4"/>
        <v>11.326058069864908</v>
      </c>
    </row>
    <row r="43" spans="1:8">
      <c r="A43" s="110" t="s">
        <v>256</v>
      </c>
      <c r="E43" s="109">
        <v>11.148730278015137</v>
      </c>
      <c r="F43" s="107">
        <v>11.235733032226562</v>
      </c>
      <c r="G43" s="107">
        <v>11.234542846679688</v>
      </c>
      <c r="H43" s="107">
        <f t="shared" si="4"/>
        <v>11.206335385640463</v>
      </c>
    </row>
    <row r="44" spans="1:8">
      <c r="A44" s="110" t="s">
        <v>256</v>
      </c>
      <c r="E44" s="109">
        <v>11.324759483337402</v>
      </c>
      <c r="F44" s="107">
        <v>11.279741287231445</v>
      </c>
      <c r="G44" s="107">
        <v>11.352234840393066</v>
      </c>
      <c r="H44" s="107">
        <f t="shared" si="4"/>
        <v>11.318911870320639</v>
      </c>
    </row>
    <row r="45" spans="1:8">
      <c r="A45" s="110" t="s">
        <v>257</v>
      </c>
      <c r="E45" s="109">
        <v>11.3</v>
      </c>
      <c r="F45" s="107">
        <v>11.4</v>
      </c>
      <c r="G45" s="107">
        <v>11.3</v>
      </c>
      <c r="H45" s="107">
        <f t="shared" si="4"/>
        <v>11.333333333333334</v>
      </c>
    </row>
    <row r="46" spans="1:8">
      <c r="A46" s="110" t="s">
        <v>258</v>
      </c>
      <c r="E46" s="109">
        <v>11.137722969055176</v>
      </c>
      <c r="F46" s="107">
        <v>11.360322952270508</v>
      </c>
      <c r="G46" s="107">
        <v>11.248004913330078</v>
      </c>
      <c r="H46" s="107">
        <f t="shared" si="4"/>
        <v>11.24868361155192</v>
      </c>
    </row>
    <row r="47" spans="1:8">
      <c r="A47" s="110" t="s">
        <v>258</v>
      </c>
      <c r="E47" s="109">
        <v>11.365866661071777</v>
      </c>
      <c r="F47" s="107">
        <v>11.445242881774902</v>
      </c>
      <c r="G47" s="107">
        <v>11.431737899780273</v>
      </c>
      <c r="H47" s="107">
        <f t="shared" si="4"/>
        <v>11.41428248087565</v>
      </c>
    </row>
    <row r="48" spans="1:8">
      <c r="A48" s="58" t="s">
        <v>259</v>
      </c>
      <c r="E48" s="109">
        <v>11.350344657897949</v>
      </c>
      <c r="F48" s="107">
        <v>11.447367668151855</v>
      </c>
      <c r="G48" s="107">
        <v>11.305245399475098</v>
      </c>
      <c r="H48" s="107">
        <f t="shared" si="4"/>
        <v>11.367652575174967</v>
      </c>
    </row>
    <row r="49" spans="1:8">
      <c r="A49" s="58" t="s">
        <v>260</v>
      </c>
      <c r="E49" s="109">
        <v>11.382972717285156</v>
      </c>
      <c r="F49" s="107">
        <v>11.286684036254883</v>
      </c>
      <c r="G49" s="107">
        <v>11.278195381164551</v>
      </c>
      <c r="H49" s="107">
        <f t="shared" si="4"/>
        <v>11.315950711568197</v>
      </c>
    </row>
    <row r="50" spans="1:8">
      <c r="A50" s="58" t="s">
        <v>261</v>
      </c>
      <c r="E50" s="109">
        <v>11.351459503173828</v>
      </c>
      <c r="F50" s="107">
        <v>11.372493743896484</v>
      </c>
      <c r="G50" s="107">
        <v>11.26507568359375</v>
      </c>
      <c r="H50" s="107">
        <f>AVERAGE(E50:G50)</f>
        <v>11.329676310221354</v>
      </c>
    </row>
    <row r="51" spans="1:8">
      <c r="A51" s="58" t="s">
        <v>262</v>
      </c>
      <c r="E51" s="109">
        <v>10.961522102355957</v>
      </c>
      <c r="F51" s="107">
        <v>10.991280555725098</v>
      </c>
      <c r="G51" s="107">
        <v>10.988773345947266</v>
      </c>
      <c r="H51" s="107">
        <f t="shared" ref="H51:H65" si="5">AVERAGE(E51:G51)</f>
        <v>10.980525334676107</v>
      </c>
    </row>
    <row r="52" spans="1:8">
      <c r="A52" s="58" t="s">
        <v>263</v>
      </c>
      <c r="E52" s="109">
        <v>11.455920219421387</v>
      </c>
      <c r="F52" s="107">
        <v>11.47702693939209</v>
      </c>
      <c r="G52" s="107">
        <v>11.41429615020752</v>
      </c>
      <c r="H52" s="107">
        <f t="shared" si="5"/>
        <v>11.449081103006998</v>
      </c>
    </row>
    <row r="53" spans="1:8">
      <c r="A53" s="58" t="s">
        <v>264</v>
      </c>
      <c r="E53" s="109">
        <v>11.481462478637695</v>
      </c>
      <c r="F53" s="107">
        <v>11.294193267822266</v>
      </c>
      <c r="G53" s="107">
        <v>11.30172061920166</v>
      </c>
      <c r="H53" s="107">
        <f t="shared" si="5"/>
        <v>11.359125455220541</v>
      </c>
    </row>
    <row r="54" spans="1:8">
      <c r="A54" s="58" t="s">
        <v>264</v>
      </c>
      <c r="E54" s="109">
        <v>11.333268165588301</v>
      </c>
      <c r="F54" s="107">
        <v>11.3499765396118</v>
      </c>
      <c r="G54" s="107">
        <v>11.688117980956999</v>
      </c>
      <c r="H54" s="107">
        <f t="shared" si="5"/>
        <v>11.4571208953857</v>
      </c>
    </row>
    <row r="55" spans="1:8">
      <c r="A55" s="58" t="s">
        <v>265</v>
      </c>
      <c r="E55" s="109">
        <v>11.225685119628906</v>
      </c>
      <c r="F55" s="107">
        <v>11.295048713684082</v>
      </c>
      <c r="G55" s="107">
        <v>11.326059341430664</v>
      </c>
      <c r="H55" s="107">
        <f t="shared" si="5"/>
        <v>11.282264391581217</v>
      </c>
    </row>
    <row r="56" spans="1:8">
      <c r="A56" s="58" t="s">
        <v>266</v>
      </c>
      <c r="E56" s="109">
        <v>11.361672401428223</v>
      </c>
      <c r="F56" s="107">
        <v>11.304685592651367</v>
      </c>
      <c r="G56" s="107">
        <v>11.405701637268066</v>
      </c>
      <c r="H56" s="107">
        <f t="shared" si="5"/>
        <v>11.357353210449219</v>
      </c>
    </row>
    <row r="57" spans="1:8">
      <c r="A57" s="58" t="s">
        <v>267</v>
      </c>
      <c r="E57" s="109">
        <v>10.911848068237305</v>
      </c>
      <c r="F57" s="107">
        <v>10.950149536132812</v>
      </c>
      <c r="G57" s="107">
        <v>10.982019424438477</v>
      </c>
      <c r="H57" s="107">
        <f t="shared" si="5"/>
        <v>10.948005676269531</v>
      </c>
    </row>
    <row r="58" spans="1:8">
      <c r="A58" s="58" t="s">
        <v>268</v>
      </c>
      <c r="B58" s="58"/>
      <c r="C58" s="58"/>
      <c r="D58" s="89"/>
      <c r="E58" s="109">
        <v>11.097690582275391</v>
      </c>
      <c r="F58" s="107">
        <v>11.199633598327637</v>
      </c>
      <c r="G58" s="107">
        <v>11.211821556091309</v>
      </c>
      <c r="H58" s="107">
        <f t="shared" si="5"/>
        <v>11.169715245564779</v>
      </c>
    </row>
    <row r="59" spans="1:8">
      <c r="A59" s="58" t="s">
        <v>269</v>
      </c>
      <c r="B59" s="58"/>
      <c r="C59" s="58"/>
      <c r="D59" s="89"/>
      <c r="E59" s="109">
        <v>11.383224487304688</v>
      </c>
      <c r="F59" s="107">
        <v>11.329494476318359</v>
      </c>
      <c r="G59" s="107">
        <v>11.243021011352539</v>
      </c>
      <c r="H59" s="107">
        <f t="shared" si="5"/>
        <v>11.318579991658529</v>
      </c>
    </row>
    <row r="60" spans="1:8">
      <c r="A60" s="58" t="s">
        <v>269</v>
      </c>
      <c r="B60" s="58"/>
      <c r="C60" s="58"/>
      <c r="D60" s="89"/>
      <c r="E60" s="109">
        <v>11.171065330505371</v>
      </c>
      <c r="F60" s="107">
        <v>11.234642028808594</v>
      </c>
      <c r="G60" s="107">
        <v>11.325413703918457</v>
      </c>
      <c r="H60" s="107">
        <f>AVERAGE(E60:G60)</f>
        <v>11.243707021077475</v>
      </c>
    </row>
    <row r="61" spans="1:8">
      <c r="A61" s="58" t="s">
        <v>270</v>
      </c>
      <c r="B61" s="165"/>
      <c r="C61" s="89"/>
      <c r="D61" s="89"/>
      <c r="E61" s="109">
        <v>11.431556701660156</v>
      </c>
      <c r="F61" s="107">
        <v>11.393752098083496</v>
      </c>
      <c r="G61" s="107">
        <v>11.470895767211914</v>
      </c>
      <c r="H61" s="107">
        <f t="shared" ref="H61:H63" si="6">AVERAGE(E61:G61)</f>
        <v>11.432068188985189</v>
      </c>
    </row>
    <row r="62" spans="1:8">
      <c r="A62" s="58" t="s">
        <v>270</v>
      </c>
      <c r="B62" s="165"/>
      <c r="C62" s="89"/>
      <c r="D62" s="89"/>
      <c r="E62" s="109">
        <v>11.38902759552002</v>
      </c>
      <c r="F62" s="107">
        <v>11.318164825439453</v>
      </c>
      <c r="G62" s="107">
        <v>11.357851982116699</v>
      </c>
      <c r="H62" s="107">
        <f t="shared" si="6"/>
        <v>11.355014801025391</v>
      </c>
    </row>
    <row r="63" spans="1:8">
      <c r="A63" s="58" t="s">
        <v>271</v>
      </c>
      <c r="B63" s="165"/>
      <c r="C63" s="89"/>
      <c r="D63" s="89"/>
      <c r="E63" s="109">
        <v>10.827228546142578</v>
      </c>
      <c r="F63" s="107">
        <v>10.980537414550781</v>
      </c>
      <c r="G63" s="107">
        <v>10.733705520629883</v>
      </c>
      <c r="H63" s="107">
        <f t="shared" si="6"/>
        <v>10.84715716044108</v>
      </c>
    </row>
    <row r="64" spans="1:8">
      <c r="A64" s="58" t="s">
        <v>272</v>
      </c>
      <c r="B64" s="165"/>
      <c r="C64" s="89"/>
      <c r="D64" s="89"/>
      <c r="E64" s="109">
        <v>11.185029029846191</v>
      </c>
      <c r="F64" s="107">
        <v>11.096076965332031</v>
      </c>
      <c r="G64" s="107">
        <v>11.32984447479248</v>
      </c>
      <c r="H64" s="107">
        <f>AVERAGE(E64:G64)</f>
        <v>11.2036501566569</v>
      </c>
    </row>
    <row r="65" spans="1:8">
      <c r="A65" s="58" t="s">
        <v>272</v>
      </c>
      <c r="B65" s="165"/>
      <c r="C65" s="89"/>
      <c r="D65" s="89"/>
      <c r="E65" s="109">
        <v>11.051477432250977</v>
      </c>
      <c r="F65" s="107">
        <v>10.973122596740723</v>
      </c>
      <c r="G65" s="107">
        <v>10.89690113067627</v>
      </c>
      <c r="H65" s="107">
        <f>AVERAGE(E65:G65)</f>
        <v>10.973833719889322</v>
      </c>
    </row>
    <row r="66" spans="1:8">
      <c r="A66" s="58"/>
    </row>
    <row r="67" spans="1:8">
      <c r="G67" t="s">
        <v>251</v>
      </c>
      <c r="H67" s="111">
        <f>AVERAGE(H27:H65)</f>
        <v>11.296260360978607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2" sqref="H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3" t="s">
        <v>4</v>
      </c>
      <c r="B1" s="133" t="s">
        <v>116</v>
      </c>
      <c r="C1" s="133" t="s">
        <v>116</v>
      </c>
      <c r="D1" s="133" t="s">
        <v>5</v>
      </c>
      <c r="E1" s="133" t="s">
        <v>19</v>
      </c>
      <c r="F1" s="133" t="s">
        <v>24</v>
      </c>
      <c r="G1" s="132" t="s">
        <v>25</v>
      </c>
      <c r="H1" s="129" t="s">
        <v>26</v>
      </c>
      <c r="I1" s="4" t="s">
        <v>27</v>
      </c>
      <c r="J1" s="53" t="s">
        <v>27</v>
      </c>
    </row>
    <row r="2" spans="1:10">
      <c r="A2" s="134"/>
      <c r="B2" s="134"/>
      <c r="C2" s="134"/>
      <c r="D2" s="134"/>
      <c r="E2" s="134"/>
      <c r="F2" s="134"/>
      <c r="G2" s="132"/>
      <c r="H2" s="129"/>
      <c r="I2" s="5" t="s">
        <v>28</v>
      </c>
      <c r="J2" s="54" t="s">
        <v>23</v>
      </c>
    </row>
    <row r="3" spans="1:10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0">
        <v>1</v>
      </c>
      <c r="F3" s="50">
        <v>8.5999999999999993E-2</v>
      </c>
      <c r="G3" s="50">
        <v>8.5999999999999993E-2</v>
      </c>
      <c r="H3" s="50">
        <v>8.5999999999999993E-2</v>
      </c>
      <c r="I3" s="51">
        <f>E3*(AVERAGE(F3:H3)*1.6007-0.0118)</f>
        <v>0.12586020000000001</v>
      </c>
      <c r="J3" s="51">
        <f>E3*(STDEV(F3:H3)*1.6007)</f>
        <v>2.7206696834821082E-17</v>
      </c>
    </row>
    <row r="4" spans="1:10">
      <c r="A4" s="63">
        <v>0</v>
      </c>
      <c r="B4" s="64">
        <v>10</v>
      </c>
      <c r="C4" s="64">
        <v>10</v>
      </c>
      <c r="D4" s="13">
        <f t="shared" ref="D4:D18" si="0">C4/60</f>
        <v>0.16666666666666666</v>
      </c>
      <c r="E4" s="40">
        <v>1</v>
      </c>
      <c r="F4" s="50">
        <v>9.0999999999999998E-2</v>
      </c>
      <c r="G4" s="50">
        <v>9.0999999999999998E-2</v>
      </c>
      <c r="H4" s="50">
        <v>9.0999999999999998E-2</v>
      </c>
      <c r="I4" s="51">
        <f>E4*(AVERAGE(F4:H4)*1.6007-0.0118)</f>
        <v>0.1338637</v>
      </c>
      <c r="J4" s="51">
        <f t="shared" ref="J4:J18" si="1">E4*(STDEV(F4:H4)*1.6007)</f>
        <v>2.7206696834821082E-17</v>
      </c>
    </row>
    <row r="5" spans="1:10">
      <c r="A5" s="63">
        <v>1</v>
      </c>
      <c r="B5" s="64">
        <v>110</v>
      </c>
      <c r="C5" s="64">
        <v>120</v>
      </c>
      <c r="D5" s="13">
        <f t="shared" si="0"/>
        <v>2</v>
      </c>
      <c r="E5" s="40">
        <v>1</v>
      </c>
      <c r="F5" s="50">
        <v>0.1</v>
      </c>
      <c r="G5" s="50">
        <v>0.1</v>
      </c>
      <c r="H5" s="50">
        <v>0.1</v>
      </c>
      <c r="I5" s="51">
        <f t="shared" ref="I5:I19" si="2">E5*(AVERAGE(F5:H5)*1.6007-0.0118)</f>
        <v>0.14827000000000004</v>
      </c>
      <c r="J5" s="51">
        <f t="shared" si="1"/>
        <v>2.7206696834821082E-17</v>
      </c>
    </row>
    <row r="6" spans="1:10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40">
        <v>1</v>
      </c>
      <c r="F6" s="50">
        <v>9.8000000000000004E-2</v>
      </c>
      <c r="G6" s="50">
        <v>9.8000000000000004E-2</v>
      </c>
      <c r="H6" s="50">
        <v>9.8000000000000004E-2</v>
      </c>
      <c r="I6" s="51">
        <f t="shared" si="2"/>
        <v>0.14506860000000002</v>
      </c>
      <c r="J6" s="51">
        <f t="shared" si="1"/>
        <v>2.7206696834821082E-17</v>
      </c>
    </row>
    <row r="7" spans="1:10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40">
        <v>1</v>
      </c>
      <c r="F7" s="50">
        <v>0.113</v>
      </c>
      <c r="G7" s="50">
        <v>0.113</v>
      </c>
      <c r="H7" s="50">
        <v>0.113</v>
      </c>
      <c r="I7" s="51">
        <f t="shared" si="2"/>
        <v>0.16907910000000001</v>
      </c>
      <c r="J7" s="51">
        <f t="shared" si="1"/>
        <v>0</v>
      </c>
    </row>
    <row r="8" spans="1:10">
      <c r="A8" s="63">
        <v>4</v>
      </c>
      <c r="B8" s="64">
        <v>80</v>
      </c>
      <c r="C8" s="64">
        <v>360</v>
      </c>
      <c r="D8" s="13">
        <f t="shared" si="0"/>
        <v>6</v>
      </c>
      <c r="E8" s="40">
        <v>1</v>
      </c>
      <c r="F8" s="50">
        <v>0.127</v>
      </c>
      <c r="G8" s="50">
        <v>0.127</v>
      </c>
      <c r="H8" s="50">
        <v>0.127</v>
      </c>
      <c r="I8" s="51">
        <f t="shared" si="2"/>
        <v>0.19148889999999999</v>
      </c>
      <c r="J8" s="51">
        <f t="shared" si="1"/>
        <v>0</v>
      </c>
    </row>
    <row r="9" spans="1:10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40">
        <v>1</v>
      </c>
      <c r="F9" s="50">
        <v>0.15</v>
      </c>
      <c r="G9" s="50">
        <v>0.15</v>
      </c>
      <c r="H9" s="50">
        <v>0.15</v>
      </c>
      <c r="I9" s="51">
        <f t="shared" si="2"/>
        <v>0.22830499999999998</v>
      </c>
      <c r="J9" s="51">
        <f t="shared" si="1"/>
        <v>0</v>
      </c>
    </row>
    <row r="10" spans="1:10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40">
        <v>1</v>
      </c>
      <c r="F10" s="50">
        <v>0.189</v>
      </c>
      <c r="G10" s="50">
        <v>0.189</v>
      </c>
      <c r="H10" s="50">
        <v>0.189</v>
      </c>
      <c r="I10" s="51">
        <f t="shared" si="2"/>
        <v>0.2907323</v>
      </c>
      <c r="J10" s="51">
        <f t="shared" si="1"/>
        <v>5.4413393669642165E-17</v>
      </c>
    </row>
    <row r="11" spans="1:10">
      <c r="A11" s="63">
        <v>7</v>
      </c>
      <c r="B11" s="64">
        <v>80</v>
      </c>
      <c r="C11" s="64">
        <v>600</v>
      </c>
      <c r="D11" s="13">
        <f t="shared" si="0"/>
        <v>10</v>
      </c>
      <c r="E11" s="40">
        <v>1</v>
      </c>
      <c r="F11" s="50">
        <v>0.245</v>
      </c>
      <c r="G11" s="50">
        <v>0.245</v>
      </c>
      <c r="H11" s="50">
        <v>0.245</v>
      </c>
      <c r="I11" s="51">
        <f t="shared" si="2"/>
        <v>0.38037150000000003</v>
      </c>
      <c r="J11" s="51">
        <f t="shared" si="1"/>
        <v>0</v>
      </c>
    </row>
    <row r="12" spans="1:10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40">
        <v>10</v>
      </c>
      <c r="F12" s="50">
        <v>4.5999999999999999E-2</v>
      </c>
      <c r="G12" s="50">
        <v>4.4999999999999998E-2</v>
      </c>
      <c r="H12" s="50">
        <v>4.3999999999999997E-2</v>
      </c>
      <c r="I12" s="51">
        <f t="shared" si="2"/>
        <v>0.60231500000000016</v>
      </c>
      <c r="J12" s="51">
        <f t="shared" si="1"/>
        <v>1.6007000000000014E-2</v>
      </c>
    </row>
    <row r="13" spans="1:10">
      <c r="A13" s="63">
        <v>9</v>
      </c>
      <c r="B13" s="64">
        <v>80</v>
      </c>
      <c r="C13" s="64">
        <v>760</v>
      </c>
      <c r="D13" s="13">
        <f>C13/60</f>
        <v>12.666666666666666</v>
      </c>
      <c r="E13" s="40">
        <v>10</v>
      </c>
      <c r="F13" s="50">
        <v>7.2999999999999995E-2</v>
      </c>
      <c r="G13" s="50">
        <v>6.6000000000000003E-2</v>
      </c>
      <c r="H13" s="50">
        <v>6.7000000000000004E-2</v>
      </c>
      <c r="I13" s="51">
        <f t="shared" si="2"/>
        <v>0.98114733333333326</v>
      </c>
      <c r="J13" s="51">
        <f t="shared" si="1"/>
        <v>6.0601523927483247E-2</v>
      </c>
    </row>
    <row r="14" spans="1:10">
      <c r="A14" s="63">
        <v>10</v>
      </c>
      <c r="B14" s="64">
        <v>80</v>
      </c>
      <c r="C14" s="64">
        <v>840</v>
      </c>
      <c r="D14" s="13">
        <f t="shared" si="0"/>
        <v>14</v>
      </c>
      <c r="E14" s="40">
        <v>10</v>
      </c>
      <c r="F14" s="50">
        <v>9.1999999999999998E-2</v>
      </c>
      <c r="G14" s="50">
        <v>8.6999999999999994E-2</v>
      </c>
      <c r="H14" s="50">
        <v>9.1999999999999998E-2</v>
      </c>
      <c r="I14" s="51">
        <f t="shared" si="2"/>
        <v>1.3279656666666666</v>
      </c>
      <c r="J14" s="51">
        <f t="shared" si="1"/>
        <v>4.6208228794591744E-2</v>
      </c>
    </row>
    <row r="15" spans="1:10">
      <c r="A15" s="63">
        <v>11</v>
      </c>
      <c r="B15" s="64">
        <v>80</v>
      </c>
      <c r="C15" s="64">
        <v>920</v>
      </c>
      <c r="D15" s="13">
        <f t="shared" si="0"/>
        <v>15.333333333333334</v>
      </c>
      <c r="E15" s="40">
        <v>10</v>
      </c>
      <c r="F15" s="50">
        <v>9.2999999999999999E-2</v>
      </c>
      <c r="G15" s="50">
        <v>0.09</v>
      </c>
      <c r="H15" s="50">
        <v>8.7999999999999995E-2</v>
      </c>
      <c r="I15" s="51">
        <f t="shared" si="2"/>
        <v>1.3279656666666666</v>
      </c>
      <c r="J15" s="51">
        <f t="shared" si="1"/>
        <v>4.0283399935126328E-2</v>
      </c>
    </row>
    <row r="16" spans="1:10">
      <c r="A16" s="63">
        <v>12</v>
      </c>
      <c r="B16" s="64">
        <v>80</v>
      </c>
      <c r="C16" s="64">
        <v>1000</v>
      </c>
      <c r="D16" s="13">
        <f t="shared" si="0"/>
        <v>16.666666666666668</v>
      </c>
      <c r="E16" s="40">
        <v>10</v>
      </c>
      <c r="F16" s="50">
        <v>9.7000000000000003E-2</v>
      </c>
      <c r="G16" s="50">
        <v>9.1999999999999998E-2</v>
      </c>
      <c r="H16" s="50">
        <v>9.8000000000000004E-2</v>
      </c>
      <c r="I16" s="51">
        <f t="shared" si="2"/>
        <v>1.4133363333333335</v>
      </c>
      <c r="J16" s="51">
        <f t="shared" si="1"/>
        <v>5.1455305910404793E-2</v>
      </c>
    </row>
    <row r="17" spans="1:10">
      <c r="A17" s="63">
        <v>13</v>
      </c>
      <c r="B17" s="64">
        <v>80</v>
      </c>
      <c r="C17" s="64">
        <v>1080</v>
      </c>
      <c r="D17" s="13">
        <f t="shared" si="0"/>
        <v>18</v>
      </c>
      <c r="E17" s="40">
        <v>10</v>
      </c>
      <c r="F17" s="50">
        <v>9.5000000000000001E-2</v>
      </c>
      <c r="G17" s="50">
        <v>9.0999999999999998E-2</v>
      </c>
      <c r="H17" s="50">
        <v>9.1999999999999998E-2</v>
      </c>
      <c r="I17" s="51">
        <f t="shared" si="2"/>
        <v>1.3653153333333334</v>
      </c>
      <c r="J17" s="51">
        <f t="shared" si="1"/>
        <v>3.3321227653454417E-2</v>
      </c>
    </row>
    <row r="18" spans="1:10">
      <c r="A18" s="63">
        <v>14</v>
      </c>
      <c r="B18" s="64">
        <v>360</v>
      </c>
      <c r="C18" s="64">
        <v>1440</v>
      </c>
      <c r="D18" s="13">
        <f t="shared" si="0"/>
        <v>24</v>
      </c>
      <c r="E18" s="40">
        <v>10</v>
      </c>
      <c r="F18" s="50">
        <v>8.1000000000000003E-2</v>
      </c>
      <c r="G18" s="50">
        <v>8.4000000000000005E-2</v>
      </c>
      <c r="H18" s="50">
        <v>8.2000000000000003E-2</v>
      </c>
      <c r="I18" s="51">
        <f t="shared" si="2"/>
        <v>1.1999096666666664</v>
      </c>
      <c r="J18" s="51">
        <f t="shared" si="1"/>
        <v>2.4451096383052734E-2</v>
      </c>
    </row>
    <row r="19" spans="1:10">
      <c r="A19" s="63">
        <v>15</v>
      </c>
      <c r="B19" s="32">
        <v>360</v>
      </c>
      <c r="C19" s="64">
        <v>1815</v>
      </c>
      <c r="D19" s="13">
        <f>C19/60</f>
        <v>30.25</v>
      </c>
      <c r="E19" s="40">
        <v>10</v>
      </c>
      <c r="F19" s="50">
        <v>7.0999999999999994E-2</v>
      </c>
      <c r="G19" s="50">
        <v>7.1999999999999995E-2</v>
      </c>
      <c r="H19" s="50">
        <v>7.1999999999999995E-2</v>
      </c>
      <c r="I19" s="51">
        <f t="shared" si="2"/>
        <v>1.0291683333333332</v>
      </c>
      <c r="J19" s="51">
        <f>E19*(STDEV(F19:H19)*1.6007)</f>
        <v>9.241645758918348E-3</v>
      </c>
    </row>
    <row r="20" spans="1:10">
      <c r="A20" s="63">
        <v>16</v>
      </c>
      <c r="B20" s="32">
        <v>1080</v>
      </c>
      <c r="C20" s="64">
        <v>2880</v>
      </c>
      <c r="D20" s="13">
        <f t="shared" ref="D20" si="3">C20/60</f>
        <v>48</v>
      </c>
      <c r="E20" s="40">
        <v>10</v>
      </c>
      <c r="F20" s="50">
        <v>6.0999999999999999E-2</v>
      </c>
      <c r="G20" s="50">
        <v>6.3E-2</v>
      </c>
      <c r="H20" s="50">
        <v>5.7000000000000002E-2</v>
      </c>
      <c r="I20" s="51">
        <f t="shared" ref="I20" si="4">E20*(AVERAGE(F20:H20)*1.6007-0.0118)</f>
        <v>0.84775566666666646</v>
      </c>
      <c r="J20" s="51">
        <f t="shared" ref="J20" si="5">E20*(STDEV(F20:H20)*1.6007)</f>
        <v>4.8902192766105405E-2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3" t="s">
        <v>4</v>
      </c>
      <c r="B1" s="133" t="s">
        <v>116</v>
      </c>
      <c r="C1" s="133" t="s">
        <v>116</v>
      </c>
      <c r="D1" s="133" t="s">
        <v>5</v>
      </c>
      <c r="E1" s="4" t="s">
        <v>29</v>
      </c>
      <c r="F1" s="4" t="s">
        <v>2</v>
      </c>
      <c r="G1" s="4" t="s">
        <v>32</v>
      </c>
    </row>
    <row r="2" spans="1:7">
      <c r="A2" s="134"/>
      <c r="B2" s="134"/>
      <c r="C2" s="134"/>
      <c r="D2" s="134"/>
      <c r="E2" s="5" t="s">
        <v>30</v>
      </c>
      <c r="F2" s="5" t="s">
        <v>31</v>
      </c>
      <c r="G2" s="5" t="s">
        <v>33</v>
      </c>
    </row>
    <row r="3" spans="1:7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64">
        <v>10</v>
      </c>
      <c r="C4" s="64">
        <v>10</v>
      </c>
      <c r="D4" s="13">
        <f t="shared" ref="D4:D18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64">
        <v>110</v>
      </c>
      <c r="C5" s="64"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64">
        <v>80</v>
      </c>
      <c r="C6" s="64"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64">
        <v>80</v>
      </c>
      <c r="C7" s="64"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64">
        <v>80</v>
      </c>
      <c r="C8" s="64"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64">
        <v>80</v>
      </c>
      <c r="C9" s="64"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64">
        <v>80</v>
      </c>
      <c r="C10" s="64"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64">
        <v>80</v>
      </c>
      <c r="C11" s="64"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64">
        <v>80</v>
      </c>
      <c r="C12" s="64"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64">
        <v>80</v>
      </c>
      <c r="C13" s="64">
        <v>760</v>
      </c>
      <c r="D13" s="13">
        <f>C13/60</f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3">
        <v>10</v>
      </c>
      <c r="B14" s="64">
        <v>80</v>
      </c>
      <c r="C14" s="64"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3">
        <v>11</v>
      </c>
      <c r="B15" s="64">
        <v>80</v>
      </c>
      <c r="C15" s="64"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3">
        <v>12</v>
      </c>
      <c r="B16" s="64">
        <v>80</v>
      </c>
      <c r="C16" s="64"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3">
        <v>13</v>
      </c>
      <c r="B17" s="64">
        <v>80</v>
      </c>
      <c r="C17" s="64"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3">
        <v>14</v>
      </c>
      <c r="B18" s="64">
        <v>360</v>
      </c>
      <c r="C18" s="64"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3">
        <v>15</v>
      </c>
      <c r="B19" s="32">
        <v>360</v>
      </c>
      <c r="C19" s="64">
        <v>1815</v>
      </c>
      <c r="D19" s="13">
        <f>C19/60</f>
        <v>30.25</v>
      </c>
      <c r="E19" s="40"/>
      <c r="F19" s="40"/>
      <c r="G19" s="40" t="e">
        <f>(F19-$C$22)/E19*1000*Calculation!I21/Calculation!K19</f>
        <v>#DIV/0!</v>
      </c>
    </row>
    <row r="20" spans="1:7">
      <c r="A20" s="63">
        <v>16</v>
      </c>
      <c r="B20" s="32">
        <v>1080</v>
      </c>
      <c r="C20" s="64">
        <v>2880</v>
      </c>
      <c r="D20" s="13">
        <f t="shared" ref="D20" si="1">C20/60</f>
        <v>48</v>
      </c>
      <c r="E20" s="40"/>
      <c r="F20" s="40"/>
      <c r="G20" s="40" t="e">
        <f>(F20-$C$22)/E20*1000*Calculation!I22/Calculation!K20</f>
        <v>#DIV/0!</v>
      </c>
    </row>
    <row r="22" spans="1:7">
      <c r="A22" s="151" t="s">
        <v>3</v>
      </c>
      <c r="B22" s="152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01"/>
  <sheetViews>
    <sheetView workbookViewId="0">
      <selection activeCell="B102" sqref="B102:B107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7">
      <c r="A1" s="23" t="s">
        <v>50</v>
      </c>
      <c r="B1" s="12">
        <v>70.099999999999994</v>
      </c>
      <c r="C1" s="26" t="s">
        <v>51</v>
      </c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132" t="s">
        <v>5</v>
      </c>
      <c r="B3" s="132" t="s">
        <v>36</v>
      </c>
      <c r="C3" s="132"/>
      <c r="D3" s="132" t="s">
        <v>52</v>
      </c>
      <c r="E3" s="132"/>
      <c r="F3" s="132"/>
      <c r="G3" s="23" t="s">
        <v>53</v>
      </c>
    </row>
    <row r="4" spans="1:7">
      <c r="A4" s="132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7">
      <c r="A5" s="12">
        <v>0</v>
      </c>
      <c r="B5" s="84">
        <v>481.1</v>
      </c>
      <c r="C5" s="12">
        <f>B5/1000</f>
        <v>0.48110000000000003</v>
      </c>
      <c r="D5" s="12">
        <f>C5/1000*$B$1</f>
        <v>3.3725110000000003E-2</v>
      </c>
      <c r="E5" s="12">
        <f>D5/22.4</f>
        <v>1.505585267857143E-3</v>
      </c>
      <c r="F5" s="12">
        <f>E5/Calculation!K$4*1000</f>
        <v>1.0235113989511509E-3</v>
      </c>
      <c r="G5" s="12">
        <f>(0+F5)/2*30</f>
        <v>1.5352670984267264E-2</v>
      </c>
    </row>
    <row r="6" spans="1:7">
      <c r="A6" s="12">
        <v>0.5</v>
      </c>
      <c r="B6" s="84">
        <v>764.13</v>
      </c>
      <c r="C6" s="12">
        <f t="shared" ref="C6:C69" si="0">B6/1000</f>
        <v>0.76412999999999998</v>
      </c>
      <c r="D6" s="12">
        <f>C6/1000*$B$1</f>
        <v>5.3565512999999995E-2</v>
      </c>
      <c r="E6" s="12">
        <f>D6/22.4</f>
        <v>2.3913175446428569E-3</v>
      </c>
      <c r="F6" s="12">
        <f>E6/Calculation!K$4*1000</f>
        <v>1.6256407509468776E-3</v>
      </c>
      <c r="G6" s="12">
        <f>G5+(F6+F5)/2*30</f>
        <v>5.5089953232737694E-2</v>
      </c>
    </row>
    <row r="7" spans="1:7">
      <c r="A7" s="12">
        <v>1</v>
      </c>
      <c r="B7" s="84">
        <v>916.38</v>
      </c>
      <c r="C7" s="12">
        <f t="shared" si="0"/>
        <v>0.91637999999999997</v>
      </c>
      <c r="D7" s="12">
        <f t="shared" ref="D7:D69" si="1">C7/1000*$B$1</f>
        <v>6.4238237999999989E-2</v>
      </c>
      <c r="E7" s="12">
        <f t="shared" ref="E7:E69" si="2">D7/22.4</f>
        <v>2.867778482142857E-3</v>
      </c>
      <c r="F7" s="12">
        <f>E7/Calculation!K$4*1000</f>
        <v>1.9495434956783527E-3</v>
      </c>
      <c r="G7" s="12">
        <f t="shared" ref="G7:G70" si="3">G6+(F7+F6)/2*30</f>
        <v>0.10871771693211615</v>
      </c>
    </row>
    <row r="8" spans="1:7">
      <c r="A8" s="12">
        <v>1.5</v>
      </c>
      <c r="B8" s="84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0.13796086936729143</v>
      </c>
    </row>
    <row r="9" spans="1:7">
      <c r="A9" s="12">
        <v>2</v>
      </c>
      <c r="B9" s="84">
        <v>1105.8599999999999</v>
      </c>
      <c r="C9" s="12">
        <f t="shared" si="0"/>
        <v>1.1058599999999998</v>
      </c>
      <c r="D9" s="12">
        <f t="shared" si="1"/>
        <v>7.752078599999998E-2</v>
      </c>
      <c r="E9" s="12">
        <f t="shared" si="2"/>
        <v>3.4607493749999993E-3</v>
      </c>
      <c r="F9" s="12">
        <f>E9/Calculation!K$4*1000</f>
        <v>2.3526508327668246E-3</v>
      </c>
      <c r="G9" s="12">
        <f t="shared" si="3"/>
        <v>0.1732506318587938</v>
      </c>
    </row>
    <row r="10" spans="1:7">
      <c r="A10" s="12">
        <v>2.5</v>
      </c>
      <c r="B10" s="84">
        <v>1123.52</v>
      </c>
      <c r="C10" s="12">
        <f t="shared" si="0"/>
        <v>1.1235200000000001</v>
      </c>
      <c r="D10" s="12">
        <f t="shared" si="1"/>
        <v>7.8758752000000001E-2</v>
      </c>
      <c r="E10" s="12">
        <f t="shared" si="2"/>
        <v>3.5160157142857147E-3</v>
      </c>
      <c r="F10" s="12">
        <f>E10/Calculation!K$4*1000</f>
        <v>2.3902214237156456E-3</v>
      </c>
      <c r="G10" s="12">
        <f t="shared" si="3"/>
        <v>0.24439371570603086</v>
      </c>
    </row>
    <row r="11" spans="1:7">
      <c r="A11" s="12">
        <v>3</v>
      </c>
      <c r="B11" s="84">
        <v>1223.27</v>
      </c>
      <c r="C11" s="12">
        <f t="shared" si="0"/>
        <v>1.2232700000000001</v>
      </c>
      <c r="D11" s="12">
        <f t="shared" si="1"/>
        <v>8.5751226999999999E-2</v>
      </c>
      <c r="E11" s="12">
        <f t="shared" si="2"/>
        <v>3.8281797767857144E-3</v>
      </c>
      <c r="F11" s="12">
        <f>E11/Calculation!K$4*1000</f>
        <v>2.6024335668155775E-3</v>
      </c>
      <c r="G11" s="12">
        <f t="shared" si="3"/>
        <v>0.31928354056399921</v>
      </c>
    </row>
    <row r="12" spans="1:7">
      <c r="A12" s="12">
        <v>3.5</v>
      </c>
      <c r="B12" s="84">
        <v>1340.2</v>
      </c>
      <c r="C12" s="12">
        <f t="shared" si="0"/>
        <v>1.3402000000000001</v>
      </c>
      <c r="D12" s="12">
        <f t="shared" si="1"/>
        <v>9.3948020000000007E-2</v>
      </c>
      <c r="E12" s="12">
        <f t="shared" si="2"/>
        <v>4.1941080357142859E-3</v>
      </c>
      <c r="F12" s="12">
        <f>E12/Calculation!K$4*1000</f>
        <v>2.8511951296494122E-3</v>
      </c>
      <c r="G12" s="12">
        <f t="shared" si="3"/>
        <v>0.40108797101097404</v>
      </c>
    </row>
    <row r="13" spans="1:7">
      <c r="A13" s="12">
        <v>4</v>
      </c>
      <c r="B13" s="84">
        <v>1465.73</v>
      </c>
      <c r="C13" s="12">
        <f t="shared" si="0"/>
        <v>1.46573</v>
      </c>
      <c r="D13" s="12">
        <f t="shared" si="1"/>
        <v>0.10274767299999998</v>
      </c>
      <c r="E13" s="12">
        <f t="shared" si="2"/>
        <v>4.5869496874999995E-3</v>
      </c>
      <c r="F13" s="12">
        <f>E13/Calculation!K$4*1000</f>
        <v>3.1182526767505095E-3</v>
      </c>
      <c r="G13" s="12">
        <f t="shared" si="3"/>
        <v>0.49062968810697288</v>
      </c>
    </row>
    <row r="14" spans="1:7">
      <c r="A14" s="12">
        <v>4.5</v>
      </c>
      <c r="B14" s="84">
        <v>1570.25</v>
      </c>
      <c r="C14" s="12">
        <f t="shared" si="0"/>
        <v>1.5702499999999999</v>
      </c>
      <c r="D14" s="12">
        <f t="shared" si="1"/>
        <v>0.11007452499999999</v>
      </c>
      <c r="E14" s="12">
        <f t="shared" si="2"/>
        <v>4.9140412946428571E-3</v>
      </c>
      <c r="F14" s="12">
        <f>E14/Calculation!K$4*1000</f>
        <v>3.3406127087986788E-3</v>
      </c>
      <c r="G14" s="12">
        <f t="shared" si="3"/>
        <v>0.5875126688902107</v>
      </c>
    </row>
    <row r="15" spans="1:7">
      <c r="A15" s="12">
        <v>5</v>
      </c>
      <c r="B15" s="84">
        <v>1644.71</v>
      </c>
      <c r="C15" s="12">
        <f t="shared" si="0"/>
        <v>1.6447100000000001</v>
      </c>
      <c r="D15" s="12">
        <f t="shared" si="1"/>
        <v>0.115294171</v>
      </c>
      <c r="E15" s="12">
        <f t="shared" si="2"/>
        <v>5.1470612053571433E-3</v>
      </c>
      <c r="F15" s="12">
        <f>E15/Calculation!K$4*1000</f>
        <v>3.4990218935126737E-3</v>
      </c>
      <c r="G15" s="12">
        <f t="shared" si="3"/>
        <v>0.69010718792488102</v>
      </c>
    </row>
    <row r="16" spans="1:7">
      <c r="A16" s="12">
        <v>5.5</v>
      </c>
      <c r="B16" s="84">
        <v>1757.82</v>
      </c>
      <c r="C16" s="12">
        <f t="shared" si="0"/>
        <v>1.7578199999999999</v>
      </c>
      <c r="D16" s="12">
        <f t="shared" si="1"/>
        <v>0.12322318199999999</v>
      </c>
      <c r="E16" s="12">
        <f t="shared" si="2"/>
        <v>5.5010349107142854E-3</v>
      </c>
      <c r="F16" s="12">
        <f>E16/Calculation!K$4*1000</f>
        <v>3.7396566354277942E-3</v>
      </c>
      <c r="G16" s="12">
        <f t="shared" si="3"/>
        <v>0.79868736585898803</v>
      </c>
    </row>
    <row r="17" spans="1:7">
      <c r="A17" s="12">
        <v>6</v>
      </c>
      <c r="B17" s="84">
        <v>1885.26</v>
      </c>
      <c r="C17" s="12">
        <f t="shared" si="0"/>
        <v>1.8852599999999999</v>
      </c>
      <c r="D17" s="12">
        <f t="shared" si="1"/>
        <v>0.13215672599999997</v>
      </c>
      <c r="E17" s="12">
        <f t="shared" si="2"/>
        <v>5.8998538392857139E-3</v>
      </c>
      <c r="F17" s="12">
        <f>E17/Calculation!K$4*1000</f>
        <v>4.010777592988248E-3</v>
      </c>
      <c r="G17" s="12">
        <f t="shared" si="3"/>
        <v>0.91494387928522869</v>
      </c>
    </row>
    <row r="18" spans="1:7">
      <c r="A18" s="12">
        <v>6.5</v>
      </c>
      <c r="B18" s="84">
        <v>1976.89</v>
      </c>
      <c r="C18" s="12">
        <f t="shared" si="0"/>
        <v>1.97689</v>
      </c>
      <c r="D18" s="12">
        <f t="shared" si="1"/>
        <v>0.13857998900000001</v>
      </c>
      <c r="E18" s="12">
        <f t="shared" si="2"/>
        <v>6.1866066517857156E-3</v>
      </c>
      <c r="F18" s="12">
        <f>E18/Calculation!K$4*1000</f>
        <v>4.2057149230358363E-3</v>
      </c>
      <c r="G18" s="12">
        <f t="shared" si="3"/>
        <v>1.0381912670255899</v>
      </c>
    </row>
    <row r="19" spans="1:7">
      <c r="A19" s="12">
        <v>7</v>
      </c>
      <c r="B19" s="84">
        <v>2132.96</v>
      </c>
      <c r="C19" s="12">
        <f t="shared" si="0"/>
        <v>2.1329600000000002</v>
      </c>
      <c r="D19" s="12">
        <f t="shared" si="1"/>
        <v>0.149520496</v>
      </c>
      <c r="E19" s="12">
        <f t="shared" si="2"/>
        <v>6.6750221428571437E-3</v>
      </c>
      <c r="F19" s="12">
        <f>E19/Calculation!K$4*1000</f>
        <v>4.5377444886860255E-3</v>
      </c>
      <c r="G19" s="12">
        <f t="shared" si="3"/>
        <v>1.1693431582014178</v>
      </c>
    </row>
    <row r="20" spans="1:7">
      <c r="A20" s="12">
        <v>7.5</v>
      </c>
      <c r="B20" s="84">
        <v>2415.04</v>
      </c>
      <c r="C20" s="12">
        <f t="shared" si="0"/>
        <v>2.4150399999999999</v>
      </c>
      <c r="D20" s="12">
        <f t="shared" si="1"/>
        <v>0.16929430399999998</v>
      </c>
      <c r="E20" s="12">
        <f t="shared" si="2"/>
        <v>7.5577814285714279E-3</v>
      </c>
      <c r="F20" s="12">
        <f>E20/Calculation!K$4*1000</f>
        <v>5.1378527726522287E-3</v>
      </c>
      <c r="G20" s="12">
        <f t="shared" si="3"/>
        <v>1.3144771171214915</v>
      </c>
    </row>
    <row r="21" spans="1:7">
      <c r="A21" s="12">
        <v>8</v>
      </c>
      <c r="B21" s="84">
        <v>2572.06</v>
      </c>
      <c r="C21" s="12">
        <f t="shared" si="0"/>
        <v>2.57206</v>
      </c>
      <c r="D21" s="12">
        <f t="shared" si="1"/>
        <v>0.180301406</v>
      </c>
      <c r="E21" s="12">
        <f t="shared" si="2"/>
        <v>8.0491699107142854E-3</v>
      </c>
      <c r="F21" s="12">
        <f>E21/Calculation!K$4*1000</f>
        <v>5.4719034063319414E-3</v>
      </c>
      <c r="G21" s="12">
        <f t="shared" si="3"/>
        <v>1.4736234598062541</v>
      </c>
    </row>
    <row r="22" spans="1:7">
      <c r="A22" s="12">
        <v>8.5</v>
      </c>
      <c r="B22" s="84">
        <v>3100.89</v>
      </c>
      <c r="C22" s="12">
        <f t="shared" si="0"/>
        <v>3.1008899999999997</v>
      </c>
      <c r="D22" s="12">
        <f t="shared" si="1"/>
        <v>0.21737238899999997</v>
      </c>
      <c r="E22" s="12">
        <f t="shared" si="2"/>
        <v>9.7041245089285709E-3</v>
      </c>
      <c r="F22" s="12">
        <f>E22/Calculation!K$4*1000</f>
        <v>6.5969575179663977E-3</v>
      </c>
      <c r="G22" s="12">
        <f t="shared" si="3"/>
        <v>1.6546563736707292</v>
      </c>
    </row>
    <row r="23" spans="1:7">
      <c r="A23" s="12">
        <v>9</v>
      </c>
      <c r="B23" s="84">
        <v>2983.48</v>
      </c>
      <c r="C23" s="12">
        <f t="shared" si="0"/>
        <v>2.9834800000000001</v>
      </c>
      <c r="D23" s="12">
        <f t="shared" si="1"/>
        <v>0.20914194799999999</v>
      </c>
      <c r="E23" s="12">
        <f t="shared" si="2"/>
        <v>9.3366941071428566E-3</v>
      </c>
      <c r="F23" s="12">
        <f>E23/Calculation!K$4*1000</f>
        <v>6.3471747839176458E-3</v>
      </c>
      <c r="G23" s="12">
        <f t="shared" si="3"/>
        <v>1.8488183581989899</v>
      </c>
    </row>
    <row r="24" spans="1:7">
      <c r="A24" s="12">
        <v>9.5</v>
      </c>
      <c r="B24" s="84">
        <v>3521.85</v>
      </c>
      <c r="C24" s="12">
        <f t="shared" si="0"/>
        <v>3.5218499999999997</v>
      </c>
      <c r="D24" s="12">
        <f t="shared" si="1"/>
        <v>0.24688168499999996</v>
      </c>
      <c r="E24" s="12">
        <f t="shared" si="2"/>
        <v>1.1021503794642857E-2</v>
      </c>
      <c r="F24" s="12">
        <f>E24/Calculation!K$4*1000</f>
        <v>7.4925246734485777E-3</v>
      </c>
      <c r="G24" s="12">
        <f t="shared" si="3"/>
        <v>2.0564138500594833</v>
      </c>
    </row>
    <row r="25" spans="1:7">
      <c r="A25" s="12">
        <v>10</v>
      </c>
      <c r="B25" s="84">
        <v>4453.5</v>
      </c>
      <c r="C25" s="12">
        <f t="shared" si="0"/>
        <v>4.4535</v>
      </c>
      <c r="D25" s="12">
        <f t="shared" si="1"/>
        <v>0.31219034999999995</v>
      </c>
      <c r="E25" s="12">
        <f t="shared" si="2"/>
        <v>1.3937069196428569E-2</v>
      </c>
      <c r="F25" s="12">
        <f>E25/Calculation!K$4*1000</f>
        <v>9.4745541784014738E-3</v>
      </c>
      <c r="G25" s="12">
        <f t="shared" si="3"/>
        <v>2.3109200328372341</v>
      </c>
    </row>
    <row r="26" spans="1:7">
      <c r="A26" s="12">
        <v>10.5</v>
      </c>
      <c r="B26" s="84">
        <v>5091.62</v>
      </c>
      <c r="C26" s="12">
        <f t="shared" si="0"/>
        <v>5.0916199999999998</v>
      </c>
      <c r="D26" s="12">
        <f t="shared" si="1"/>
        <v>0.35692256199999994</v>
      </c>
      <c r="E26" s="12">
        <f t="shared" si="2"/>
        <v>1.593404294642857E-2</v>
      </c>
      <c r="F26" s="12">
        <f>E26/Calculation!K$4*1000</f>
        <v>1.0832116211032338E-2</v>
      </c>
      <c r="G26" s="12">
        <f t="shared" si="3"/>
        <v>2.6155200886787413</v>
      </c>
    </row>
    <row r="27" spans="1:7">
      <c r="A27" s="12">
        <v>11</v>
      </c>
      <c r="B27" s="84">
        <v>5547.43</v>
      </c>
      <c r="C27" s="12">
        <f t="shared" si="0"/>
        <v>5.5474300000000003</v>
      </c>
      <c r="D27" s="12">
        <f t="shared" si="1"/>
        <v>0.38887484299999997</v>
      </c>
      <c r="E27" s="12">
        <f t="shared" si="2"/>
        <v>1.7360484062500001E-2</v>
      </c>
      <c r="F27" s="12">
        <f>E27/Calculation!K$4*1000</f>
        <v>1.1801824651597554E-2</v>
      </c>
      <c r="G27" s="12">
        <f t="shared" si="3"/>
        <v>2.9550292016181898</v>
      </c>
    </row>
    <row r="28" spans="1:7">
      <c r="A28" s="12">
        <v>11.5</v>
      </c>
      <c r="B28" s="84">
        <v>6019.46</v>
      </c>
      <c r="C28" s="12">
        <f t="shared" si="0"/>
        <v>6.0194600000000005</v>
      </c>
      <c r="D28" s="12">
        <f t="shared" si="1"/>
        <v>0.42196414600000004</v>
      </c>
      <c r="E28" s="12">
        <f t="shared" si="2"/>
        <v>1.8837685089285718E-2</v>
      </c>
      <c r="F28" s="12">
        <f>E28/Calculation!K$4*1000</f>
        <v>1.2806040169466838E-2</v>
      </c>
      <c r="G28" s="12">
        <f t="shared" si="3"/>
        <v>3.3241471739341559</v>
      </c>
    </row>
    <row r="29" spans="1:7">
      <c r="A29" s="12">
        <v>12</v>
      </c>
      <c r="B29" s="84">
        <v>6801.24</v>
      </c>
      <c r="C29" s="12">
        <f t="shared" si="0"/>
        <v>6.80124</v>
      </c>
      <c r="D29" s="12">
        <f t="shared" si="1"/>
        <v>0.47676692399999998</v>
      </c>
      <c r="E29" s="12">
        <f t="shared" si="2"/>
        <v>2.1284237678571429E-2</v>
      </c>
      <c r="F29" s="12">
        <f>E29/Calculation!K$4*1000</f>
        <v>1.4469230236962224E-2</v>
      </c>
      <c r="G29" s="12">
        <f t="shared" si="3"/>
        <v>3.7332762300305919</v>
      </c>
    </row>
    <row r="30" spans="1:7">
      <c r="A30" s="12">
        <v>12.5</v>
      </c>
      <c r="B30" s="84">
        <v>6499.12</v>
      </c>
      <c r="C30" s="12">
        <f t="shared" si="0"/>
        <v>6.4991199999999996</v>
      </c>
      <c r="D30" s="12">
        <f t="shared" si="1"/>
        <v>0.45558831199999994</v>
      </c>
      <c r="E30" s="12">
        <f t="shared" si="2"/>
        <v>2.0338763928571427E-2</v>
      </c>
      <c r="F30" s="12">
        <f>E30/Calculation!K$4*1000</f>
        <v>1.3826488054773234E-2</v>
      </c>
      <c r="G30" s="12">
        <f t="shared" si="3"/>
        <v>4.1577120044066236</v>
      </c>
    </row>
    <row r="31" spans="1:7">
      <c r="A31" s="12">
        <v>13</v>
      </c>
      <c r="B31" s="84">
        <v>7413.59</v>
      </c>
      <c r="C31" s="12">
        <f t="shared" si="0"/>
        <v>7.4135900000000001</v>
      </c>
      <c r="D31" s="12">
        <f t="shared" si="1"/>
        <v>0.51969265899999995</v>
      </c>
      <c r="E31" s="12">
        <f t="shared" si="2"/>
        <v>2.3200565133928569E-2</v>
      </c>
      <c r="F31" s="12">
        <f>E31/Calculation!K$4*1000</f>
        <v>1.5771968139992227E-2</v>
      </c>
      <c r="G31" s="12">
        <f t="shared" si="3"/>
        <v>4.6016888473281057</v>
      </c>
    </row>
    <row r="32" spans="1:7">
      <c r="A32" s="12">
        <v>13.5</v>
      </c>
      <c r="B32" s="84">
        <v>7245.59</v>
      </c>
      <c r="C32" s="12">
        <f t="shared" si="0"/>
        <v>7.24559</v>
      </c>
      <c r="D32" s="12">
        <f t="shared" si="1"/>
        <v>0.50791585899999991</v>
      </c>
      <c r="E32" s="12">
        <f t="shared" si="2"/>
        <v>2.2674815133928571E-2</v>
      </c>
      <c r="F32" s="12">
        <f>E32/Calculation!K$4*1000</f>
        <v>1.5414558214771291E-2</v>
      </c>
      <c r="G32" s="12">
        <f t="shared" si="3"/>
        <v>5.0694867426495582</v>
      </c>
    </row>
    <row r="33" spans="1:7">
      <c r="A33" s="12">
        <v>14</v>
      </c>
      <c r="B33" s="84">
        <v>7134.86</v>
      </c>
      <c r="C33" s="12">
        <f t="shared" si="0"/>
        <v>7.1348599999999998</v>
      </c>
      <c r="D33" s="12">
        <f t="shared" si="1"/>
        <v>0.50015368599999999</v>
      </c>
      <c r="E33" s="12">
        <f t="shared" si="2"/>
        <v>2.2328289553571429E-2</v>
      </c>
      <c r="F33" s="12">
        <f>E33/Calculation!K$4*1000</f>
        <v>1.5178986780130136E-2</v>
      </c>
      <c r="G33" s="12">
        <f t="shared" si="3"/>
        <v>5.5283899175730795</v>
      </c>
    </row>
    <row r="34" spans="1:7">
      <c r="A34" s="12">
        <v>14.5</v>
      </c>
      <c r="B34" s="84">
        <v>7197.38</v>
      </c>
      <c r="C34" s="12">
        <f t="shared" si="0"/>
        <v>7.1973799999999999</v>
      </c>
      <c r="D34" s="12">
        <f t="shared" si="1"/>
        <v>0.50453633799999997</v>
      </c>
      <c r="E34" s="12">
        <f t="shared" si="2"/>
        <v>2.2523943660714286E-2</v>
      </c>
      <c r="F34" s="12">
        <f>E34/Calculation!K$4*1000</f>
        <v>1.5311994330873071E-2</v>
      </c>
      <c r="G34" s="12">
        <f t="shared" si="3"/>
        <v>5.9857546342381278</v>
      </c>
    </row>
    <row r="35" spans="1:7">
      <c r="A35" s="12">
        <v>15</v>
      </c>
      <c r="B35" s="84">
        <v>7309.07</v>
      </c>
      <c r="C35" s="12">
        <f t="shared" si="0"/>
        <v>7.3090699999999993</v>
      </c>
      <c r="D35" s="12">
        <f t="shared" si="1"/>
        <v>0.5123658069999999</v>
      </c>
      <c r="E35" s="12">
        <f t="shared" si="2"/>
        <v>2.2873473526785711E-2</v>
      </c>
      <c r="F35" s="12">
        <f>E35/Calculation!K$4*1000</f>
        <v>1.5549608107944059E-2</v>
      </c>
      <c r="G35" s="12">
        <f t="shared" si="3"/>
        <v>6.4486786708203852</v>
      </c>
    </row>
    <row r="36" spans="1:7">
      <c r="A36" s="12">
        <v>15.5</v>
      </c>
      <c r="B36" s="84">
        <v>7340.09</v>
      </c>
      <c r="C36" s="12">
        <f t="shared" si="0"/>
        <v>7.34009</v>
      </c>
      <c r="D36" s="12">
        <f t="shared" si="1"/>
        <v>0.51454030899999992</v>
      </c>
      <c r="E36" s="12">
        <f t="shared" si="2"/>
        <v>2.2970549508928569E-2</v>
      </c>
      <c r="F36" s="12">
        <f>E36/Calculation!K$4*1000</f>
        <v>1.5615601297708068E-2</v>
      </c>
      <c r="G36" s="12">
        <f t="shared" si="3"/>
        <v>6.9161568119051671</v>
      </c>
    </row>
    <row r="37" spans="1:7">
      <c r="A37" s="12">
        <v>16</v>
      </c>
      <c r="B37" s="84">
        <v>7567.75</v>
      </c>
      <c r="C37" s="12">
        <f t="shared" si="0"/>
        <v>7.5677500000000002</v>
      </c>
      <c r="D37" s="12">
        <f t="shared" si="1"/>
        <v>0.53049927499999994</v>
      </c>
      <c r="E37" s="12">
        <f t="shared" si="2"/>
        <v>2.3683003348214285E-2</v>
      </c>
      <c r="F37" s="12">
        <f>E37/Calculation!K$4*1000</f>
        <v>1.6099934295183062E-2</v>
      </c>
      <c r="G37" s="12">
        <f t="shared" si="3"/>
        <v>7.3918898457985343</v>
      </c>
    </row>
    <row r="38" spans="1:7">
      <c r="A38" s="12">
        <v>16.5</v>
      </c>
      <c r="B38" s="84">
        <v>7355.84</v>
      </c>
      <c r="C38" s="12">
        <f t="shared" si="0"/>
        <v>7.3558399999999997</v>
      </c>
      <c r="D38" s="12">
        <f t="shared" si="1"/>
        <v>0.5156443839999999</v>
      </c>
      <c r="E38" s="12">
        <f t="shared" si="2"/>
        <v>2.3019838571428568E-2</v>
      </c>
      <c r="F38" s="12">
        <f>E38/Calculation!K$4*1000</f>
        <v>1.5649108478197529E-2</v>
      </c>
      <c r="G38" s="12">
        <f t="shared" si="3"/>
        <v>7.8681254873992428</v>
      </c>
    </row>
    <row r="39" spans="1:7">
      <c r="A39" s="12">
        <v>17</v>
      </c>
      <c r="B39" s="84">
        <v>6952.06</v>
      </c>
      <c r="C39" s="12">
        <f t="shared" si="0"/>
        <v>6.9520600000000004</v>
      </c>
      <c r="D39" s="12">
        <f t="shared" si="1"/>
        <v>0.48733940599999998</v>
      </c>
      <c r="E39" s="12">
        <f t="shared" si="2"/>
        <v>2.1756223482142859E-2</v>
      </c>
      <c r="F39" s="12">
        <f>E39/Calculation!K$4*1000</f>
        <v>1.4790090742449257E-2</v>
      </c>
      <c r="G39" s="12">
        <f t="shared" si="3"/>
        <v>8.3247134757089452</v>
      </c>
    </row>
    <row r="40" spans="1:7">
      <c r="A40" s="12">
        <v>17.5</v>
      </c>
      <c r="B40" s="84">
        <v>3910.83</v>
      </c>
      <c r="C40" s="12">
        <f t="shared" si="0"/>
        <v>3.9108299999999998</v>
      </c>
      <c r="D40" s="12">
        <f t="shared" si="1"/>
        <v>0.27414918299999996</v>
      </c>
      <c r="E40" s="12">
        <f t="shared" si="2"/>
        <v>1.22388028125E-2</v>
      </c>
      <c r="F40" s="12">
        <f>E40/Calculation!K$4*1000</f>
        <v>8.3200562967369138E-3</v>
      </c>
      <c r="G40" s="12">
        <f t="shared" si="3"/>
        <v>8.6713656812967379</v>
      </c>
    </row>
    <row r="41" spans="1:7">
      <c r="A41" s="12">
        <v>18</v>
      </c>
      <c r="B41" s="84">
        <v>6232.32</v>
      </c>
      <c r="C41" s="12">
        <f t="shared" si="0"/>
        <v>6.2323199999999996</v>
      </c>
      <c r="D41" s="12">
        <f t="shared" si="1"/>
        <v>0.43688563199999991</v>
      </c>
      <c r="E41" s="12">
        <f t="shared" si="2"/>
        <v>1.9503822857142854E-2</v>
      </c>
      <c r="F41" s="12">
        <f>E41/Calculation!K$4*1000</f>
        <v>1.3258887054481886E-2</v>
      </c>
      <c r="G41" s="12">
        <f t="shared" si="3"/>
        <v>8.9950498315650194</v>
      </c>
    </row>
    <row r="42" spans="1:7">
      <c r="A42" s="12">
        <v>18.5</v>
      </c>
      <c r="B42" s="84">
        <v>6283.87</v>
      </c>
      <c r="C42" s="12">
        <f t="shared" si="0"/>
        <v>6.2838700000000003</v>
      </c>
      <c r="D42" s="12">
        <f t="shared" si="1"/>
        <v>0.44049928700000002</v>
      </c>
      <c r="E42" s="12">
        <f t="shared" si="2"/>
        <v>1.9665146741071431E-2</v>
      </c>
      <c r="F42" s="12">
        <f>E42/Calculation!K$4*1000</f>
        <v>1.336855658808391E-2</v>
      </c>
      <c r="G42" s="12">
        <f t="shared" si="3"/>
        <v>9.3944614862035056</v>
      </c>
    </row>
    <row r="43" spans="1:7">
      <c r="A43" s="12">
        <v>19</v>
      </c>
      <c r="B43" s="84">
        <v>5787.98</v>
      </c>
      <c r="C43" s="12">
        <f t="shared" si="0"/>
        <v>5.7879799999999992</v>
      </c>
      <c r="D43" s="12">
        <f t="shared" si="1"/>
        <v>0.40573739799999992</v>
      </c>
      <c r="E43" s="12">
        <f t="shared" si="2"/>
        <v>1.8113276696428569E-2</v>
      </c>
      <c r="F43" s="12">
        <f>E43/Calculation!K$4*1000</f>
        <v>1.2313580351073126E-2</v>
      </c>
      <c r="G43" s="12">
        <f t="shared" si="3"/>
        <v>9.7796935402908609</v>
      </c>
    </row>
    <row r="44" spans="1:7">
      <c r="A44" s="12">
        <v>19.5</v>
      </c>
      <c r="B44" s="84">
        <v>5220.01</v>
      </c>
      <c r="C44" s="12">
        <f t="shared" si="0"/>
        <v>5.2200100000000003</v>
      </c>
      <c r="D44" s="12">
        <f t="shared" si="1"/>
        <v>0.36592270100000002</v>
      </c>
      <c r="E44" s="12">
        <f t="shared" si="2"/>
        <v>1.633583486607143E-2</v>
      </c>
      <c r="F44" s="12">
        <f>E44/Calculation!K$4*1000</f>
        <v>1.1105258236622319E-2</v>
      </c>
      <c r="G44" s="12">
        <f t="shared" si="3"/>
        <v>10.130976119106293</v>
      </c>
    </row>
    <row r="45" spans="1:7">
      <c r="A45" s="12">
        <v>20</v>
      </c>
      <c r="B45" s="84">
        <v>4907.3900000000003</v>
      </c>
      <c r="C45" s="12">
        <f t="shared" si="0"/>
        <v>4.9073900000000004</v>
      </c>
      <c r="D45" s="12">
        <f t="shared" si="1"/>
        <v>0.34400803899999999</v>
      </c>
      <c r="E45" s="12">
        <f t="shared" si="2"/>
        <v>1.5357501741071429E-2</v>
      </c>
      <c r="F45" s="12">
        <f>E45/Calculation!K$4*1000</f>
        <v>1.0440177934107023E-2</v>
      </c>
      <c r="G45" s="12">
        <f t="shared" si="3"/>
        <v>10.454157661667233</v>
      </c>
    </row>
    <row r="46" spans="1:7">
      <c r="A46" s="12">
        <v>20.5</v>
      </c>
      <c r="B46" s="84">
        <v>4772.32</v>
      </c>
      <c r="C46" s="12">
        <f t="shared" si="0"/>
        <v>4.7723199999999997</v>
      </c>
      <c r="D46" s="12">
        <f t="shared" si="1"/>
        <v>0.33453963199999998</v>
      </c>
      <c r="E46" s="12">
        <f t="shared" si="2"/>
        <v>1.4934805000000001E-2</v>
      </c>
      <c r="F46" s="12">
        <f>E46/Calculation!K$4*1000</f>
        <v>1.015282460910945E-2</v>
      </c>
      <c r="G46" s="12">
        <f t="shared" si="3"/>
        <v>10.76305269981548</v>
      </c>
    </row>
    <row r="47" spans="1:7">
      <c r="A47" s="12">
        <v>21</v>
      </c>
      <c r="B47" s="84">
        <v>4541.8</v>
      </c>
      <c r="C47" s="12">
        <f t="shared" si="0"/>
        <v>4.5418000000000003</v>
      </c>
      <c r="D47" s="12">
        <f t="shared" si="1"/>
        <v>0.31838018000000001</v>
      </c>
      <c r="E47" s="12">
        <f t="shared" si="2"/>
        <v>1.4213400892857145E-2</v>
      </c>
      <c r="F47" s="12">
        <f>E47/Calculation!K$4*1000</f>
        <v>9.6624071331455775E-3</v>
      </c>
      <c r="G47" s="12">
        <f t="shared" si="3"/>
        <v>11.060281175949306</v>
      </c>
    </row>
    <row r="48" spans="1:7">
      <c r="A48" s="12">
        <v>21.5</v>
      </c>
      <c r="B48" s="84">
        <v>4285.5</v>
      </c>
      <c r="C48" s="12">
        <f t="shared" si="0"/>
        <v>4.2854999999999999</v>
      </c>
      <c r="D48" s="12">
        <f t="shared" si="1"/>
        <v>0.30041354999999997</v>
      </c>
      <c r="E48" s="12">
        <f t="shared" si="2"/>
        <v>1.3411319196428571E-2</v>
      </c>
      <c r="F48" s="12">
        <f>E48/Calculation!K$4*1000</f>
        <v>9.1171442531805379E-3</v>
      </c>
      <c r="G48" s="12">
        <f t="shared" si="3"/>
        <v>11.341974446744198</v>
      </c>
    </row>
    <row r="49" spans="1:7">
      <c r="A49" s="12">
        <v>22</v>
      </c>
      <c r="B49" s="84">
        <v>4271.66</v>
      </c>
      <c r="C49" s="12">
        <f t="shared" si="0"/>
        <v>4.2716599999999998</v>
      </c>
      <c r="D49" s="12">
        <f t="shared" si="1"/>
        <v>0.29944336599999999</v>
      </c>
      <c r="E49" s="12">
        <f t="shared" si="2"/>
        <v>1.3368007410714287E-2</v>
      </c>
      <c r="F49" s="12">
        <f>E49/Calculation!K$4*1000</f>
        <v>9.0877004831504335E-3</v>
      </c>
      <c r="G49" s="12">
        <f t="shared" si="3"/>
        <v>11.615047117789162</v>
      </c>
    </row>
    <row r="50" spans="1:7">
      <c r="A50" s="12">
        <v>22.5</v>
      </c>
      <c r="B50" s="84">
        <v>4597.16</v>
      </c>
      <c r="C50" s="12">
        <f t="shared" si="0"/>
        <v>4.5971599999999997</v>
      </c>
      <c r="D50" s="12">
        <f t="shared" si="1"/>
        <v>0.32226091599999995</v>
      </c>
      <c r="E50" s="12">
        <f t="shared" si="2"/>
        <v>1.4386648035714284E-2</v>
      </c>
      <c r="F50" s="12">
        <f>E50/Calculation!K$4*1000</f>
        <v>9.7801822132659987E-3</v>
      </c>
      <c r="G50" s="12">
        <f t="shared" si="3"/>
        <v>11.898065358235408</v>
      </c>
    </row>
    <row r="51" spans="1:7">
      <c r="A51" s="12">
        <v>23</v>
      </c>
      <c r="B51" s="84">
        <v>4085.04</v>
      </c>
      <c r="C51" s="12">
        <f t="shared" si="0"/>
        <v>4.0850400000000002</v>
      </c>
      <c r="D51" s="12">
        <f t="shared" si="1"/>
        <v>0.28636130399999998</v>
      </c>
      <c r="E51" s="12">
        <f t="shared" si="2"/>
        <v>1.2783986785714286E-2</v>
      </c>
      <c r="F51" s="12">
        <f>E51/Calculation!K$4*1000</f>
        <v>8.6906776245508389E-3</v>
      </c>
      <c r="G51" s="12">
        <f t="shared" si="3"/>
        <v>12.175128255802662</v>
      </c>
    </row>
    <row r="52" spans="1:7">
      <c r="A52" s="12">
        <v>23.5</v>
      </c>
      <c r="B52" s="84">
        <v>4088.38</v>
      </c>
      <c r="C52" s="12">
        <f t="shared" si="0"/>
        <v>4.0883799999999999</v>
      </c>
      <c r="D52" s="12">
        <f t="shared" si="1"/>
        <v>0.28659543799999998</v>
      </c>
      <c r="E52" s="12">
        <f t="shared" si="2"/>
        <v>1.2794439196428571E-2</v>
      </c>
      <c r="F52" s="12">
        <f>E52/Calculation!K$4*1000</f>
        <v>8.697783274254637E-3</v>
      </c>
      <c r="G52" s="12">
        <f t="shared" si="3"/>
        <v>12.435955169284744</v>
      </c>
    </row>
    <row r="53" spans="1:7">
      <c r="A53" s="12">
        <v>24</v>
      </c>
      <c r="B53" s="84">
        <v>4032.54</v>
      </c>
      <c r="C53" s="12">
        <f t="shared" si="0"/>
        <v>4.03254</v>
      </c>
      <c r="D53" s="12">
        <f t="shared" si="1"/>
        <v>0.28268105399999999</v>
      </c>
      <c r="E53" s="12">
        <f t="shared" si="2"/>
        <v>1.2619689910714285E-2</v>
      </c>
      <c r="F53" s="12">
        <f>E53/Calculation!K$4*1000</f>
        <v>8.5789870229192964E-3</v>
      </c>
      <c r="G53" s="12">
        <f t="shared" si="3"/>
        <v>12.695106723742354</v>
      </c>
    </row>
    <row r="54" spans="1:7">
      <c r="A54" s="12">
        <v>24.5</v>
      </c>
      <c r="B54" s="84">
        <v>3590.1</v>
      </c>
      <c r="C54" s="12">
        <f t="shared" si="0"/>
        <v>3.5901000000000001</v>
      </c>
      <c r="D54" s="12">
        <f t="shared" si="1"/>
        <v>0.25166601</v>
      </c>
      <c r="E54" s="12">
        <f t="shared" si="2"/>
        <v>1.1235089732142857E-2</v>
      </c>
      <c r="F54" s="12">
        <f>E54/Calculation!K$4*1000</f>
        <v>7.6377224555695825E-3</v>
      </c>
      <c r="G54" s="12">
        <f t="shared" si="3"/>
        <v>12.938357365919687</v>
      </c>
    </row>
    <row r="55" spans="1:7">
      <c r="A55" s="12">
        <v>25</v>
      </c>
      <c r="B55" s="84">
        <v>4261.16</v>
      </c>
      <c r="C55" s="12">
        <f t="shared" si="0"/>
        <v>4.2611600000000003</v>
      </c>
      <c r="D55" s="12">
        <f t="shared" si="1"/>
        <v>0.29870731599999994</v>
      </c>
      <c r="E55" s="12">
        <f t="shared" si="2"/>
        <v>1.3335148035714284E-2</v>
      </c>
      <c r="F55" s="12">
        <f>E55/Calculation!K$4*1000</f>
        <v>9.0653623628241219E-3</v>
      </c>
      <c r="G55" s="12">
        <f t="shared" si="3"/>
        <v>13.188903638195592</v>
      </c>
    </row>
    <row r="56" spans="1:7">
      <c r="A56" s="12">
        <v>25.5</v>
      </c>
      <c r="B56" s="84">
        <v>3798.67</v>
      </c>
      <c r="C56" s="12">
        <f t="shared" si="0"/>
        <v>3.79867</v>
      </c>
      <c r="D56" s="12">
        <f t="shared" si="1"/>
        <v>0.26628676699999998</v>
      </c>
      <c r="E56" s="12">
        <f t="shared" si="2"/>
        <v>1.1887802098214285E-2</v>
      </c>
      <c r="F56" s="12">
        <f>E56/Calculation!K$4*1000</f>
        <v>8.0814426228513151E-3</v>
      </c>
      <c r="G56" s="12">
        <f t="shared" si="3"/>
        <v>13.446105712980724</v>
      </c>
    </row>
    <row r="57" spans="1:7">
      <c r="A57" s="12">
        <v>26</v>
      </c>
      <c r="B57" s="84">
        <v>3670.28</v>
      </c>
      <c r="C57" s="12">
        <f t="shared" si="0"/>
        <v>3.67028</v>
      </c>
      <c r="D57" s="12">
        <f t="shared" si="1"/>
        <v>0.25728662800000002</v>
      </c>
      <c r="E57" s="12">
        <f t="shared" si="2"/>
        <v>1.148601017857143E-2</v>
      </c>
      <c r="F57" s="12">
        <f>E57/Calculation!K$4*1000</f>
        <v>7.80830059726134E-3</v>
      </c>
      <c r="G57" s="12">
        <f t="shared" si="3"/>
        <v>13.684451861282414</v>
      </c>
    </row>
    <row r="58" spans="1:7">
      <c r="A58" s="12">
        <v>26.5</v>
      </c>
      <c r="B58" s="84">
        <v>3733.29</v>
      </c>
      <c r="C58" s="12">
        <f t="shared" si="0"/>
        <v>3.7332899999999998</v>
      </c>
      <c r="D58" s="12">
        <f t="shared" si="1"/>
        <v>0.26170362899999994</v>
      </c>
      <c r="E58" s="12">
        <f t="shared" si="2"/>
        <v>1.1683197723214283E-2</v>
      </c>
      <c r="F58" s="12">
        <f>E58/Calculation!K$4*1000</f>
        <v>7.9423505936194981E-3</v>
      </c>
      <c r="G58" s="12">
        <f t="shared" si="3"/>
        <v>13.920711629145625</v>
      </c>
    </row>
    <row r="59" spans="1:7">
      <c r="A59" s="12">
        <v>27</v>
      </c>
      <c r="B59" s="84">
        <v>4097.93</v>
      </c>
      <c r="C59" s="12">
        <f t="shared" si="0"/>
        <v>4.0979299999999999</v>
      </c>
      <c r="D59" s="12">
        <f t="shared" si="1"/>
        <v>0.28726489299999997</v>
      </c>
      <c r="E59" s="12">
        <f t="shared" si="2"/>
        <v>1.2824325580357142E-2</v>
      </c>
      <c r="F59" s="12">
        <f>E59/Calculation!K$4*1000</f>
        <v>8.7181003265514225E-3</v>
      </c>
      <c r="G59" s="12">
        <f t="shared" si="3"/>
        <v>14.170618392948189</v>
      </c>
    </row>
    <row r="60" spans="1:7">
      <c r="A60" s="12">
        <v>27.5</v>
      </c>
      <c r="B60" s="84">
        <v>3891.26</v>
      </c>
      <c r="C60" s="12">
        <f t="shared" si="0"/>
        <v>3.8912600000000004</v>
      </c>
      <c r="D60" s="12">
        <f t="shared" si="1"/>
        <v>0.27277732600000004</v>
      </c>
      <c r="E60" s="12">
        <f t="shared" si="2"/>
        <v>1.2177559196428574E-2</v>
      </c>
      <c r="F60" s="12">
        <f>E60/Calculation!K$4*1000</f>
        <v>8.2784222953287395E-3</v>
      </c>
      <c r="G60" s="12">
        <f t="shared" si="3"/>
        <v>14.425566232276392</v>
      </c>
    </row>
    <row r="61" spans="1:7">
      <c r="A61" s="12">
        <v>28</v>
      </c>
      <c r="B61" s="84">
        <v>4033.49</v>
      </c>
      <c r="C61" s="12">
        <f t="shared" si="0"/>
        <v>4.0334899999999996</v>
      </c>
      <c r="D61" s="12">
        <f t="shared" si="1"/>
        <v>0.28274764899999999</v>
      </c>
      <c r="E61" s="12">
        <f t="shared" si="2"/>
        <v>1.2622662901785715E-2</v>
      </c>
      <c r="F61" s="12">
        <f>E61/Calculation!K$4*1000</f>
        <v>8.5810080909488207E-3</v>
      </c>
      <c r="G61" s="12">
        <f t="shared" si="3"/>
        <v>14.678457688070555</v>
      </c>
    </row>
    <row r="62" spans="1:7">
      <c r="A62" s="12">
        <v>28.5</v>
      </c>
      <c r="B62" s="84">
        <v>3940.9</v>
      </c>
      <c r="C62" s="12">
        <f t="shared" si="0"/>
        <v>3.9409000000000001</v>
      </c>
      <c r="D62" s="12">
        <f t="shared" si="1"/>
        <v>0.27625708999999998</v>
      </c>
      <c r="E62" s="12">
        <f t="shared" si="2"/>
        <v>1.2332905803571428E-2</v>
      </c>
      <c r="F62" s="12">
        <f>E62/Calculation!K$4*1000</f>
        <v>8.3840284184713999E-3</v>
      </c>
      <c r="G62" s="12">
        <f t="shared" si="3"/>
        <v>14.932933235711859</v>
      </c>
    </row>
    <row r="63" spans="1:7">
      <c r="A63" s="12">
        <v>29</v>
      </c>
      <c r="B63" s="84">
        <v>4047.81</v>
      </c>
      <c r="C63" s="12">
        <f t="shared" si="0"/>
        <v>4.0478100000000001</v>
      </c>
      <c r="D63" s="12">
        <f t="shared" si="1"/>
        <v>0.28375148099999997</v>
      </c>
      <c r="E63" s="12">
        <f t="shared" si="2"/>
        <v>1.2667476830357143E-2</v>
      </c>
      <c r="F63" s="12">
        <f>E63/Calculation!K$4*1000</f>
        <v>8.6114730321938428E-3</v>
      </c>
      <c r="G63" s="12">
        <f t="shared" si="3"/>
        <v>15.187865757471839</v>
      </c>
    </row>
    <row r="64" spans="1:7">
      <c r="A64" s="12">
        <v>29.5</v>
      </c>
      <c r="B64" s="84">
        <v>3935.65</v>
      </c>
      <c r="C64" s="12">
        <f t="shared" si="0"/>
        <v>3.9356499999999999</v>
      </c>
      <c r="D64" s="12">
        <f t="shared" si="1"/>
        <v>0.27588906499999993</v>
      </c>
      <c r="E64" s="12">
        <f t="shared" si="2"/>
        <v>1.2316476116071427E-2</v>
      </c>
      <c r="F64" s="12">
        <f>E64/Calculation!K$4*1000</f>
        <v>8.372859358308244E-3</v>
      </c>
      <c r="G64" s="12">
        <f t="shared" si="3"/>
        <v>15.442630743329369</v>
      </c>
    </row>
    <row r="65" spans="1:7">
      <c r="A65" s="12">
        <v>30</v>
      </c>
      <c r="B65" s="84">
        <v>3508.96</v>
      </c>
      <c r="C65" s="12">
        <f t="shared" si="0"/>
        <v>3.5089600000000001</v>
      </c>
      <c r="D65" s="12">
        <f t="shared" si="1"/>
        <v>0.24597809600000001</v>
      </c>
      <c r="E65" s="12">
        <f t="shared" si="2"/>
        <v>1.0981165000000001E-2</v>
      </c>
      <c r="F65" s="12">
        <f>E65/Calculation!K$4*1000</f>
        <v>7.465101971447995E-3</v>
      </c>
      <c r="G65" s="12">
        <f t="shared" si="3"/>
        <v>15.680200163275712</v>
      </c>
    </row>
    <row r="66" spans="1:7">
      <c r="A66" s="12">
        <v>30.5</v>
      </c>
      <c r="B66" s="84">
        <v>3851.17</v>
      </c>
      <c r="C66" s="12">
        <f t="shared" si="0"/>
        <v>3.8511700000000002</v>
      </c>
      <c r="D66" s="12">
        <f t="shared" si="1"/>
        <v>0.26996701699999998</v>
      </c>
      <c r="E66" s="12">
        <f t="shared" si="2"/>
        <v>1.2052098973214286E-2</v>
      </c>
      <c r="F66" s="12">
        <f>E66/Calculation!K$4*1000</f>
        <v>8.1931332244828577E-3</v>
      </c>
      <c r="G66" s="12">
        <f t="shared" si="3"/>
        <v>15.915073691214674</v>
      </c>
    </row>
    <row r="67" spans="1:7">
      <c r="A67" s="12">
        <v>31</v>
      </c>
      <c r="B67" s="84">
        <v>4004.86</v>
      </c>
      <c r="C67" s="12">
        <f t="shared" si="0"/>
        <v>4.0048599999999999</v>
      </c>
      <c r="D67" s="12">
        <f t="shared" si="1"/>
        <v>0.28074068599999996</v>
      </c>
      <c r="E67" s="12">
        <f t="shared" si="2"/>
        <v>1.2533066339285713E-2</v>
      </c>
      <c r="F67" s="12">
        <f>E67/Calculation!K$4*1000</f>
        <v>8.520099482859084E-3</v>
      </c>
      <c r="G67" s="12">
        <f t="shared" si="3"/>
        <v>16.165772181824803</v>
      </c>
    </row>
    <row r="68" spans="1:7">
      <c r="A68" s="12">
        <v>31.5</v>
      </c>
      <c r="B68" s="84">
        <v>3950.45</v>
      </c>
      <c r="C68" s="12">
        <f t="shared" si="0"/>
        <v>3.95045</v>
      </c>
      <c r="D68" s="12">
        <f t="shared" si="1"/>
        <v>0.27692654500000002</v>
      </c>
      <c r="E68" s="12">
        <f t="shared" si="2"/>
        <v>1.2362792187500003E-2</v>
      </c>
      <c r="F68" s="12">
        <f>E68/Calculation!K$4*1000</f>
        <v>8.4043454707681854E-3</v>
      </c>
      <c r="G68" s="12">
        <f t="shared" si="3"/>
        <v>16.419638856129211</v>
      </c>
    </row>
    <row r="69" spans="1:7">
      <c r="A69" s="12">
        <v>32</v>
      </c>
      <c r="B69" s="84">
        <v>3902.24</v>
      </c>
      <c r="C69" s="12">
        <f t="shared" si="0"/>
        <v>3.9022399999999999</v>
      </c>
      <c r="D69" s="12">
        <f t="shared" si="1"/>
        <v>0.27354702399999997</v>
      </c>
      <c r="E69" s="12">
        <f t="shared" si="2"/>
        <v>1.2211920714285713E-2</v>
      </c>
      <c r="F69" s="12">
        <f>E69/Calculation!K$4*1000</f>
        <v>8.3017815868699617E-3</v>
      </c>
      <c r="G69" s="12">
        <f t="shared" si="3"/>
        <v>16.670230761993782</v>
      </c>
    </row>
    <row r="70" spans="1:7">
      <c r="A70" s="12">
        <v>32.5</v>
      </c>
      <c r="B70" s="84">
        <v>3816.33</v>
      </c>
      <c r="C70" s="12">
        <f t="shared" ref="C70:C101" si="4">B70/1000</f>
        <v>3.8163299999999998</v>
      </c>
      <c r="D70" s="12">
        <f t="shared" ref="D70:D101" si="5">C70/1000*$B$1</f>
        <v>0.26752473299999996</v>
      </c>
      <c r="E70" s="12">
        <f t="shared" ref="E70:E101" si="6">D70/22.4</f>
        <v>1.1943068437499999E-2</v>
      </c>
      <c r="F70" s="12">
        <f>E70/Calculation!K$4*1000</f>
        <v>8.1190132138001352E-3</v>
      </c>
      <c r="G70" s="12">
        <f t="shared" si="3"/>
        <v>16.916542684003833</v>
      </c>
    </row>
    <row r="71" spans="1:7">
      <c r="A71" s="12">
        <v>33</v>
      </c>
      <c r="B71" s="84">
        <v>3896.04</v>
      </c>
      <c r="C71" s="12">
        <f t="shared" si="4"/>
        <v>3.8960400000000002</v>
      </c>
      <c r="D71" s="12">
        <f t="shared" si="5"/>
        <v>0.27311240399999998</v>
      </c>
      <c r="E71" s="12">
        <f t="shared" si="6"/>
        <v>1.2192518035714285E-2</v>
      </c>
      <c r="F71" s="12">
        <f>E71/Calculation!K$4*1000</f>
        <v>8.2885914586772851E-3</v>
      </c>
      <c r="G71" s="12">
        <f t="shared" ref="G71:G101" si="7">G70+(F71+F70)/2*30</f>
        <v>17.162656754090992</v>
      </c>
    </row>
    <row r="72" spans="1:7">
      <c r="A72" s="12">
        <v>33.5</v>
      </c>
      <c r="B72" s="84">
        <v>3809.17</v>
      </c>
      <c r="C72" s="12">
        <f t="shared" si="4"/>
        <v>3.8091699999999999</v>
      </c>
      <c r="D72" s="12">
        <f t="shared" si="5"/>
        <v>0.26702281699999997</v>
      </c>
      <c r="E72" s="12">
        <f t="shared" si="6"/>
        <v>1.1920661473214285E-2</v>
      </c>
      <c r="F72" s="12">
        <f>E72/Calculation!K$4*1000</f>
        <v>8.1037807431776233E-3</v>
      </c>
      <c r="G72" s="12">
        <f t="shared" si="7"/>
        <v>17.408542337118817</v>
      </c>
    </row>
    <row r="73" spans="1:7">
      <c r="A73" s="12">
        <v>34</v>
      </c>
      <c r="B73" s="84">
        <v>3701.78</v>
      </c>
      <c r="C73" s="12">
        <f t="shared" si="4"/>
        <v>3.7017800000000003</v>
      </c>
      <c r="D73" s="12">
        <f t="shared" si="5"/>
        <v>0.25949477800000004</v>
      </c>
      <c r="E73" s="12">
        <f t="shared" si="6"/>
        <v>1.1584588303571432E-2</v>
      </c>
      <c r="F73" s="12">
        <f>E73/Calculation!K$4*1000</f>
        <v>7.8753149582402662E-3</v>
      </c>
      <c r="G73" s="12">
        <f t="shared" si="7"/>
        <v>17.648228772640085</v>
      </c>
    </row>
    <row r="74" spans="1:7">
      <c r="A74" s="12">
        <v>34.5</v>
      </c>
      <c r="B74" s="84">
        <v>3476.99</v>
      </c>
      <c r="C74" s="12">
        <f t="shared" si="4"/>
        <v>3.4769899999999998</v>
      </c>
      <c r="D74" s="12">
        <f t="shared" si="5"/>
        <v>0.24373699899999995</v>
      </c>
      <c r="E74" s="12">
        <f t="shared" si="6"/>
        <v>1.0881116026785712E-2</v>
      </c>
      <c r="F74" s="12">
        <f>E74/Calculation!K$4*1000</f>
        <v>7.3970877136544612E-3</v>
      </c>
      <c r="G74" s="12">
        <f t="shared" si="7"/>
        <v>17.877314812718506</v>
      </c>
    </row>
    <row r="75" spans="1:7">
      <c r="A75" s="12">
        <v>35</v>
      </c>
      <c r="B75" s="84">
        <v>3482.71</v>
      </c>
      <c r="C75" s="12">
        <f t="shared" si="4"/>
        <v>3.48271</v>
      </c>
      <c r="D75" s="12">
        <f t="shared" si="5"/>
        <v>0.24413797099999998</v>
      </c>
      <c r="E75" s="12">
        <f t="shared" si="6"/>
        <v>1.0899016562500001E-2</v>
      </c>
      <c r="F75" s="12">
        <f>E75/Calculation!K$4*1000</f>
        <v>7.4092566706322237E-3</v>
      </c>
      <c r="G75" s="12">
        <f t="shared" si="7"/>
        <v>18.099409978482807</v>
      </c>
    </row>
    <row r="76" spans="1:7">
      <c r="A76" s="12">
        <v>35.5</v>
      </c>
      <c r="B76" s="84">
        <v>3563.37</v>
      </c>
      <c r="C76" s="12">
        <f t="shared" si="4"/>
        <v>3.5633699999999999</v>
      </c>
      <c r="D76" s="12">
        <f t="shared" si="5"/>
        <v>0.24979223699999997</v>
      </c>
      <c r="E76" s="12">
        <f t="shared" si="6"/>
        <v>1.1151439151785713E-2</v>
      </c>
      <c r="F76" s="12">
        <f>E76/Calculation!K$4*1000</f>
        <v>7.5808559835388936E-3</v>
      </c>
      <c r="G76" s="12">
        <f t="shared" si="7"/>
        <v>18.324261668295375</v>
      </c>
    </row>
    <row r="77" spans="1:7">
      <c r="A77" s="12">
        <v>36</v>
      </c>
      <c r="B77" s="84">
        <v>3424.49</v>
      </c>
      <c r="C77" s="12">
        <f t="shared" si="4"/>
        <v>3.4244899999999996</v>
      </c>
      <c r="D77" s="12">
        <f t="shared" si="5"/>
        <v>0.24005674899999996</v>
      </c>
      <c r="E77" s="12">
        <f t="shared" si="6"/>
        <v>1.0716819151785713E-2</v>
      </c>
      <c r="F77" s="12">
        <f>E77/Calculation!K$4*1000</f>
        <v>7.2853971120229186E-3</v>
      </c>
      <c r="G77" s="12">
        <f t="shared" si="7"/>
        <v>18.547255464728803</v>
      </c>
    </row>
    <row r="78" spans="1:7">
      <c r="A78" s="12">
        <v>36.5</v>
      </c>
      <c r="B78" s="84">
        <v>3288.46</v>
      </c>
      <c r="C78" s="12">
        <f t="shared" si="4"/>
        <v>3.2884600000000002</v>
      </c>
      <c r="D78" s="12">
        <f t="shared" si="5"/>
        <v>0.23052104599999998</v>
      </c>
      <c r="E78" s="12">
        <f t="shared" si="6"/>
        <v>1.0291118125E-2</v>
      </c>
      <c r="F78" s="12">
        <f>E78/Calculation!K$4*1000</f>
        <v>6.9960014445955131E-3</v>
      </c>
      <c r="G78" s="12">
        <f t="shared" si="7"/>
        <v>18.761476443078081</v>
      </c>
    </row>
    <row r="79" spans="1:7">
      <c r="A79" s="12">
        <v>37</v>
      </c>
      <c r="B79" s="84">
        <v>3879.81</v>
      </c>
      <c r="C79" s="12">
        <f t="shared" si="4"/>
        <v>3.87981</v>
      </c>
      <c r="D79" s="12">
        <f t="shared" si="5"/>
        <v>0.271974681</v>
      </c>
      <c r="E79" s="12">
        <f t="shared" si="6"/>
        <v>1.2141726830357143E-2</v>
      </c>
      <c r="F79" s="12">
        <f>E79/Calculation!K$4*1000</f>
        <v>8.2540631069729035E-3</v>
      </c>
      <c r="G79" s="12">
        <f t="shared" si="7"/>
        <v>18.990227411351608</v>
      </c>
    </row>
    <row r="80" spans="1:7">
      <c r="A80" s="12">
        <v>37.5</v>
      </c>
      <c r="B80" s="84">
        <v>3340.01</v>
      </c>
      <c r="C80" s="12">
        <f t="shared" si="4"/>
        <v>3.3400100000000004</v>
      </c>
      <c r="D80" s="12">
        <f t="shared" si="5"/>
        <v>0.234134701</v>
      </c>
      <c r="E80" s="12">
        <f t="shared" si="6"/>
        <v>1.0452442008928572E-2</v>
      </c>
      <c r="F80" s="12">
        <f>E80/Calculation!K$4*1000</f>
        <v>7.105670978197534E-3</v>
      </c>
      <c r="G80" s="12">
        <f t="shared" si="7"/>
        <v>19.220623422629163</v>
      </c>
    </row>
    <row r="81" spans="1:7">
      <c r="A81" s="12">
        <v>38</v>
      </c>
      <c r="B81" s="84">
        <v>3207.8</v>
      </c>
      <c r="C81" s="12">
        <f t="shared" si="4"/>
        <v>3.2078000000000002</v>
      </c>
      <c r="D81" s="12">
        <f t="shared" si="5"/>
        <v>0.22486677999999999</v>
      </c>
      <c r="E81" s="12">
        <f t="shared" si="6"/>
        <v>1.0038695535714286E-2</v>
      </c>
      <c r="F81" s="12">
        <f>E81/Calculation!K$4*1000</f>
        <v>6.8244021316888415E-3</v>
      </c>
      <c r="G81" s="12">
        <f t="shared" si="7"/>
        <v>19.429574519277459</v>
      </c>
    </row>
    <row r="82" spans="1:7">
      <c r="A82" s="12">
        <v>38.5</v>
      </c>
      <c r="B82" s="84">
        <v>3083.23</v>
      </c>
      <c r="C82" s="12">
        <f t="shared" si="4"/>
        <v>3.0832299999999999</v>
      </c>
      <c r="D82" s="12">
        <f t="shared" si="5"/>
        <v>0.21613442299999996</v>
      </c>
      <c r="E82" s="12">
        <f t="shared" si="6"/>
        <v>9.6488581696428568E-3</v>
      </c>
      <c r="F82" s="12">
        <f>E82/Calculation!K$4*1000</f>
        <v>6.5593869270175777E-3</v>
      </c>
      <c r="G82" s="12">
        <f t="shared" si="7"/>
        <v>19.630331355158056</v>
      </c>
    </row>
    <row r="83" spans="1:7">
      <c r="A83" s="12">
        <v>39</v>
      </c>
      <c r="B83" s="84">
        <v>3090.87</v>
      </c>
      <c r="C83" s="12">
        <f t="shared" si="4"/>
        <v>3.0908699999999998</v>
      </c>
      <c r="D83" s="12">
        <f t="shared" si="5"/>
        <v>0.21666998699999998</v>
      </c>
      <c r="E83" s="12">
        <f t="shared" si="6"/>
        <v>9.6727672767857147E-3</v>
      </c>
      <c r="F83" s="12">
        <f>E83/Calculation!K$4*1000</f>
        <v>6.5756405688550072E-3</v>
      </c>
      <c r="G83" s="12">
        <f t="shared" si="7"/>
        <v>19.827356767596143</v>
      </c>
    </row>
    <row r="84" spans="1:7">
      <c r="A84" s="12">
        <v>39.5</v>
      </c>
      <c r="B84" s="84">
        <v>3113.78</v>
      </c>
      <c r="C84" s="12">
        <f t="shared" si="4"/>
        <v>3.1137800000000002</v>
      </c>
      <c r="D84" s="12">
        <f t="shared" si="5"/>
        <v>0.21827597799999998</v>
      </c>
      <c r="E84" s="12">
        <f t="shared" si="6"/>
        <v>9.7444633035714285E-3</v>
      </c>
      <c r="F84" s="12">
        <f>E84/Calculation!K$4*1000</f>
        <v>6.6243802199669804E-3</v>
      </c>
      <c r="G84" s="12">
        <f t="shared" si="7"/>
        <v>20.025357079428474</v>
      </c>
    </row>
    <row r="85" spans="1:7">
      <c r="A85" s="12">
        <v>40</v>
      </c>
      <c r="B85" s="84">
        <v>3001.14</v>
      </c>
      <c r="C85" s="12">
        <f t="shared" si="4"/>
        <v>3.0011399999999999</v>
      </c>
      <c r="D85" s="12">
        <f t="shared" si="5"/>
        <v>0.21037991399999997</v>
      </c>
      <c r="E85" s="12">
        <f t="shared" si="6"/>
        <v>9.3919604464285707E-3</v>
      </c>
      <c r="F85" s="12">
        <f>E85/Calculation!K$4*1000</f>
        <v>6.384745374866465E-3</v>
      </c>
      <c r="G85" s="12">
        <f t="shared" si="7"/>
        <v>20.220493963350975</v>
      </c>
    </row>
    <row r="86" spans="1:7">
      <c r="A86" s="12">
        <v>40.5</v>
      </c>
      <c r="B86" s="84">
        <v>2823.59</v>
      </c>
      <c r="C86" s="12">
        <f t="shared" si="4"/>
        <v>2.8235900000000003</v>
      </c>
      <c r="D86" s="12">
        <f t="shared" si="5"/>
        <v>0.19793365900000001</v>
      </c>
      <c r="E86" s="12">
        <f t="shared" si="6"/>
        <v>8.8363240625000013E-3</v>
      </c>
      <c r="F86" s="12">
        <f>E86/Calculation!K$4*1000</f>
        <v>6.0070183973487427E-3</v>
      </c>
      <c r="G86" s="12">
        <f t="shared" si="7"/>
        <v>20.406370419934202</v>
      </c>
    </row>
    <row r="87" spans="1:7">
      <c r="A87" s="12">
        <v>41</v>
      </c>
      <c r="B87" s="84">
        <v>2702.84</v>
      </c>
      <c r="C87" s="12">
        <f t="shared" si="4"/>
        <v>2.7028400000000001</v>
      </c>
      <c r="D87" s="12">
        <f t="shared" si="5"/>
        <v>0.18946908400000001</v>
      </c>
      <c r="E87" s="12">
        <f t="shared" si="6"/>
        <v>8.4584412500000004E-3</v>
      </c>
      <c r="F87" s="12">
        <f>E87/Calculation!K$4*1000</f>
        <v>5.7501300135961927E-3</v>
      </c>
      <c r="G87" s="12">
        <f t="shared" si="7"/>
        <v>20.582727646098377</v>
      </c>
    </row>
    <row r="88" spans="1:7">
      <c r="A88" s="12">
        <v>41.5</v>
      </c>
      <c r="B88" s="84">
        <v>2812.13</v>
      </c>
      <c r="C88" s="12">
        <f t="shared" si="4"/>
        <v>2.8121300000000002</v>
      </c>
      <c r="D88" s="12">
        <f t="shared" si="5"/>
        <v>0.197130313</v>
      </c>
      <c r="E88" s="12">
        <f t="shared" si="6"/>
        <v>8.8004604017857153E-3</v>
      </c>
      <c r="F88" s="12">
        <f>E88/Calculation!K$4*1000</f>
        <v>5.9826379345926002E-3</v>
      </c>
      <c r="G88" s="12">
        <f t="shared" si="7"/>
        <v>20.75871916532121</v>
      </c>
    </row>
    <row r="89" spans="1:7">
      <c r="A89" s="12">
        <v>42</v>
      </c>
      <c r="B89" s="84">
        <v>2665.61</v>
      </c>
      <c r="C89" s="12">
        <f t="shared" si="4"/>
        <v>2.66561</v>
      </c>
      <c r="D89" s="12">
        <f t="shared" si="5"/>
        <v>0.186859261</v>
      </c>
      <c r="E89" s="12">
        <f t="shared" si="6"/>
        <v>8.3419312946428573E-3</v>
      </c>
      <c r="F89" s="12">
        <f>E89/Calculation!K$4*1000</f>
        <v>5.6709254212391966E-3</v>
      </c>
      <c r="G89" s="12">
        <f t="shared" si="7"/>
        <v>20.933522615658688</v>
      </c>
    </row>
    <row r="90" spans="1:7">
      <c r="A90" s="12">
        <v>42.5</v>
      </c>
      <c r="B90" s="84">
        <v>2470.4</v>
      </c>
      <c r="C90" s="12">
        <f t="shared" si="4"/>
        <v>2.4704000000000002</v>
      </c>
      <c r="D90" s="12">
        <f t="shared" si="5"/>
        <v>0.17317504</v>
      </c>
      <c r="E90" s="12">
        <f t="shared" si="6"/>
        <v>7.731028571428572E-3</v>
      </c>
      <c r="F90" s="12">
        <f>E90/Calculation!K$4*1000</f>
        <v>5.2556278527726525E-3</v>
      </c>
      <c r="G90" s="12">
        <f t="shared" si="7"/>
        <v>21.097420914768865</v>
      </c>
    </row>
    <row r="91" spans="1:7">
      <c r="A91" s="12">
        <v>43</v>
      </c>
      <c r="B91" s="84">
        <v>2636.02</v>
      </c>
      <c r="C91" s="12">
        <f t="shared" si="4"/>
        <v>2.6360199999999998</v>
      </c>
      <c r="D91" s="12">
        <f t="shared" si="5"/>
        <v>0.18478500199999998</v>
      </c>
      <c r="E91" s="12">
        <f t="shared" si="6"/>
        <v>8.2493304464285704E-3</v>
      </c>
      <c r="F91" s="12">
        <f>E91/Calculation!K$4*1000</f>
        <v>5.6079744707196264E-3</v>
      </c>
      <c r="G91" s="12">
        <f t="shared" si="7"/>
        <v>21.260374949621248</v>
      </c>
    </row>
    <row r="92" spans="1:7">
      <c r="A92" s="12">
        <v>43.5</v>
      </c>
      <c r="B92" s="84">
        <v>2385.4499999999998</v>
      </c>
      <c r="C92" s="12">
        <f t="shared" si="4"/>
        <v>2.3854499999999996</v>
      </c>
      <c r="D92" s="12">
        <f t="shared" si="5"/>
        <v>0.16722004499999996</v>
      </c>
      <c r="E92" s="12">
        <f t="shared" si="6"/>
        <v>7.4651805803571418E-3</v>
      </c>
      <c r="F92" s="12">
        <f>E92/Calculation!K$4*1000</f>
        <v>5.0749018221326594E-3</v>
      </c>
      <c r="G92" s="12">
        <f t="shared" si="7"/>
        <v>21.420618094014031</v>
      </c>
    </row>
    <row r="93" spans="1:7">
      <c r="A93" s="12">
        <v>44</v>
      </c>
      <c r="B93" s="84">
        <v>2331.5100000000002</v>
      </c>
      <c r="C93" s="12">
        <f t="shared" si="4"/>
        <v>2.3315100000000002</v>
      </c>
      <c r="D93" s="12">
        <f t="shared" si="5"/>
        <v>0.163438851</v>
      </c>
      <c r="E93" s="12">
        <f t="shared" si="6"/>
        <v>7.2963772767857147E-3</v>
      </c>
      <c r="F93" s="12">
        <f>E93/Calculation!K$4*1000</f>
        <v>4.9601477068563667E-3</v>
      </c>
      <c r="G93" s="12">
        <f t="shared" si="7"/>
        <v>21.571143836948867</v>
      </c>
    </row>
    <row r="94" spans="1:7">
      <c r="A94" s="12">
        <v>44.5</v>
      </c>
      <c r="B94" s="84">
        <v>2348.2199999999998</v>
      </c>
      <c r="C94" s="12">
        <f t="shared" si="4"/>
        <v>2.34822</v>
      </c>
      <c r="D94" s="12">
        <f t="shared" si="5"/>
        <v>0.16461022199999997</v>
      </c>
      <c r="E94" s="12">
        <f t="shared" si="6"/>
        <v>7.3486706249999995E-3</v>
      </c>
      <c r="F94" s="12">
        <f>E94/Calculation!K$4*1000</f>
        <v>4.9956972297756624E-3</v>
      </c>
      <c r="G94" s="12">
        <f t="shared" si="7"/>
        <v>21.720481510998347</v>
      </c>
    </row>
    <row r="95" spans="1:7">
      <c r="A95" s="12">
        <v>45</v>
      </c>
      <c r="B95" s="84">
        <v>2306.69</v>
      </c>
      <c r="C95" s="12">
        <f t="shared" si="4"/>
        <v>2.3066900000000001</v>
      </c>
      <c r="D95" s="12">
        <f t="shared" si="5"/>
        <v>0.161698969</v>
      </c>
      <c r="E95" s="12">
        <f t="shared" si="6"/>
        <v>7.218703973214286E-3</v>
      </c>
      <c r="F95" s="12">
        <f>E95/Calculation!K$4*1000</f>
        <v>4.9073446452850347E-3</v>
      </c>
      <c r="G95" s="12">
        <f t="shared" si="7"/>
        <v>21.869027139124256</v>
      </c>
    </row>
    <row r="96" spans="1:7">
      <c r="A96" s="12">
        <v>45.5</v>
      </c>
      <c r="B96" s="84">
        <v>2167.81</v>
      </c>
      <c r="C96" s="12">
        <f t="shared" si="4"/>
        <v>2.1678099999999998</v>
      </c>
      <c r="D96" s="12">
        <f t="shared" si="5"/>
        <v>0.15196348099999996</v>
      </c>
      <c r="E96" s="12">
        <f t="shared" si="6"/>
        <v>6.7840839732142841E-3</v>
      </c>
      <c r="F96" s="12">
        <f>E96/Calculation!K$4*1000</f>
        <v>4.611885773769058E-3</v>
      </c>
      <c r="G96" s="12">
        <f t="shared" si="7"/>
        <v>22.011815595410066</v>
      </c>
    </row>
    <row r="97" spans="1:7">
      <c r="A97" s="12">
        <v>46</v>
      </c>
      <c r="B97" s="84">
        <v>2188.33</v>
      </c>
      <c r="C97" s="12">
        <f t="shared" si="4"/>
        <v>2.1883300000000001</v>
      </c>
      <c r="D97" s="12">
        <f t="shared" si="5"/>
        <v>0.15340193299999999</v>
      </c>
      <c r="E97" s="12">
        <f t="shared" si="6"/>
        <v>6.8483005803571433E-3</v>
      </c>
      <c r="F97" s="12">
        <f>E97/Calculation!K$4*1000</f>
        <v>4.6555408432067593E-3</v>
      </c>
      <c r="G97" s="12">
        <f t="shared" si="7"/>
        <v>22.150826994664705</v>
      </c>
    </row>
    <row r="98" spans="1:7">
      <c r="A98" s="12">
        <v>46.5</v>
      </c>
      <c r="B98" s="84">
        <v>1981.67</v>
      </c>
      <c r="C98" s="12">
        <f t="shared" si="4"/>
        <v>1.98167</v>
      </c>
      <c r="D98" s="12">
        <f t="shared" si="5"/>
        <v>0.138915067</v>
      </c>
      <c r="E98" s="12">
        <f t="shared" si="6"/>
        <v>6.2015654910714292E-3</v>
      </c>
      <c r="F98" s="12">
        <f>E98/Calculation!K$4*1000</f>
        <v>4.2158840863843845E-3</v>
      </c>
      <c r="G98" s="12">
        <f t="shared" si="7"/>
        <v>22.283898368608572</v>
      </c>
    </row>
    <row r="99" spans="1:7">
      <c r="A99" s="12">
        <v>47</v>
      </c>
      <c r="B99" s="84">
        <v>1984.05</v>
      </c>
      <c r="C99" s="12">
        <f t="shared" si="4"/>
        <v>1.9840499999999999</v>
      </c>
      <c r="D99" s="12">
        <f t="shared" si="5"/>
        <v>0.13908190499999998</v>
      </c>
      <c r="E99" s="12">
        <f t="shared" si="6"/>
        <v>6.2090136160714276E-3</v>
      </c>
      <c r="F99" s="12">
        <f>E99/Calculation!K$4*1000</f>
        <v>4.2209473936583464E-3</v>
      </c>
      <c r="G99" s="12">
        <f t="shared" si="7"/>
        <v>22.410450840809212</v>
      </c>
    </row>
    <row r="100" spans="1:7">
      <c r="A100" s="12">
        <v>47.5</v>
      </c>
      <c r="B100" s="84">
        <v>1622.28</v>
      </c>
      <c r="C100" s="12">
        <f t="shared" si="4"/>
        <v>1.6222799999999999</v>
      </c>
      <c r="D100" s="12">
        <f t="shared" si="5"/>
        <v>0.113721828</v>
      </c>
      <c r="E100" s="12">
        <f t="shared" si="6"/>
        <v>5.0768673214285718E-3</v>
      </c>
      <c r="F100" s="12">
        <f>E100/Calculation!K$4*1000</f>
        <v>3.4513034136156168E-3</v>
      </c>
      <c r="G100" s="12">
        <f t="shared" si="7"/>
        <v>22.52553460291832</v>
      </c>
    </row>
    <row r="101" spans="1:7">
      <c r="A101" s="12">
        <v>48</v>
      </c>
      <c r="B101" s="84">
        <v>1720.12</v>
      </c>
      <c r="C101" s="12">
        <f t="shared" si="4"/>
        <v>1.7201199999999999</v>
      </c>
      <c r="D101" s="12">
        <f t="shared" si="5"/>
        <v>0.12058041199999998</v>
      </c>
      <c r="E101" s="12">
        <f t="shared" si="6"/>
        <v>5.3830541071428571E-3</v>
      </c>
      <c r="F101" s="12">
        <f>E101/Calculation!K$4*1000</f>
        <v>3.6594521462561913E-3</v>
      </c>
      <c r="G101" s="12">
        <f t="shared" si="7"/>
        <v>22.632195936316396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CalibrationB. hydrogenotrophica</vt:lpstr>
      <vt:lpstr>Determination cell count GOOD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2016-04-13T16:19:17Z</dcterms:modified>
</cp:coreProperties>
</file>