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0" yWindow="0" windowWidth="25520" windowHeight="15600" tabRatio="930" firstSheet="21" activeTab="26"/>
  </bookViews>
  <sheets>
    <sheet name="Fermentation" sheetId="1" r:id="rId1"/>
    <sheet name="Calculation" sheetId="2" r:id="rId2"/>
    <sheet name="Plate Count" sheetId="3" r:id="rId3"/>
    <sheet name="Flow cytometer" sheetId="22" r:id="rId4"/>
    <sheet name="CalibrationB. hydrogenotrophica" sheetId="29" r:id="rId5"/>
    <sheet name="Determination cell count GOOD" sheetId="27" r:id="rId6"/>
    <sheet name="OD600nm" sheetId="4" r:id="rId7"/>
    <sheet name="CDM" sheetId="5" r:id="rId8"/>
    <sheet name="H2" sheetId="17" r:id="rId9"/>
    <sheet name="CO2" sheetId="7" r:id="rId10"/>
    <sheet name="Metabolites" sheetId="8" r:id="rId11"/>
    <sheet name="D-Fructose" sheetId="19" r:id="rId12"/>
    <sheet name="Formic acid" sheetId="18" r:id="rId13"/>
    <sheet name="Acetic acid" sheetId="15" r:id="rId14"/>
    <sheet name="Propionic acid" sheetId="20" r:id="rId15"/>
    <sheet name="Butyric acid" sheetId="21" r:id="rId16"/>
    <sheet name="Lactic acid" sheetId="14" r:id="rId17"/>
    <sheet name="Ethanol" sheetId="16" r:id="rId18"/>
    <sheet name="Results Focus GC" sheetId="30" r:id="rId19"/>
    <sheet name="calibration ethanol" sheetId="31" r:id="rId20"/>
    <sheet name="Calibration acetic acid" sheetId="32" r:id="rId21"/>
    <sheet name="Calibration propionic acid" sheetId="33" r:id="rId22"/>
    <sheet name="Calibration butyric acid" sheetId="34" r:id="rId23"/>
    <sheet name="Calibration isobutyric acid" sheetId="35" r:id="rId24"/>
    <sheet name="Calibration isovaleric acid" sheetId="36" r:id="rId25"/>
    <sheet name="Calibration 2-methylbutyric a" sheetId="37" r:id="rId26"/>
    <sheet name="Graph" sheetId="13" r:id="rId27"/>
    <sheet name="Graph (2)" sheetId="24" r:id="rId28"/>
    <sheet name="Carbon recovery" sheetId="23" r:id="rId29"/>
  </sheets>
  <definedNames>
    <definedName name="_2012_05_10_FPRAU_fruc1" localSheetId="9">'CO2'!$I$5:$I$293</definedName>
    <definedName name="_2012_06_08_BIF_REC_OLI_1" localSheetId="9">'CO2'!$N$5:$N$201</definedName>
    <definedName name="_2012_06_08_BIF_REC_OLI_1" localSheetId="8">'H2'!$K$5:$K$244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27" l="1"/>
  <c r="K21" i="27"/>
  <c r="I21" i="27"/>
  <c r="L21" i="27"/>
  <c r="J21" i="27"/>
  <c r="M21" i="27"/>
  <c r="O21" i="27"/>
  <c r="S21" i="27"/>
  <c r="H20" i="27"/>
  <c r="K20" i="27"/>
  <c r="I20" i="27"/>
  <c r="L20" i="27"/>
  <c r="J20" i="27"/>
  <c r="M20" i="27"/>
  <c r="O20" i="27"/>
  <c r="S20" i="27"/>
  <c r="H19" i="27"/>
  <c r="K19" i="27"/>
  <c r="I19" i="27"/>
  <c r="L19" i="27"/>
  <c r="J19" i="27"/>
  <c r="M19" i="27"/>
  <c r="O19" i="27"/>
  <c r="S19" i="27"/>
  <c r="H18" i="27"/>
  <c r="K18" i="27"/>
  <c r="I18" i="27"/>
  <c r="L18" i="27"/>
  <c r="J18" i="27"/>
  <c r="M18" i="27"/>
  <c r="O18" i="27"/>
  <c r="S18" i="27"/>
  <c r="H17" i="27"/>
  <c r="K17" i="27"/>
  <c r="I17" i="27"/>
  <c r="L17" i="27"/>
  <c r="J17" i="27"/>
  <c r="M17" i="27"/>
  <c r="O17" i="27"/>
  <c r="S17" i="27"/>
  <c r="H16" i="27"/>
  <c r="K16" i="27"/>
  <c r="I16" i="27"/>
  <c r="L16" i="27"/>
  <c r="J16" i="27"/>
  <c r="M16" i="27"/>
  <c r="O16" i="27"/>
  <c r="S16" i="27"/>
  <c r="H15" i="27"/>
  <c r="K15" i="27"/>
  <c r="I15" i="27"/>
  <c r="L15" i="27"/>
  <c r="J15" i="27"/>
  <c r="M15" i="27"/>
  <c r="O15" i="27"/>
  <c r="S15" i="27"/>
  <c r="H14" i="27"/>
  <c r="K14" i="27"/>
  <c r="I14" i="27"/>
  <c r="L14" i="27"/>
  <c r="J14" i="27"/>
  <c r="M14" i="27"/>
  <c r="O14" i="27"/>
  <c r="S14" i="27"/>
  <c r="H13" i="27"/>
  <c r="K13" i="27"/>
  <c r="I13" i="27"/>
  <c r="L13" i="27"/>
  <c r="J13" i="27"/>
  <c r="M13" i="27"/>
  <c r="O13" i="27"/>
  <c r="S13" i="27"/>
  <c r="H12" i="27"/>
  <c r="K12" i="27"/>
  <c r="I12" i="27"/>
  <c r="L12" i="27"/>
  <c r="J12" i="27"/>
  <c r="M12" i="27"/>
  <c r="O12" i="27"/>
  <c r="S12" i="27"/>
  <c r="H11" i="27"/>
  <c r="K11" i="27"/>
  <c r="I11" i="27"/>
  <c r="L11" i="27"/>
  <c r="J11" i="27"/>
  <c r="M11" i="27"/>
  <c r="O11" i="27"/>
  <c r="S11" i="27"/>
  <c r="H10" i="27"/>
  <c r="K10" i="27"/>
  <c r="I10" i="27"/>
  <c r="L10" i="27"/>
  <c r="J10" i="27"/>
  <c r="M10" i="27"/>
  <c r="O10" i="27"/>
  <c r="S10" i="27"/>
  <c r="H9" i="27"/>
  <c r="K9" i="27"/>
  <c r="I9" i="27"/>
  <c r="L9" i="27"/>
  <c r="J9" i="27"/>
  <c r="M9" i="27"/>
  <c r="O9" i="27"/>
  <c r="S9" i="27"/>
  <c r="H8" i="27"/>
  <c r="K8" i="27"/>
  <c r="I8" i="27"/>
  <c r="L8" i="27"/>
  <c r="J8" i="27"/>
  <c r="M8" i="27"/>
  <c r="O8" i="27"/>
  <c r="S8" i="27"/>
  <c r="H6" i="27"/>
  <c r="K6" i="27"/>
  <c r="I6" i="27"/>
  <c r="L6" i="27"/>
  <c r="J6" i="27"/>
  <c r="M6" i="27"/>
  <c r="O6" i="27"/>
  <c r="S6" i="27"/>
  <c r="H7" i="27"/>
  <c r="K7" i="27"/>
  <c r="I7" i="27"/>
  <c r="L7" i="27"/>
  <c r="J7" i="27"/>
  <c r="M7" i="27"/>
  <c r="O7" i="27"/>
  <c r="S7" i="27"/>
  <c r="H5" i="27"/>
  <c r="K5" i="27"/>
  <c r="I5" i="27"/>
  <c r="L5" i="27"/>
  <c r="J5" i="27"/>
  <c r="M5" i="27"/>
  <c r="O5" i="27"/>
  <c r="S5" i="27"/>
  <c r="H4" i="27"/>
  <c r="K4" i="27"/>
  <c r="I4" i="27"/>
  <c r="L4" i="27"/>
  <c r="J4" i="27"/>
  <c r="M4" i="27"/>
  <c r="O4" i="27"/>
  <c r="S4" i="27"/>
  <c r="P21" i="27"/>
  <c r="R21" i="27"/>
  <c r="P20" i="27"/>
  <c r="R20" i="27"/>
  <c r="P19" i="27"/>
  <c r="R19" i="27"/>
  <c r="P18" i="27"/>
  <c r="R18" i="27"/>
  <c r="P17" i="27"/>
  <c r="R17" i="27"/>
  <c r="P16" i="27"/>
  <c r="R16" i="27"/>
  <c r="P15" i="27"/>
  <c r="R15" i="27"/>
  <c r="P14" i="27"/>
  <c r="R14" i="27"/>
  <c r="P13" i="27"/>
  <c r="R13" i="27"/>
  <c r="P12" i="27"/>
  <c r="R12" i="27"/>
  <c r="P11" i="27"/>
  <c r="R11" i="27"/>
  <c r="P10" i="27"/>
  <c r="R10" i="27"/>
  <c r="P9" i="27"/>
  <c r="R9" i="27"/>
  <c r="P8" i="27"/>
  <c r="R8" i="27"/>
  <c r="P7" i="27"/>
  <c r="R7" i="27"/>
  <c r="P6" i="27"/>
  <c r="R6" i="27"/>
  <c r="P5" i="27"/>
  <c r="R5" i="27"/>
  <c r="P4" i="27"/>
  <c r="R4" i="27"/>
  <c r="Q21" i="27"/>
  <c r="Q20" i="27"/>
  <c r="Q18" i="27"/>
  <c r="Q19" i="27"/>
  <c r="Q17" i="27"/>
  <c r="Q16" i="27"/>
  <c r="Q15" i="27"/>
  <c r="Q14" i="27"/>
  <c r="Q13" i="27"/>
  <c r="Q12" i="27"/>
  <c r="Q11" i="27"/>
  <c r="Q10" i="27"/>
  <c r="Q9" i="27"/>
  <c r="Q8" i="27"/>
  <c r="Q7" i="27"/>
  <c r="Q6" i="27"/>
  <c r="Q5" i="27"/>
  <c r="Q4" i="27"/>
  <c r="N21" i="27"/>
  <c r="N20" i="27"/>
  <c r="N19" i="27"/>
  <c r="N18" i="27"/>
  <c r="N17" i="27"/>
  <c r="N16" i="27"/>
  <c r="N15" i="27"/>
  <c r="N14" i="27"/>
  <c r="N13" i="27"/>
  <c r="N12" i="27"/>
  <c r="N11" i="27"/>
  <c r="N10" i="27"/>
  <c r="N9" i="27"/>
  <c r="N8" i="27"/>
  <c r="N7" i="27"/>
  <c r="N6" i="27"/>
  <c r="N5" i="27"/>
  <c r="N4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7" i="27"/>
  <c r="H9" i="37"/>
  <c r="C9" i="37"/>
  <c r="D9" i="37"/>
  <c r="E9" i="37"/>
  <c r="H8" i="37"/>
  <c r="B8" i="37"/>
  <c r="C8" i="37"/>
  <c r="D8" i="37"/>
  <c r="E8" i="37"/>
  <c r="H7" i="37"/>
  <c r="B7" i="37"/>
  <c r="C7" i="37"/>
  <c r="D7" i="37"/>
  <c r="E7" i="37"/>
  <c r="H6" i="37"/>
  <c r="B6" i="37"/>
  <c r="C6" i="37"/>
  <c r="D6" i="37"/>
  <c r="E6" i="37"/>
  <c r="H5" i="37"/>
  <c r="B5" i="37"/>
  <c r="C5" i="37"/>
  <c r="D5" i="37"/>
  <c r="E5" i="37"/>
  <c r="H4" i="37"/>
  <c r="B4" i="37"/>
  <c r="C4" i="37"/>
  <c r="D4" i="37"/>
  <c r="E4" i="37"/>
  <c r="H3" i="37"/>
  <c r="B3" i="37"/>
  <c r="C3" i="37"/>
  <c r="D3" i="37"/>
  <c r="E3" i="37"/>
  <c r="H2" i="37"/>
  <c r="B2" i="37"/>
  <c r="C2" i="37"/>
  <c r="D2" i="37"/>
  <c r="E2" i="37"/>
  <c r="H9" i="36"/>
  <c r="C9" i="36"/>
  <c r="D9" i="36"/>
  <c r="E9" i="36"/>
  <c r="H8" i="36"/>
  <c r="B8" i="36"/>
  <c r="C8" i="36"/>
  <c r="D8" i="36"/>
  <c r="E8" i="36"/>
  <c r="H7" i="36"/>
  <c r="B7" i="36"/>
  <c r="C7" i="36"/>
  <c r="D7" i="36"/>
  <c r="E7" i="36"/>
  <c r="H6" i="36"/>
  <c r="B6" i="36"/>
  <c r="C6" i="36"/>
  <c r="D6" i="36"/>
  <c r="E6" i="36"/>
  <c r="H5" i="36"/>
  <c r="B5" i="36"/>
  <c r="C5" i="36"/>
  <c r="D5" i="36"/>
  <c r="E5" i="36"/>
  <c r="H4" i="36"/>
  <c r="B4" i="36"/>
  <c r="C4" i="36"/>
  <c r="D4" i="36"/>
  <c r="E4" i="36"/>
  <c r="H3" i="36"/>
  <c r="B3" i="36"/>
  <c r="C3" i="36"/>
  <c r="D3" i="36"/>
  <c r="E3" i="36"/>
  <c r="H2" i="36"/>
  <c r="B2" i="36"/>
  <c r="C2" i="36"/>
  <c r="D2" i="36"/>
  <c r="E2" i="36"/>
  <c r="H9" i="35"/>
  <c r="C9" i="35"/>
  <c r="D9" i="35"/>
  <c r="E9" i="35"/>
  <c r="H8" i="35"/>
  <c r="B8" i="35"/>
  <c r="C8" i="35"/>
  <c r="D8" i="35"/>
  <c r="E8" i="35"/>
  <c r="H7" i="35"/>
  <c r="B7" i="35"/>
  <c r="C7" i="35"/>
  <c r="D7" i="35"/>
  <c r="E7" i="35"/>
  <c r="H6" i="35"/>
  <c r="B6" i="35"/>
  <c r="C6" i="35"/>
  <c r="D6" i="35"/>
  <c r="E6" i="35"/>
  <c r="H5" i="35"/>
  <c r="B5" i="35"/>
  <c r="C5" i="35"/>
  <c r="D5" i="35"/>
  <c r="E5" i="35"/>
  <c r="H4" i="35"/>
  <c r="B4" i="35"/>
  <c r="C4" i="35"/>
  <c r="D4" i="35"/>
  <c r="E4" i="35"/>
  <c r="H3" i="35"/>
  <c r="B3" i="35"/>
  <c r="C3" i="35"/>
  <c r="D3" i="35"/>
  <c r="E3" i="35"/>
  <c r="H2" i="35"/>
  <c r="B2" i="35"/>
  <c r="C2" i="35"/>
  <c r="D2" i="35"/>
  <c r="E2" i="35"/>
  <c r="H9" i="34"/>
  <c r="C9" i="34"/>
  <c r="D9" i="34"/>
  <c r="E9" i="34"/>
  <c r="H8" i="34"/>
  <c r="B8" i="34"/>
  <c r="C8" i="34"/>
  <c r="D8" i="34"/>
  <c r="E8" i="34"/>
  <c r="H7" i="34"/>
  <c r="B7" i="34"/>
  <c r="C7" i="34"/>
  <c r="D7" i="34"/>
  <c r="E7" i="34"/>
  <c r="H6" i="34"/>
  <c r="B6" i="34"/>
  <c r="C6" i="34"/>
  <c r="D6" i="34"/>
  <c r="E6" i="34"/>
  <c r="H5" i="34"/>
  <c r="B5" i="34"/>
  <c r="C5" i="34"/>
  <c r="D5" i="34"/>
  <c r="E5" i="34"/>
  <c r="H4" i="34"/>
  <c r="B4" i="34"/>
  <c r="C4" i="34"/>
  <c r="D4" i="34"/>
  <c r="E4" i="34"/>
  <c r="H3" i="34"/>
  <c r="B3" i="34"/>
  <c r="C3" i="34"/>
  <c r="D3" i="34"/>
  <c r="E3" i="34"/>
  <c r="H2" i="34"/>
  <c r="B2" i="34"/>
  <c r="C2" i="34"/>
  <c r="D2" i="34"/>
  <c r="E2" i="34"/>
  <c r="H9" i="33"/>
  <c r="C9" i="33"/>
  <c r="D9" i="33"/>
  <c r="E9" i="33"/>
  <c r="H8" i="33"/>
  <c r="B8" i="33"/>
  <c r="C8" i="33"/>
  <c r="D8" i="33"/>
  <c r="E8" i="33"/>
  <c r="H7" i="33"/>
  <c r="B7" i="33"/>
  <c r="C7" i="33"/>
  <c r="D7" i="33"/>
  <c r="E7" i="33"/>
  <c r="H6" i="33"/>
  <c r="B6" i="33"/>
  <c r="C6" i="33"/>
  <c r="D6" i="33"/>
  <c r="E6" i="33"/>
  <c r="H5" i="33"/>
  <c r="B5" i="33"/>
  <c r="C5" i="33"/>
  <c r="D5" i="33"/>
  <c r="E5" i="33"/>
  <c r="H4" i="33"/>
  <c r="B4" i="33"/>
  <c r="C4" i="33"/>
  <c r="D4" i="33"/>
  <c r="E4" i="33"/>
  <c r="H3" i="33"/>
  <c r="B3" i="33"/>
  <c r="C3" i="33"/>
  <c r="D3" i="33"/>
  <c r="E3" i="33"/>
  <c r="H2" i="33"/>
  <c r="B2" i="33"/>
  <c r="C2" i="33"/>
  <c r="D2" i="33"/>
  <c r="E2" i="33"/>
  <c r="H9" i="32"/>
  <c r="C9" i="32"/>
  <c r="D9" i="32"/>
  <c r="E9" i="32"/>
  <c r="H8" i="32"/>
  <c r="B8" i="32"/>
  <c r="C8" i="32"/>
  <c r="D8" i="32"/>
  <c r="E8" i="32"/>
  <c r="H7" i="32"/>
  <c r="B7" i="32"/>
  <c r="C7" i="32"/>
  <c r="D7" i="32"/>
  <c r="E7" i="32"/>
  <c r="H6" i="32"/>
  <c r="B6" i="32"/>
  <c r="C6" i="32"/>
  <c r="D6" i="32"/>
  <c r="E6" i="32"/>
  <c r="H5" i="32"/>
  <c r="B5" i="32"/>
  <c r="C5" i="32"/>
  <c r="D5" i="32"/>
  <c r="E5" i="32"/>
  <c r="H4" i="32"/>
  <c r="B4" i="32"/>
  <c r="C4" i="32"/>
  <c r="D4" i="32"/>
  <c r="E4" i="32"/>
  <c r="H3" i="32"/>
  <c r="B3" i="32"/>
  <c r="C3" i="32"/>
  <c r="D3" i="32"/>
  <c r="E3" i="32"/>
  <c r="H2" i="32"/>
  <c r="B2" i="32"/>
  <c r="C2" i="32"/>
  <c r="D2" i="32"/>
  <c r="E2" i="32"/>
  <c r="H9" i="31"/>
  <c r="C9" i="31"/>
  <c r="D9" i="31"/>
  <c r="E9" i="31"/>
  <c r="H8" i="31"/>
  <c r="B8" i="31"/>
  <c r="C8" i="31"/>
  <c r="D8" i="31"/>
  <c r="E8" i="31"/>
  <c r="H7" i="31"/>
  <c r="B7" i="31"/>
  <c r="C7" i="31"/>
  <c r="D7" i="31"/>
  <c r="E7" i="31"/>
  <c r="H6" i="31"/>
  <c r="B6" i="31"/>
  <c r="C6" i="31"/>
  <c r="D6" i="31"/>
  <c r="E6" i="31"/>
  <c r="H5" i="31"/>
  <c r="B5" i="31"/>
  <c r="C5" i="31"/>
  <c r="D5" i="31"/>
  <c r="E5" i="31"/>
  <c r="H4" i="31"/>
  <c r="B4" i="31"/>
  <c r="C4" i="31"/>
  <c r="D4" i="31"/>
  <c r="E4" i="31"/>
  <c r="H3" i="31"/>
  <c r="B3" i="31"/>
  <c r="C3" i="31"/>
  <c r="D3" i="31"/>
  <c r="E3" i="31"/>
  <c r="H2" i="31"/>
  <c r="B2" i="31"/>
  <c r="C2" i="31"/>
  <c r="D2" i="31"/>
  <c r="E2" i="31"/>
  <c r="B167" i="30"/>
  <c r="B166" i="30"/>
  <c r="I165" i="30"/>
  <c r="M165" i="30"/>
  <c r="Q165" i="30"/>
  <c r="P165" i="30"/>
  <c r="K165" i="30"/>
  <c r="J165" i="30"/>
  <c r="N165" i="30"/>
  <c r="O165" i="30"/>
  <c r="I164" i="30"/>
  <c r="M164" i="30"/>
  <c r="Q164" i="30"/>
  <c r="P164" i="30"/>
  <c r="K164" i="30"/>
  <c r="J164" i="30"/>
  <c r="N164" i="30"/>
  <c r="O164" i="30"/>
  <c r="I163" i="30"/>
  <c r="M163" i="30"/>
  <c r="Q163" i="30"/>
  <c r="P163" i="30"/>
  <c r="K163" i="30"/>
  <c r="J163" i="30"/>
  <c r="N163" i="30"/>
  <c r="O163" i="30"/>
  <c r="I162" i="30"/>
  <c r="M162" i="30"/>
  <c r="Q162" i="30"/>
  <c r="P162" i="30"/>
  <c r="K162" i="30"/>
  <c r="J162" i="30"/>
  <c r="N162" i="30"/>
  <c r="O162" i="30"/>
  <c r="I161" i="30"/>
  <c r="M161" i="30"/>
  <c r="Q161" i="30"/>
  <c r="P161" i="30"/>
  <c r="K161" i="30"/>
  <c r="J161" i="30"/>
  <c r="N161" i="30"/>
  <c r="O161" i="30"/>
  <c r="I160" i="30"/>
  <c r="M160" i="30"/>
  <c r="Q160" i="30"/>
  <c r="P160" i="30"/>
  <c r="K160" i="30"/>
  <c r="J160" i="30"/>
  <c r="N160" i="30"/>
  <c r="O160" i="30"/>
  <c r="I159" i="30"/>
  <c r="M159" i="30"/>
  <c r="Q159" i="30"/>
  <c r="P159" i="30"/>
  <c r="K159" i="30"/>
  <c r="J159" i="30"/>
  <c r="N159" i="30"/>
  <c r="O159" i="30"/>
  <c r="I158" i="30"/>
  <c r="M158" i="30"/>
  <c r="Q158" i="30"/>
  <c r="P158" i="30"/>
  <c r="K158" i="30"/>
  <c r="J158" i="30"/>
  <c r="N158" i="30"/>
  <c r="O158" i="30"/>
  <c r="I157" i="30"/>
  <c r="M157" i="30"/>
  <c r="Q157" i="30"/>
  <c r="P157" i="30"/>
  <c r="K157" i="30"/>
  <c r="J157" i="30"/>
  <c r="N157" i="30"/>
  <c r="O157" i="30"/>
  <c r="I156" i="30"/>
  <c r="M156" i="30"/>
  <c r="Q156" i="30"/>
  <c r="P156" i="30"/>
  <c r="K156" i="30"/>
  <c r="J156" i="30"/>
  <c r="N156" i="30"/>
  <c r="O156" i="30"/>
  <c r="I155" i="30"/>
  <c r="M155" i="30"/>
  <c r="Q155" i="30"/>
  <c r="P155" i="30"/>
  <c r="K155" i="30"/>
  <c r="J155" i="30"/>
  <c r="N155" i="30"/>
  <c r="O155" i="30"/>
  <c r="I154" i="30"/>
  <c r="M154" i="30"/>
  <c r="Q154" i="30"/>
  <c r="P154" i="30"/>
  <c r="K154" i="30"/>
  <c r="J154" i="30"/>
  <c r="N154" i="30"/>
  <c r="O154" i="30"/>
  <c r="I153" i="30"/>
  <c r="M153" i="30"/>
  <c r="Q153" i="30"/>
  <c r="P153" i="30"/>
  <c r="K153" i="30"/>
  <c r="J153" i="30"/>
  <c r="N153" i="30"/>
  <c r="O153" i="30"/>
  <c r="I152" i="30"/>
  <c r="M152" i="30"/>
  <c r="Q152" i="30"/>
  <c r="P152" i="30"/>
  <c r="K152" i="30"/>
  <c r="J152" i="30"/>
  <c r="N152" i="30"/>
  <c r="O152" i="30"/>
  <c r="I151" i="30"/>
  <c r="M151" i="30"/>
  <c r="Q151" i="30"/>
  <c r="P151" i="30"/>
  <c r="K151" i="30"/>
  <c r="J151" i="30"/>
  <c r="N151" i="30"/>
  <c r="O151" i="30"/>
  <c r="I150" i="30"/>
  <c r="M150" i="30"/>
  <c r="Q150" i="30"/>
  <c r="P150" i="30"/>
  <c r="K150" i="30"/>
  <c r="J150" i="30"/>
  <c r="N150" i="30"/>
  <c r="O150" i="30"/>
  <c r="I149" i="30"/>
  <c r="M149" i="30"/>
  <c r="Q149" i="30"/>
  <c r="P149" i="30"/>
  <c r="K149" i="30"/>
  <c r="J149" i="30"/>
  <c r="N149" i="30"/>
  <c r="O149" i="30"/>
  <c r="I148" i="30"/>
  <c r="M148" i="30"/>
  <c r="Q148" i="30"/>
  <c r="P148" i="30"/>
  <c r="K148" i="30"/>
  <c r="J148" i="30"/>
  <c r="N148" i="30"/>
  <c r="O148" i="30"/>
  <c r="I147" i="30"/>
  <c r="M147" i="30"/>
  <c r="Q147" i="30"/>
  <c r="P147" i="30"/>
  <c r="K147" i="30"/>
  <c r="J147" i="30"/>
  <c r="N147" i="30"/>
  <c r="O147" i="30"/>
  <c r="B143" i="30"/>
  <c r="B142" i="30"/>
  <c r="I141" i="30"/>
  <c r="M141" i="30"/>
  <c r="Q141" i="30"/>
  <c r="P141" i="30"/>
  <c r="K141" i="30"/>
  <c r="J141" i="30"/>
  <c r="N141" i="30"/>
  <c r="O141" i="30"/>
  <c r="I140" i="30"/>
  <c r="M140" i="30"/>
  <c r="Q140" i="30"/>
  <c r="P140" i="30"/>
  <c r="K140" i="30"/>
  <c r="J140" i="30"/>
  <c r="N140" i="30"/>
  <c r="O140" i="30"/>
  <c r="I139" i="30"/>
  <c r="M139" i="30"/>
  <c r="Q139" i="30"/>
  <c r="P139" i="30"/>
  <c r="K139" i="30"/>
  <c r="J139" i="30"/>
  <c r="N139" i="30"/>
  <c r="O139" i="30"/>
  <c r="I138" i="30"/>
  <c r="M138" i="30"/>
  <c r="Q138" i="30"/>
  <c r="P138" i="30"/>
  <c r="K138" i="30"/>
  <c r="J138" i="30"/>
  <c r="N138" i="30"/>
  <c r="O138" i="30"/>
  <c r="I137" i="30"/>
  <c r="M137" i="30"/>
  <c r="Q137" i="30"/>
  <c r="P137" i="30"/>
  <c r="K137" i="30"/>
  <c r="J137" i="30"/>
  <c r="N137" i="30"/>
  <c r="O137" i="30"/>
  <c r="I136" i="30"/>
  <c r="M136" i="30"/>
  <c r="Q136" i="30"/>
  <c r="P136" i="30"/>
  <c r="K136" i="30"/>
  <c r="J136" i="30"/>
  <c r="N136" i="30"/>
  <c r="O136" i="30"/>
  <c r="I135" i="30"/>
  <c r="M135" i="30"/>
  <c r="Q135" i="30"/>
  <c r="P135" i="30"/>
  <c r="K135" i="30"/>
  <c r="J135" i="30"/>
  <c r="N135" i="30"/>
  <c r="O135" i="30"/>
  <c r="I134" i="30"/>
  <c r="M134" i="30"/>
  <c r="Q134" i="30"/>
  <c r="P134" i="30"/>
  <c r="K134" i="30"/>
  <c r="J134" i="30"/>
  <c r="N134" i="30"/>
  <c r="O134" i="30"/>
  <c r="I133" i="30"/>
  <c r="M133" i="30"/>
  <c r="Q133" i="30"/>
  <c r="P133" i="30"/>
  <c r="K133" i="30"/>
  <c r="J133" i="30"/>
  <c r="N133" i="30"/>
  <c r="O133" i="30"/>
  <c r="I132" i="30"/>
  <c r="M132" i="30"/>
  <c r="Q132" i="30"/>
  <c r="P132" i="30"/>
  <c r="K132" i="30"/>
  <c r="J132" i="30"/>
  <c r="N132" i="30"/>
  <c r="O132" i="30"/>
  <c r="I131" i="30"/>
  <c r="M131" i="30"/>
  <c r="Q131" i="30"/>
  <c r="P131" i="30"/>
  <c r="K131" i="30"/>
  <c r="J131" i="30"/>
  <c r="N131" i="30"/>
  <c r="O131" i="30"/>
  <c r="I130" i="30"/>
  <c r="M130" i="30"/>
  <c r="Q130" i="30"/>
  <c r="P130" i="30"/>
  <c r="K130" i="30"/>
  <c r="J130" i="30"/>
  <c r="N130" i="30"/>
  <c r="O130" i="30"/>
  <c r="I129" i="30"/>
  <c r="M129" i="30"/>
  <c r="Q129" i="30"/>
  <c r="P129" i="30"/>
  <c r="K129" i="30"/>
  <c r="J129" i="30"/>
  <c r="N129" i="30"/>
  <c r="O129" i="30"/>
  <c r="I128" i="30"/>
  <c r="M128" i="30"/>
  <c r="Q128" i="30"/>
  <c r="P128" i="30"/>
  <c r="K128" i="30"/>
  <c r="J128" i="30"/>
  <c r="N128" i="30"/>
  <c r="O128" i="30"/>
  <c r="I127" i="30"/>
  <c r="M127" i="30"/>
  <c r="Q127" i="30"/>
  <c r="P127" i="30"/>
  <c r="K127" i="30"/>
  <c r="J127" i="30"/>
  <c r="N127" i="30"/>
  <c r="O127" i="30"/>
  <c r="I126" i="30"/>
  <c r="M126" i="30"/>
  <c r="Q126" i="30"/>
  <c r="P126" i="30"/>
  <c r="K126" i="30"/>
  <c r="J126" i="30"/>
  <c r="N126" i="30"/>
  <c r="O126" i="30"/>
  <c r="I125" i="30"/>
  <c r="M125" i="30"/>
  <c r="Q125" i="30"/>
  <c r="P125" i="30"/>
  <c r="K125" i="30"/>
  <c r="J125" i="30"/>
  <c r="N125" i="30"/>
  <c r="O125" i="30"/>
  <c r="I124" i="30"/>
  <c r="M124" i="30"/>
  <c r="Q124" i="30"/>
  <c r="P124" i="30"/>
  <c r="K124" i="30"/>
  <c r="J124" i="30"/>
  <c r="N124" i="30"/>
  <c r="O124" i="30"/>
  <c r="I123" i="30"/>
  <c r="M123" i="30"/>
  <c r="Q123" i="30"/>
  <c r="P123" i="30"/>
  <c r="K123" i="30"/>
  <c r="J123" i="30"/>
  <c r="N123" i="30"/>
  <c r="O123" i="30"/>
  <c r="B119" i="30"/>
  <c r="B118" i="30"/>
  <c r="I117" i="30"/>
  <c r="M117" i="30"/>
  <c r="Q117" i="30"/>
  <c r="P117" i="30"/>
  <c r="K117" i="30"/>
  <c r="J117" i="30"/>
  <c r="N117" i="30"/>
  <c r="O117" i="30"/>
  <c r="I116" i="30"/>
  <c r="M116" i="30"/>
  <c r="Q116" i="30"/>
  <c r="P116" i="30"/>
  <c r="K116" i="30"/>
  <c r="J116" i="30"/>
  <c r="N116" i="30"/>
  <c r="O116" i="30"/>
  <c r="I115" i="30"/>
  <c r="M115" i="30"/>
  <c r="Q115" i="30"/>
  <c r="P115" i="30"/>
  <c r="K115" i="30"/>
  <c r="J115" i="30"/>
  <c r="N115" i="30"/>
  <c r="O115" i="30"/>
  <c r="I114" i="30"/>
  <c r="M114" i="30"/>
  <c r="Q114" i="30"/>
  <c r="P114" i="30"/>
  <c r="K114" i="30"/>
  <c r="J114" i="30"/>
  <c r="N114" i="30"/>
  <c r="O114" i="30"/>
  <c r="I113" i="30"/>
  <c r="M113" i="30"/>
  <c r="Q113" i="30"/>
  <c r="P113" i="30"/>
  <c r="K113" i="30"/>
  <c r="J113" i="30"/>
  <c r="N113" i="30"/>
  <c r="O113" i="30"/>
  <c r="I112" i="30"/>
  <c r="M112" i="30"/>
  <c r="Q112" i="30"/>
  <c r="P112" i="30"/>
  <c r="K112" i="30"/>
  <c r="J112" i="30"/>
  <c r="N112" i="30"/>
  <c r="O112" i="30"/>
  <c r="I111" i="30"/>
  <c r="M111" i="30"/>
  <c r="Q111" i="30"/>
  <c r="P111" i="30"/>
  <c r="K111" i="30"/>
  <c r="J111" i="30"/>
  <c r="N111" i="30"/>
  <c r="O111" i="30"/>
  <c r="I110" i="30"/>
  <c r="M110" i="30"/>
  <c r="Q110" i="30"/>
  <c r="P110" i="30"/>
  <c r="K110" i="30"/>
  <c r="J110" i="30"/>
  <c r="N110" i="30"/>
  <c r="O110" i="30"/>
  <c r="I109" i="30"/>
  <c r="M109" i="30"/>
  <c r="Q109" i="30"/>
  <c r="P109" i="30"/>
  <c r="K109" i="30"/>
  <c r="J109" i="30"/>
  <c r="N109" i="30"/>
  <c r="O109" i="30"/>
  <c r="I108" i="30"/>
  <c r="M108" i="30"/>
  <c r="Q108" i="30"/>
  <c r="P108" i="30"/>
  <c r="K108" i="30"/>
  <c r="J108" i="30"/>
  <c r="N108" i="30"/>
  <c r="O108" i="30"/>
  <c r="I107" i="30"/>
  <c r="M107" i="30"/>
  <c r="Q107" i="30"/>
  <c r="P107" i="30"/>
  <c r="K107" i="30"/>
  <c r="J107" i="30"/>
  <c r="N107" i="30"/>
  <c r="O107" i="30"/>
  <c r="I106" i="30"/>
  <c r="M106" i="30"/>
  <c r="Q106" i="30"/>
  <c r="P106" i="30"/>
  <c r="K106" i="30"/>
  <c r="J106" i="30"/>
  <c r="N106" i="30"/>
  <c r="O106" i="30"/>
  <c r="I105" i="30"/>
  <c r="M105" i="30"/>
  <c r="Q105" i="30"/>
  <c r="P105" i="30"/>
  <c r="K105" i="30"/>
  <c r="J105" i="30"/>
  <c r="N105" i="30"/>
  <c r="O105" i="30"/>
  <c r="I104" i="30"/>
  <c r="M104" i="30"/>
  <c r="Q104" i="30"/>
  <c r="P104" i="30"/>
  <c r="K104" i="30"/>
  <c r="J104" i="30"/>
  <c r="N104" i="30"/>
  <c r="O104" i="30"/>
  <c r="I103" i="30"/>
  <c r="M103" i="30"/>
  <c r="Q103" i="30"/>
  <c r="P103" i="30"/>
  <c r="K103" i="30"/>
  <c r="J103" i="30"/>
  <c r="N103" i="30"/>
  <c r="O103" i="30"/>
  <c r="I102" i="30"/>
  <c r="M102" i="30"/>
  <c r="Q102" i="30"/>
  <c r="P102" i="30"/>
  <c r="K102" i="30"/>
  <c r="J102" i="30"/>
  <c r="N102" i="30"/>
  <c r="O102" i="30"/>
  <c r="I101" i="30"/>
  <c r="M101" i="30"/>
  <c r="Q101" i="30"/>
  <c r="P101" i="30"/>
  <c r="K101" i="30"/>
  <c r="J101" i="30"/>
  <c r="N101" i="30"/>
  <c r="O101" i="30"/>
  <c r="I100" i="30"/>
  <c r="M100" i="30"/>
  <c r="Q100" i="30"/>
  <c r="P100" i="30"/>
  <c r="K100" i="30"/>
  <c r="J100" i="30"/>
  <c r="N100" i="30"/>
  <c r="O100" i="30"/>
  <c r="I99" i="30"/>
  <c r="M99" i="30"/>
  <c r="Q99" i="30"/>
  <c r="P99" i="30"/>
  <c r="K99" i="30"/>
  <c r="J99" i="30"/>
  <c r="N99" i="30"/>
  <c r="O99" i="30"/>
  <c r="B95" i="30"/>
  <c r="B94" i="30"/>
  <c r="I93" i="30"/>
  <c r="M93" i="30"/>
  <c r="Q93" i="30"/>
  <c r="P93" i="30"/>
  <c r="K93" i="30"/>
  <c r="J93" i="30"/>
  <c r="N93" i="30"/>
  <c r="O93" i="30"/>
  <c r="I92" i="30"/>
  <c r="M92" i="30"/>
  <c r="Q92" i="30"/>
  <c r="P92" i="30"/>
  <c r="K92" i="30"/>
  <c r="J92" i="30"/>
  <c r="N92" i="30"/>
  <c r="O92" i="30"/>
  <c r="I91" i="30"/>
  <c r="M91" i="30"/>
  <c r="Q91" i="30"/>
  <c r="P91" i="30"/>
  <c r="K91" i="30"/>
  <c r="J91" i="30"/>
  <c r="N91" i="30"/>
  <c r="O91" i="30"/>
  <c r="I90" i="30"/>
  <c r="M90" i="30"/>
  <c r="Q90" i="30"/>
  <c r="P90" i="30"/>
  <c r="K90" i="30"/>
  <c r="J90" i="30"/>
  <c r="N90" i="30"/>
  <c r="O90" i="30"/>
  <c r="I89" i="30"/>
  <c r="M89" i="30"/>
  <c r="Q89" i="30"/>
  <c r="P89" i="30"/>
  <c r="K89" i="30"/>
  <c r="J89" i="30"/>
  <c r="N89" i="30"/>
  <c r="O89" i="30"/>
  <c r="I88" i="30"/>
  <c r="M88" i="30"/>
  <c r="Q88" i="30"/>
  <c r="P88" i="30"/>
  <c r="K88" i="30"/>
  <c r="J88" i="30"/>
  <c r="N88" i="30"/>
  <c r="O88" i="30"/>
  <c r="I87" i="30"/>
  <c r="M87" i="30"/>
  <c r="Q87" i="30"/>
  <c r="P87" i="30"/>
  <c r="K87" i="30"/>
  <c r="J87" i="30"/>
  <c r="N87" i="30"/>
  <c r="O87" i="30"/>
  <c r="I86" i="30"/>
  <c r="M86" i="30"/>
  <c r="Q86" i="30"/>
  <c r="P86" i="30"/>
  <c r="K86" i="30"/>
  <c r="J86" i="30"/>
  <c r="N86" i="30"/>
  <c r="O86" i="30"/>
  <c r="I85" i="30"/>
  <c r="M85" i="30"/>
  <c r="Q85" i="30"/>
  <c r="P85" i="30"/>
  <c r="K85" i="30"/>
  <c r="J85" i="30"/>
  <c r="N85" i="30"/>
  <c r="O85" i="30"/>
  <c r="I84" i="30"/>
  <c r="M84" i="30"/>
  <c r="Q84" i="30"/>
  <c r="P84" i="30"/>
  <c r="K84" i="30"/>
  <c r="J84" i="30"/>
  <c r="N84" i="30"/>
  <c r="O84" i="30"/>
  <c r="I83" i="30"/>
  <c r="M83" i="30"/>
  <c r="Q83" i="30"/>
  <c r="P83" i="30"/>
  <c r="K83" i="30"/>
  <c r="J83" i="30"/>
  <c r="N83" i="30"/>
  <c r="O83" i="30"/>
  <c r="I82" i="30"/>
  <c r="M82" i="30"/>
  <c r="Q82" i="30"/>
  <c r="P82" i="30"/>
  <c r="K82" i="30"/>
  <c r="J82" i="30"/>
  <c r="N82" i="30"/>
  <c r="O82" i="30"/>
  <c r="I81" i="30"/>
  <c r="M81" i="30"/>
  <c r="Q81" i="30"/>
  <c r="P81" i="30"/>
  <c r="K81" i="30"/>
  <c r="J81" i="30"/>
  <c r="N81" i="30"/>
  <c r="O81" i="30"/>
  <c r="I80" i="30"/>
  <c r="M80" i="30"/>
  <c r="Q80" i="30"/>
  <c r="P80" i="30"/>
  <c r="K80" i="30"/>
  <c r="J80" i="30"/>
  <c r="N80" i="30"/>
  <c r="O80" i="30"/>
  <c r="I79" i="30"/>
  <c r="M79" i="30"/>
  <c r="Q79" i="30"/>
  <c r="P79" i="30"/>
  <c r="K79" i="30"/>
  <c r="J79" i="30"/>
  <c r="N79" i="30"/>
  <c r="O79" i="30"/>
  <c r="I78" i="30"/>
  <c r="M78" i="30"/>
  <c r="Q78" i="30"/>
  <c r="P78" i="30"/>
  <c r="K78" i="30"/>
  <c r="J78" i="30"/>
  <c r="N78" i="30"/>
  <c r="O78" i="30"/>
  <c r="I77" i="30"/>
  <c r="M77" i="30"/>
  <c r="Q77" i="30"/>
  <c r="P77" i="30"/>
  <c r="K77" i="30"/>
  <c r="J77" i="30"/>
  <c r="N77" i="30"/>
  <c r="O77" i="30"/>
  <c r="I76" i="30"/>
  <c r="M76" i="30"/>
  <c r="Q76" i="30"/>
  <c r="P76" i="30"/>
  <c r="K76" i="30"/>
  <c r="J76" i="30"/>
  <c r="N76" i="30"/>
  <c r="O76" i="30"/>
  <c r="I75" i="30"/>
  <c r="M75" i="30"/>
  <c r="Q75" i="30"/>
  <c r="P75" i="30"/>
  <c r="K75" i="30"/>
  <c r="J75" i="30"/>
  <c r="N75" i="30"/>
  <c r="O75" i="30"/>
  <c r="B71" i="30"/>
  <c r="B70" i="30"/>
  <c r="I69" i="30"/>
  <c r="M69" i="30"/>
  <c r="Q69" i="30"/>
  <c r="P69" i="30"/>
  <c r="K69" i="30"/>
  <c r="J69" i="30"/>
  <c r="N69" i="30"/>
  <c r="O69" i="30"/>
  <c r="I68" i="30"/>
  <c r="M68" i="30"/>
  <c r="Q68" i="30"/>
  <c r="P68" i="30"/>
  <c r="K68" i="30"/>
  <c r="J68" i="30"/>
  <c r="N68" i="30"/>
  <c r="O68" i="30"/>
  <c r="I67" i="30"/>
  <c r="M67" i="30"/>
  <c r="Q67" i="30"/>
  <c r="P67" i="30"/>
  <c r="K67" i="30"/>
  <c r="J67" i="30"/>
  <c r="N67" i="30"/>
  <c r="O67" i="30"/>
  <c r="I66" i="30"/>
  <c r="M66" i="30"/>
  <c r="Q66" i="30"/>
  <c r="P66" i="30"/>
  <c r="K66" i="30"/>
  <c r="J66" i="30"/>
  <c r="N66" i="30"/>
  <c r="O66" i="30"/>
  <c r="I65" i="30"/>
  <c r="M65" i="30"/>
  <c r="Q65" i="30"/>
  <c r="P65" i="30"/>
  <c r="K65" i="30"/>
  <c r="J65" i="30"/>
  <c r="N65" i="30"/>
  <c r="O65" i="30"/>
  <c r="I64" i="30"/>
  <c r="M64" i="30"/>
  <c r="Q64" i="30"/>
  <c r="P64" i="30"/>
  <c r="K64" i="30"/>
  <c r="J64" i="30"/>
  <c r="N64" i="30"/>
  <c r="O64" i="30"/>
  <c r="I63" i="30"/>
  <c r="M63" i="30"/>
  <c r="Q63" i="30"/>
  <c r="P63" i="30"/>
  <c r="K63" i="30"/>
  <c r="J63" i="30"/>
  <c r="N63" i="30"/>
  <c r="O63" i="30"/>
  <c r="I62" i="30"/>
  <c r="M62" i="30"/>
  <c r="Q62" i="30"/>
  <c r="P62" i="30"/>
  <c r="K62" i="30"/>
  <c r="J62" i="30"/>
  <c r="N62" i="30"/>
  <c r="O62" i="30"/>
  <c r="I61" i="30"/>
  <c r="M61" i="30"/>
  <c r="Q61" i="30"/>
  <c r="P61" i="30"/>
  <c r="K61" i="30"/>
  <c r="J61" i="30"/>
  <c r="N61" i="30"/>
  <c r="O61" i="30"/>
  <c r="I60" i="30"/>
  <c r="M60" i="30"/>
  <c r="Q60" i="30"/>
  <c r="P60" i="30"/>
  <c r="K60" i="30"/>
  <c r="J60" i="30"/>
  <c r="N60" i="30"/>
  <c r="O60" i="30"/>
  <c r="I59" i="30"/>
  <c r="M59" i="30"/>
  <c r="Q59" i="30"/>
  <c r="P59" i="30"/>
  <c r="K59" i="30"/>
  <c r="J59" i="30"/>
  <c r="N59" i="30"/>
  <c r="O59" i="30"/>
  <c r="I58" i="30"/>
  <c r="M58" i="30"/>
  <c r="Q58" i="30"/>
  <c r="P58" i="30"/>
  <c r="K58" i="30"/>
  <c r="J58" i="30"/>
  <c r="N58" i="30"/>
  <c r="O58" i="30"/>
  <c r="I57" i="30"/>
  <c r="M57" i="30"/>
  <c r="Q57" i="30"/>
  <c r="P57" i="30"/>
  <c r="K57" i="30"/>
  <c r="J57" i="30"/>
  <c r="N57" i="30"/>
  <c r="O57" i="30"/>
  <c r="I56" i="30"/>
  <c r="M56" i="30"/>
  <c r="Q56" i="30"/>
  <c r="P56" i="30"/>
  <c r="K56" i="30"/>
  <c r="J56" i="30"/>
  <c r="N56" i="30"/>
  <c r="O56" i="30"/>
  <c r="I55" i="30"/>
  <c r="M55" i="30"/>
  <c r="Q55" i="30"/>
  <c r="P55" i="30"/>
  <c r="K55" i="30"/>
  <c r="J55" i="30"/>
  <c r="N55" i="30"/>
  <c r="O55" i="30"/>
  <c r="I54" i="30"/>
  <c r="M54" i="30"/>
  <c r="Q54" i="30"/>
  <c r="P54" i="30"/>
  <c r="K54" i="30"/>
  <c r="J54" i="30"/>
  <c r="N54" i="30"/>
  <c r="O54" i="30"/>
  <c r="I53" i="30"/>
  <c r="M53" i="30"/>
  <c r="Q53" i="30"/>
  <c r="P53" i="30"/>
  <c r="K53" i="30"/>
  <c r="J53" i="30"/>
  <c r="N53" i="30"/>
  <c r="O53" i="30"/>
  <c r="I52" i="30"/>
  <c r="M52" i="30"/>
  <c r="Q52" i="30"/>
  <c r="P52" i="30"/>
  <c r="K52" i="30"/>
  <c r="J52" i="30"/>
  <c r="N52" i="30"/>
  <c r="O52" i="30"/>
  <c r="I51" i="30"/>
  <c r="M51" i="30"/>
  <c r="Q51" i="30"/>
  <c r="P51" i="30"/>
  <c r="K51" i="30"/>
  <c r="J51" i="30"/>
  <c r="N51" i="30"/>
  <c r="O51" i="30"/>
  <c r="B47" i="30"/>
  <c r="B46" i="30"/>
  <c r="I45" i="30"/>
  <c r="M45" i="30"/>
  <c r="Q45" i="30"/>
  <c r="P45" i="30"/>
  <c r="K45" i="30"/>
  <c r="J45" i="30"/>
  <c r="N45" i="30"/>
  <c r="O45" i="30"/>
  <c r="I44" i="30"/>
  <c r="M44" i="30"/>
  <c r="Q44" i="30"/>
  <c r="P44" i="30"/>
  <c r="K44" i="30"/>
  <c r="J44" i="30"/>
  <c r="N44" i="30"/>
  <c r="O44" i="30"/>
  <c r="I43" i="30"/>
  <c r="M43" i="30"/>
  <c r="Q43" i="30"/>
  <c r="P43" i="30"/>
  <c r="K43" i="30"/>
  <c r="J43" i="30"/>
  <c r="N43" i="30"/>
  <c r="O43" i="30"/>
  <c r="I42" i="30"/>
  <c r="M42" i="30"/>
  <c r="Q42" i="30"/>
  <c r="P42" i="30"/>
  <c r="K42" i="30"/>
  <c r="J42" i="30"/>
  <c r="N42" i="30"/>
  <c r="O42" i="30"/>
  <c r="I41" i="30"/>
  <c r="M41" i="30"/>
  <c r="Q41" i="30"/>
  <c r="P41" i="30"/>
  <c r="K41" i="30"/>
  <c r="J41" i="30"/>
  <c r="N41" i="30"/>
  <c r="O41" i="30"/>
  <c r="I40" i="30"/>
  <c r="M40" i="30"/>
  <c r="Q40" i="30"/>
  <c r="P40" i="30"/>
  <c r="K40" i="30"/>
  <c r="J40" i="30"/>
  <c r="N40" i="30"/>
  <c r="O40" i="30"/>
  <c r="I39" i="30"/>
  <c r="M39" i="30"/>
  <c r="Q39" i="30"/>
  <c r="P39" i="30"/>
  <c r="K39" i="30"/>
  <c r="J39" i="30"/>
  <c r="N39" i="30"/>
  <c r="O39" i="30"/>
  <c r="I38" i="30"/>
  <c r="M38" i="30"/>
  <c r="Q38" i="30"/>
  <c r="P38" i="30"/>
  <c r="K38" i="30"/>
  <c r="J38" i="30"/>
  <c r="N38" i="30"/>
  <c r="O38" i="30"/>
  <c r="I37" i="30"/>
  <c r="M37" i="30"/>
  <c r="Q37" i="30"/>
  <c r="P37" i="30"/>
  <c r="K37" i="30"/>
  <c r="J37" i="30"/>
  <c r="N37" i="30"/>
  <c r="O37" i="30"/>
  <c r="I36" i="30"/>
  <c r="M36" i="30"/>
  <c r="Q36" i="30"/>
  <c r="P36" i="30"/>
  <c r="K36" i="30"/>
  <c r="J36" i="30"/>
  <c r="N36" i="30"/>
  <c r="O36" i="30"/>
  <c r="I35" i="30"/>
  <c r="M35" i="30"/>
  <c r="Q35" i="30"/>
  <c r="P35" i="30"/>
  <c r="K35" i="30"/>
  <c r="J35" i="30"/>
  <c r="N35" i="30"/>
  <c r="O35" i="30"/>
  <c r="I34" i="30"/>
  <c r="M34" i="30"/>
  <c r="Q34" i="30"/>
  <c r="P34" i="30"/>
  <c r="K34" i="30"/>
  <c r="J34" i="30"/>
  <c r="N34" i="30"/>
  <c r="O34" i="30"/>
  <c r="I33" i="30"/>
  <c r="M33" i="30"/>
  <c r="Q33" i="30"/>
  <c r="P33" i="30"/>
  <c r="K33" i="30"/>
  <c r="J33" i="30"/>
  <c r="N33" i="30"/>
  <c r="O33" i="30"/>
  <c r="I32" i="30"/>
  <c r="M32" i="30"/>
  <c r="Q32" i="30"/>
  <c r="P32" i="30"/>
  <c r="K32" i="30"/>
  <c r="J32" i="30"/>
  <c r="N32" i="30"/>
  <c r="O32" i="30"/>
  <c r="I31" i="30"/>
  <c r="M31" i="30"/>
  <c r="Q31" i="30"/>
  <c r="P31" i="30"/>
  <c r="K31" i="30"/>
  <c r="J31" i="30"/>
  <c r="N31" i="30"/>
  <c r="O31" i="30"/>
  <c r="I30" i="30"/>
  <c r="M30" i="30"/>
  <c r="Q30" i="30"/>
  <c r="P30" i="30"/>
  <c r="K30" i="30"/>
  <c r="J30" i="30"/>
  <c r="N30" i="30"/>
  <c r="O30" i="30"/>
  <c r="I29" i="30"/>
  <c r="M29" i="30"/>
  <c r="Q29" i="30"/>
  <c r="P29" i="30"/>
  <c r="K29" i="30"/>
  <c r="J29" i="30"/>
  <c r="N29" i="30"/>
  <c r="O29" i="30"/>
  <c r="I28" i="30"/>
  <c r="M28" i="30"/>
  <c r="Q28" i="30"/>
  <c r="P28" i="30"/>
  <c r="K28" i="30"/>
  <c r="J28" i="30"/>
  <c r="N28" i="30"/>
  <c r="O28" i="30"/>
  <c r="I27" i="30"/>
  <c r="M27" i="30"/>
  <c r="Q27" i="30"/>
  <c r="P27" i="30"/>
  <c r="K27" i="30"/>
  <c r="J27" i="30"/>
  <c r="N27" i="30"/>
  <c r="O27" i="30"/>
  <c r="B23" i="30"/>
  <c r="B22" i="30"/>
  <c r="I21" i="30"/>
  <c r="M21" i="30"/>
  <c r="Q21" i="30"/>
  <c r="P21" i="30"/>
  <c r="K21" i="30"/>
  <c r="J21" i="30"/>
  <c r="N21" i="30"/>
  <c r="O21" i="30"/>
  <c r="I20" i="30"/>
  <c r="M20" i="30"/>
  <c r="Q20" i="30"/>
  <c r="P20" i="30"/>
  <c r="K20" i="30"/>
  <c r="J20" i="30"/>
  <c r="N20" i="30"/>
  <c r="O20" i="30"/>
  <c r="I19" i="30"/>
  <c r="M19" i="30"/>
  <c r="Q19" i="30"/>
  <c r="P19" i="30"/>
  <c r="K19" i="30"/>
  <c r="J19" i="30"/>
  <c r="N19" i="30"/>
  <c r="O19" i="30"/>
  <c r="I18" i="30"/>
  <c r="M18" i="30"/>
  <c r="Q18" i="30"/>
  <c r="P18" i="30"/>
  <c r="K18" i="30"/>
  <c r="J18" i="30"/>
  <c r="N18" i="30"/>
  <c r="O18" i="30"/>
  <c r="I17" i="30"/>
  <c r="M17" i="30"/>
  <c r="Q17" i="30"/>
  <c r="P17" i="30"/>
  <c r="K17" i="30"/>
  <c r="J17" i="30"/>
  <c r="N17" i="30"/>
  <c r="O17" i="30"/>
  <c r="I16" i="30"/>
  <c r="M16" i="30"/>
  <c r="Q16" i="30"/>
  <c r="P16" i="30"/>
  <c r="K16" i="30"/>
  <c r="J16" i="30"/>
  <c r="N16" i="30"/>
  <c r="O16" i="30"/>
  <c r="I15" i="30"/>
  <c r="M15" i="30"/>
  <c r="Q15" i="30"/>
  <c r="P15" i="30"/>
  <c r="K15" i="30"/>
  <c r="J15" i="30"/>
  <c r="N15" i="30"/>
  <c r="O15" i="30"/>
  <c r="I14" i="30"/>
  <c r="M14" i="30"/>
  <c r="Q14" i="30"/>
  <c r="P14" i="30"/>
  <c r="K14" i="30"/>
  <c r="J14" i="30"/>
  <c r="N14" i="30"/>
  <c r="O14" i="30"/>
  <c r="I13" i="30"/>
  <c r="M13" i="30"/>
  <c r="Q13" i="30"/>
  <c r="P13" i="30"/>
  <c r="K13" i="30"/>
  <c r="J13" i="30"/>
  <c r="N13" i="30"/>
  <c r="O13" i="30"/>
  <c r="I12" i="30"/>
  <c r="M12" i="30"/>
  <c r="Q12" i="30"/>
  <c r="P12" i="30"/>
  <c r="K12" i="30"/>
  <c r="J12" i="30"/>
  <c r="N12" i="30"/>
  <c r="O12" i="30"/>
  <c r="I11" i="30"/>
  <c r="M11" i="30"/>
  <c r="Q11" i="30"/>
  <c r="P11" i="30"/>
  <c r="K11" i="30"/>
  <c r="J11" i="30"/>
  <c r="N11" i="30"/>
  <c r="O11" i="30"/>
  <c r="I10" i="30"/>
  <c r="M10" i="30"/>
  <c r="Q10" i="30"/>
  <c r="P10" i="30"/>
  <c r="K10" i="30"/>
  <c r="J10" i="30"/>
  <c r="N10" i="30"/>
  <c r="O10" i="30"/>
  <c r="I9" i="30"/>
  <c r="M9" i="30"/>
  <c r="Q9" i="30"/>
  <c r="P9" i="30"/>
  <c r="K9" i="30"/>
  <c r="J9" i="30"/>
  <c r="N9" i="30"/>
  <c r="O9" i="30"/>
  <c r="I8" i="30"/>
  <c r="M8" i="30"/>
  <c r="Q8" i="30"/>
  <c r="P8" i="30"/>
  <c r="K8" i="30"/>
  <c r="J8" i="30"/>
  <c r="N8" i="30"/>
  <c r="O8" i="30"/>
  <c r="I7" i="30"/>
  <c r="M7" i="30"/>
  <c r="Q7" i="30"/>
  <c r="P7" i="30"/>
  <c r="K7" i="30"/>
  <c r="J7" i="30"/>
  <c r="N7" i="30"/>
  <c r="O7" i="30"/>
  <c r="I6" i="30"/>
  <c r="M6" i="30"/>
  <c r="Q6" i="30"/>
  <c r="P6" i="30"/>
  <c r="K6" i="30"/>
  <c r="J6" i="30"/>
  <c r="N6" i="30"/>
  <c r="O6" i="30"/>
  <c r="I5" i="30"/>
  <c r="M5" i="30"/>
  <c r="Q5" i="30"/>
  <c r="P5" i="30"/>
  <c r="K5" i="30"/>
  <c r="J5" i="30"/>
  <c r="N5" i="30"/>
  <c r="O5" i="30"/>
  <c r="I4" i="30"/>
  <c r="M4" i="30"/>
  <c r="Q4" i="30"/>
  <c r="P4" i="30"/>
  <c r="K4" i="30"/>
  <c r="J4" i="30"/>
  <c r="N4" i="30"/>
  <c r="O4" i="30"/>
  <c r="I3" i="30"/>
  <c r="M3" i="30"/>
  <c r="Q3" i="30"/>
  <c r="P3" i="30"/>
  <c r="K3" i="30"/>
  <c r="J3" i="30"/>
  <c r="N3" i="30"/>
  <c r="O3" i="30"/>
  <c r="B12" i="23"/>
  <c r="J21" i="2"/>
  <c r="J4" i="2"/>
  <c r="J3" i="2"/>
  <c r="G25" i="16"/>
  <c r="H25" i="16"/>
  <c r="G25" i="14"/>
  <c r="H25" i="14"/>
  <c r="G25" i="21"/>
  <c r="H25" i="21"/>
  <c r="G25" i="20"/>
  <c r="H25" i="20"/>
  <c r="G25" i="15"/>
  <c r="H25" i="15"/>
  <c r="G25" i="18"/>
  <c r="H25" i="18"/>
  <c r="G25" i="19"/>
  <c r="H25" i="19"/>
  <c r="F3" i="2"/>
  <c r="I3" i="2"/>
  <c r="K3" i="2"/>
  <c r="I4" i="2"/>
  <c r="K4" i="2"/>
  <c r="F4" i="2"/>
  <c r="I5" i="2"/>
  <c r="J5" i="2"/>
  <c r="K5" i="2"/>
  <c r="F5" i="2"/>
  <c r="I6" i="2"/>
  <c r="J6" i="2"/>
  <c r="K6" i="2"/>
  <c r="F6" i="2"/>
  <c r="I7" i="2"/>
  <c r="J7" i="2"/>
  <c r="K7" i="2"/>
  <c r="F7" i="2"/>
  <c r="I8" i="2"/>
  <c r="J8" i="2"/>
  <c r="K8" i="2"/>
  <c r="F8" i="2"/>
  <c r="I9" i="2"/>
  <c r="J9" i="2"/>
  <c r="K9" i="2"/>
  <c r="F9" i="2"/>
  <c r="I10" i="2"/>
  <c r="J10" i="2"/>
  <c r="K10" i="2"/>
  <c r="F10" i="2"/>
  <c r="I11" i="2"/>
  <c r="J11" i="2"/>
  <c r="K11" i="2"/>
  <c r="F11" i="2"/>
  <c r="I12" i="2"/>
  <c r="J12" i="2"/>
  <c r="K12" i="2"/>
  <c r="F12" i="2"/>
  <c r="I13" i="2"/>
  <c r="J13" i="2"/>
  <c r="K13" i="2"/>
  <c r="F13" i="2"/>
  <c r="I14" i="2"/>
  <c r="J14" i="2"/>
  <c r="K14" i="2"/>
  <c r="F14" i="2"/>
  <c r="I15" i="2"/>
  <c r="J15" i="2"/>
  <c r="K15" i="2"/>
  <c r="F15" i="2"/>
  <c r="I16" i="2"/>
  <c r="J16" i="2"/>
  <c r="K16" i="2"/>
  <c r="F16" i="2"/>
  <c r="I17" i="2"/>
  <c r="J17" i="2"/>
  <c r="K17" i="2"/>
  <c r="F17" i="2"/>
  <c r="I18" i="2"/>
  <c r="J18" i="2"/>
  <c r="K18" i="2"/>
  <c r="F18" i="2"/>
  <c r="I19" i="2"/>
  <c r="J19" i="2"/>
  <c r="K19" i="2"/>
  <c r="F19" i="2"/>
  <c r="I20" i="2"/>
  <c r="J20" i="2"/>
  <c r="K20" i="2"/>
  <c r="H44" i="8"/>
  <c r="I44" i="8"/>
  <c r="L44" i="8"/>
  <c r="M44" i="8"/>
  <c r="P44" i="8"/>
  <c r="Q44" i="8"/>
  <c r="F20" i="2"/>
  <c r="I21" i="2"/>
  <c r="H21" i="8"/>
  <c r="I21" i="8"/>
  <c r="L21" i="8"/>
  <c r="M21" i="8"/>
  <c r="P21" i="8"/>
  <c r="Q21" i="8"/>
  <c r="T21" i="8"/>
  <c r="U21" i="8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21" i="5"/>
  <c r="B25" i="27"/>
  <c r="B24" i="27"/>
  <c r="I21" i="4"/>
  <c r="J21" i="4"/>
  <c r="H21" i="22"/>
  <c r="L21" i="22"/>
  <c r="P21" i="22"/>
  <c r="Q21" i="22"/>
  <c r="R21" i="22"/>
  <c r="S21" i="22"/>
  <c r="T21" i="22"/>
  <c r="U21" i="22"/>
  <c r="V21" i="22"/>
  <c r="W21" i="22"/>
  <c r="X21" i="22"/>
  <c r="H19" i="22"/>
  <c r="H20" i="22"/>
  <c r="K21" i="2"/>
  <c r="Q21" i="3"/>
  <c r="R21" i="3"/>
  <c r="S21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3" i="3"/>
  <c r="D20" i="2"/>
  <c r="D16" i="2"/>
  <c r="D17" i="2"/>
  <c r="D18" i="2"/>
  <c r="D19" i="2"/>
  <c r="D21" i="2"/>
  <c r="F21" i="2"/>
  <c r="C15" i="2"/>
  <c r="C16" i="2"/>
  <c r="C17" i="2"/>
  <c r="C18" i="2"/>
  <c r="C19" i="2"/>
  <c r="C20" i="2"/>
  <c r="C21" i="2"/>
  <c r="H37" i="29"/>
  <c r="H38" i="29"/>
  <c r="G29" i="29"/>
  <c r="G30" i="29"/>
  <c r="G31" i="29"/>
  <c r="G32" i="29"/>
  <c r="G33" i="29"/>
  <c r="G34" i="29"/>
  <c r="G35" i="29"/>
  <c r="G36" i="29"/>
  <c r="G37" i="29"/>
  <c r="G38" i="29"/>
  <c r="G28" i="29"/>
  <c r="G24" i="29"/>
  <c r="G25" i="29"/>
  <c r="G26" i="29"/>
  <c r="G27" i="29"/>
  <c r="G23" i="29"/>
  <c r="G4" i="29"/>
  <c r="K4" i="29"/>
  <c r="H27" i="29"/>
  <c r="I27" i="29"/>
  <c r="D48" i="29"/>
  <c r="F40" i="29"/>
  <c r="I38" i="29"/>
  <c r="J38" i="29"/>
  <c r="K38" i="29"/>
  <c r="L38" i="29"/>
  <c r="F38" i="29"/>
  <c r="I37" i="29"/>
  <c r="J37" i="29"/>
  <c r="K37" i="29"/>
  <c r="L37" i="29"/>
  <c r="F37" i="29"/>
  <c r="H36" i="29"/>
  <c r="I36" i="29"/>
  <c r="J36" i="29"/>
  <c r="K36" i="29"/>
  <c r="L36" i="29"/>
  <c r="F36" i="29"/>
  <c r="H35" i="29"/>
  <c r="I35" i="29"/>
  <c r="J35" i="29"/>
  <c r="K35" i="29"/>
  <c r="L35" i="29"/>
  <c r="F35" i="29"/>
  <c r="H34" i="29"/>
  <c r="I34" i="29"/>
  <c r="J34" i="29"/>
  <c r="K34" i="29"/>
  <c r="L34" i="29"/>
  <c r="F34" i="29"/>
  <c r="H33" i="29"/>
  <c r="I33" i="29"/>
  <c r="J33" i="29"/>
  <c r="K33" i="29"/>
  <c r="L33" i="29"/>
  <c r="F33" i="29"/>
  <c r="H32" i="29"/>
  <c r="I32" i="29"/>
  <c r="J32" i="29"/>
  <c r="K32" i="29"/>
  <c r="L32" i="29"/>
  <c r="F32" i="29"/>
  <c r="H31" i="29"/>
  <c r="I31" i="29"/>
  <c r="J31" i="29"/>
  <c r="K31" i="29"/>
  <c r="L31" i="29"/>
  <c r="F31" i="29"/>
  <c r="H30" i="29"/>
  <c r="I30" i="29"/>
  <c r="J30" i="29"/>
  <c r="K30" i="29"/>
  <c r="L30" i="29"/>
  <c r="F30" i="29"/>
  <c r="H29" i="29"/>
  <c r="I29" i="29"/>
  <c r="J29" i="29"/>
  <c r="K29" i="29"/>
  <c r="L29" i="29"/>
  <c r="F29" i="29"/>
  <c r="H28" i="29"/>
  <c r="I28" i="29"/>
  <c r="J28" i="29"/>
  <c r="K28" i="29"/>
  <c r="L28" i="29"/>
  <c r="F28" i="29"/>
  <c r="J27" i="29"/>
  <c r="K27" i="29"/>
  <c r="L27" i="29"/>
  <c r="F27" i="29"/>
  <c r="H26" i="29"/>
  <c r="I26" i="29"/>
  <c r="J26" i="29"/>
  <c r="K26" i="29"/>
  <c r="L26" i="29"/>
  <c r="F26" i="29"/>
  <c r="H25" i="29"/>
  <c r="I25" i="29"/>
  <c r="J25" i="29"/>
  <c r="K25" i="29"/>
  <c r="L25" i="29"/>
  <c r="F25" i="29"/>
  <c r="H24" i="29"/>
  <c r="I24" i="29"/>
  <c r="J24" i="29"/>
  <c r="K24" i="29"/>
  <c r="L24" i="29"/>
  <c r="F24" i="29"/>
  <c r="H23" i="29"/>
  <c r="I23" i="29"/>
  <c r="J23" i="29"/>
  <c r="K23" i="29"/>
  <c r="L23" i="29"/>
  <c r="F23" i="29"/>
  <c r="O19" i="29"/>
  <c r="K19" i="29"/>
  <c r="G19" i="29"/>
  <c r="P19" i="29"/>
  <c r="R19" i="29"/>
  <c r="Q19" i="29"/>
  <c r="O18" i="29"/>
  <c r="K18" i="29"/>
  <c r="G18" i="29"/>
  <c r="P18" i="29"/>
  <c r="R18" i="29"/>
  <c r="Q18" i="29"/>
  <c r="O17" i="29"/>
  <c r="K17" i="29"/>
  <c r="G17" i="29"/>
  <c r="P17" i="29"/>
  <c r="R17" i="29"/>
  <c r="Q17" i="29"/>
  <c r="O16" i="29"/>
  <c r="K16" i="29"/>
  <c r="G16" i="29"/>
  <c r="P16" i="29"/>
  <c r="R16" i="29"/>
  <c r="Q16" i="29"/>
  <c r="O15" i="29"/>
  <c r="K15" i="29"/>
  <c r="G15" i="29"/>
  <c r="P15" i="29"/>
  <c r="R15" i="29"/>
  <c r="Q15" i="29"/>
  <c r="O14" i="29"/>
  <c r="K14" i="29"/>
  <c r="G14" i="29"/>
  <c r="P14" i="29"/>
  <c r="R14" i="29"/>
  <c r="Q14" i="29"/>
  <c r="O13" i="29"/>
  <c r="K13" i="29"/>
  <c r="G13" i="29"/>
  <c r="P13" i="29"/>
  <c r="R13" i="29"/>
  <c r="Q13" i="29"/>
  <c r="O12" i="29"/>
  <c r="K12" i="29"/>
  <c r="G12" i="29"/>
  <c r="P12" i="29"/>
  <c r="R12" i="29"/>
  <c r="Q12" i="29"/>
  <c r="O11" i="29"/>
  <c r="K11" i="29"/>
  <c r="G11" i="29"/>
  <c r="P11" i="29"/>
  <c r="R11" i="29"/>
  <c r="Q11" i="29"/>
  <c r="O10" i="29"/>
  <c r="K10" i="29"/>
  <c r="G10" i="29"/>
  <c r="P10" i="29"/>
  <c r="R10" i="29"/>
  <c r="Q10" i="29"/>
  <c r="O9" i="29"/>
  <c r="K9" i="29"/>
  <c r="G9" i="29"/>
  <c r="P9" i="29"/>
  <c r="R9" i="29"/>
  <c r="Q9" i="29"/>
  <c r="O8" i="29"/>
  <c r="K8" i="29"/>
  <c r="G8" i="29"/>
  <c r="P8" i="29"/>
  <c r="R8" i="29"/>
  <c r="Q8" i="29"/>
  <c r="O7" i="29"/>
  <c r="K7" i="29"/>
  <c r="G7" i="29"/>
  <c r="P7" i="29"/>
  <c r="R7" i="29"/>
  <c r="Q7" i="29"/>
  <c r="O6" i="29"/>
  <c r="K6" i="29"/>
  <c r="G6" i="29"/>
  <c r="P6" i="29"/>
  <c r="R6" i="29"/>
  <c r="Q6" i="29"/>
  <c r="O5" i="29"/>
  <c r="K5" i="29"/>
  <c r="G5" i="29"/>
  <c r="P5" i="29"/>
  <c r="R5" i="29"/>
  <c r="Q5" i="29"/>
  <c r="O4" i="29"/>
  <c r="P4" i="29"/>
  <c r="R4" i="29"/>
  <c r="Q4" i="29"/>
  <c r="H4" i="8"/>
  <c r="H20" i="8"/>
  <c r="B2" i="23"/>
  <c r="C18" i="23"/>
  <c r="C19" i="23"/>
  <c r="L20" i="8"/>
  <c r="L4" i="8"/>
  <c r="B5" i="23"/>
  <c r="C20" i="23"/>
  <c r="O19" i="23"/>
  <c r="P20" i="8"/>
  <c r="P4" i="8"/>
  <c r="B3" i="23"/>
  <c r="P19" i="23"/>
  <c r="P20" i="23"/>
  <c r="T4" i="8"/>
  <c r="T20" i="8"/>
  <c r="B4" i="23"/>
  <c r="L43" i="8"/>
  <c r="L27" i="8"/>
  <c r="B6" i="23"/>
  <c r="C5" i="7"/>
  <c r="D5" i="7"/>
  <c r="E5" i="7"/>
  <c r="F5" i="7"/>
  <c r="G5" i="7"/>
  <c r="C6" i="7"/>
  <c r="D6" i="7"/>
  <c r="E6" i="7"/>
  <c r="F6" i="7"/>
  <c r="G6" i="7"/>
  <c r="C7" i="7"/>
  <c r="D7" i="7"/>
  <c r="E7" i="7"/>
  <c r="F7" i="7"/>
  <c r="G7" i="7"/>
  <c r="C8" i="7"/>
  <c r="D8" i="7"/>
  <c r="E8" i="7"/>
  <c r="F8" i="7"/>
  <c r="G8" i="7"/>
  <c r="C9" i="7"/>
  <c r="D9" i="7"/>
  <c r="E9" i="7"/>
  <c r="F9" i="7"/>
  <c r="G9" i="7"/>
  <c r="C10" i="7"/>
  <c r="D10" i="7"/>
  <c r="E10" i="7"/>
  <c r="F10" i="7"/>
  <c r="G10" i="7"/>
  <c r="C11" i="7"/>
  <c r="D11" i="7"/>
  <c r="E11" i="7"/>
  <c r="F11" i="7"/>
  <c r="G11" i="7"/>
  <c r="C12" i="7"/>
  <c r="D12" i="7"/>
  <c r="E12" i="7"/>
  <c r="F12" i="7"/>
  <c r="G12" i="7"/>
  <c r="C13" i="7"/>
  <c r="D13" i="7"/>
  <c r="E13" i="7"/>
  <c r="F13" i="7"/>
  <c r="G13" i="7"/>
  <c r="C14" i="7"/>
  <c r="D14" i="7"/>
  <c r="E14" i="7"/>
  <c r="F14" i="7"/>
  <c r="G14" i="7"/>
  <c r="C15" i="7"/>
  <c r="D15" i="7"/>
  <c r="E15" i="7"/>
  <c r="F15" i="7"/>
  <c r="G15" i="7"/>
  <c r="C16" i="7"/>
  <c r="D16" i="7"/>
  <c r="E16" i="7"/>
  <c r="F16" i="7"/>
  <c r="G16" i="7"/>
  <c r="C17" i="7"/>
  <c r="D17" i="7"/>
  <c r="E17" i="7"/>
  <c r="F17" i="7"/>
  <c r="G17" i="7"/>
  <c r="C18" i="7"/>
  <c r="D18" i="7"/>
  <c r="E18" i="7"/>
  <c r="F18" i="7"/>
  <c r="G18" i="7"/>
  <c r="C19" i="7"/>
  <c r="D19" i="7"/>
  <c r="E19" i="7"/>
  <c r="F19" i="7"/>
  <c r="G19" i="7"/>
  <c r="C20" i="7"/>
  <c r="D20" i="7"/>
  <c r="E20" i="7"/>
  <c r="F20" i="7"/>
  <c r="G20" i="7"/>
  <c r="C21" i="7"/>
  <c r="D21" i="7"/>
  <c r="E21" i="7"/>
  <c r="F21" i="7"/>
  <c r="G21" i="7"/>
  <c r="C22" i="7"/>
  <c r="D22" i="7"/>
  <c r="E22" i="7"/>
  <c r="F22" i="7"/>
  <c r="G22" i="7"/>
  <c r="C23" i="7"/>
  <c r="D23" i="7"/>
  <c r="E23" i="7"/>
  <c r="F23" i="7"/>
  <c r="G23" i="7"/>
  <c r="C24" i="7"/>
  <c r="D24" i="7"/>
  <c r="E24" i="7"/>
  <c r="F24" i="7"/>
  <c r="G24" i="7"/>
  <c r="C25" i="7"/>
  <c r="D25" i="7"/>
  <c r="E25" i="7"/>
  <c r="F25" i="7"/>
  <c r="G25" i="7"/>
  <c r="C26" i="7"/>
  <c r="D26" i="7"/>
  <c r="E26" i="7"/>
  <c r="F26" i="7"/>
  <c r="G26" i="7"/>
  <c r="C27" i="7"/>
  <c r="D27" i="7"/>
  <c r="E27" i="7"/>
  <c r="F27" i="7"/>
  <c r="G27" i="7"/>
  <c r="C28" i="7"/>
  <c r="D28" i="7"/>
  <c r="E28" i="7"/>
  <c r="F28" i="7"/>
  <c r="G28" i="7"/>
  <c r="C29" i="7"/>
  <c r="D29" i="7"/>
  <c r="E29" i="7"/>
  <c r="F29" i="7"/>
  <c r="G29" i="7"/>
  <c r="C30" i="7"/>
  <c r="D30" i="7"/>
  <c r="E30" i="7"/>
  <c r="F30" i="7"/>
  <c r="G30" i="7"/>
  <c r="C31" i="7"/>
  <c r="D31" i="7"/>
  <c r="E31" i="7"/>
  <c r="F31" i="7"/>
  <c r="G31" i="7"/>
  <c r="C32" i="7"/>
  <c r="D32" i="7"/>
  <c r="E32" i="7"/>
  <c r="F32" i="7"/>
  <c r="G32" i="7"/>
  <c r="C33" i="7"/>
  <c r="D33" i="7"/>
  <c r="E33" i="7"/>
  <c r="F33" i="7"/>
  <c r="G33" i="7"/>
  <c r="C34" i="7"/>
  <c r="D34" i="7"/>
  <c r="E34" i="7"/>
  <c r="F34" i="7"/>
  <c r="G34" i="7"/>
  <c r="C35" i="7"/>
  <c r="D35" i="7"/>
  <c r="E35" i="7"/>
  <c r="F35" i="7"/>
  <c r="G35" i="7"/>
  <c r="C36" i="7"/>
  <c r="D36" i="7"/>
  <c r="E36" i="7"/>
  <c r="F36" i="7"/>
  <c r="G36" i="7"/>
  <c r="C37" i="7"/>
  <c r="D37" i="7"/>
  <c r="E37" i="7"/>
  <c r="F37" i="7"/>
  <c r="G37" i="7"/>
  <c r="C38" i="7"/>
  <c r="D38" i="7"/>
  <c r="E38" i="7"/>
  <c r="F38" i="7"/>
  <c r="G38" i="7"/>
  <c r="C39" i="7"/>
  <c r="D39" i="7"/>
  <c r="E39" i="7"/>
  <c r="F39" i="7"/>
  <c r="G39" i="7"/>
  <c r="C40" i="7"/>
  <c r="D40" i="7"/>
  <c r="E40" i="7"/>
  <c r="F40" i="7"/>
  <c r="G40" i="7"/>
  <c r="C41" i="7"/>
  <c r="D41" i="7"/>
  <c r="E41" i="7"/>
  <c r="F41" i="7"/>
  <c r="G41" i="7"/>
  <c r="C42" i="7"/>
  <c r="D42" i="7"/>
  <c r="E42" i="7"/>
  <c r="F42" i="7"/>
  <c r="G42" i="7"/>
  <c r="C43" i="7"/>
  <c r="D43" i="7"/>
  <c r="E43" i="7"/>
  <c r="F43" i="7"/>
  <c r="G43" i="7"/>
  <c r="C44" i="7"/>
  <c r="D44" i="7"/>
  <c r="E44" i="7"/>
  <c r="F44" i="7"/>
  <c r="G44" i="7"/>
  <c r="C45" i="7"/>
  <c r="D45" i="7"/>
  <c r="E45" i="7"/>
  <c r="F45" i="7"/>
  <c r="G45" i="7"/>
  <c r="C46" i="7"/>
  <c r="D46" i="7"/>
  <c r="E46" i="7"/>
  <c r="F46" i="7"/>
  <c r="G46" i="7"/>
  <c r="C47" i="7"/>
  <c r="D47" i="7"/>
  <c r="E47" i="7"/>
  <c r="F47" i="7"/>
  <c r="G47" i="7"/>
  <c r="C48" i="7"/>
  <c r="D48" i="7"/>
  <c r="E48" i="7"/>
  <c r="F48" i="7"/>
  <c r="G48" i="7"/>
  <c r="C49" i="7"/>
  <c r="D49" i="7"/>
  <c r="E49" i="7"/>
  <c r="F49" i="7"/>
  <c r="G49" i="7"/>
  <c r="C50" i="7"/>
  <c r="D50" i="7"/>
  <c r="E50" i="7"/>
  <c r="F50" i="7"/>
  <c r="G50" i="7"/>
  <c r="C51" i="7"/>
  <c r="D51" i="7"/>
  <c r="E51" i="7"/>
  <c r="F51" i="7"/>
  <c r="G51" i="7"/>
  <c r="C52" i="7"/>
  <c r="D52" i="7"/>
  <c r="E52" i="7"/>
  <c r="F52" i="7"/>
  <c r="G52" i="7"/>
  <c r="C53" i="7"/>
  <c r="D53" i="7"/>
  <c r="E53" i="7"/>
  <c r="F53" i="7"/>
  <c r="G53" i="7"/>
  <c r="C54" i="7"/>
  <c r="D54" i="7"/>
  <c r="E54" i="7"/>
  <c r="F54" i="7"/>
  <c r="G54" i="7"/>
  <c r="C55" i="7"/>
  <c r="D55" i="7"/>
  <c r="E55" i="7"/>
  <c r="F55" i="7"/>
  <c r="G55" i="7"/>
  <c r="C56" i="7"/>
  <c r="D56" i="7"/>
  <c r="E56" i="7"/>
  <c r="F56" i="7"/>
  <c r="G56" i="7"/>
  <c r="C57" i="7"/>
  <c r="D57" i="7"/>
  <c r="E57" i="7"/>
  <c r="F57" i="7"/>
  <c r="G57" i="7"/>
  <c r="C58" i="7"/>
  <c r="D58" i="7"/>
  <c r="E58" i="7"/>
  <c r="F58" i="7"/>
  <c r="G58" i="7"/>
  <c r="C59" i="7"/>
  <c r="D59" i="7"/>
  <c r="E59" i="7"/>
  <c r="F59" i="7"/>
  <c r="G59" i="7"/>
  <c r="C60" i="7"/>
  <c r="D60" i="7"/>
  <c r="E60" i="7"/>
  <c r="F60" i="7"/>
  <c r="G60" i="7"/>
  <c r="C61" i="7"/>
  <c r="D61" i="7"/>
  <c r="E61" i="7"/>
  <c r="F61" i="7"/>
  <c r="G61" i="7"/>
  <c r="C62" i="7"/>
  <c r="D62" i="7"/>
  <c r="E62" i="7"/>
  <c r="F62" i="7"/>
  <c r="G62" i="7"/>
  <c r="C63" i="7"/>
  <c r="D63" i="7"/>
  <c r="E63" i="7"/>
  <c r="F63" i="7"/>
  <c r="G63" i="7"/>
  <c r="C64" i="7"/>
  <c r="D64" i="7"/>
  <c r="E64" i="7"/>
  <c r="F64" i="7"/>
  <c r="G64" i="7"/>
  <c r="C65" i="7"/>
  <c r="D65" i="7"/>
  <c r="E65" i="7"/>
  <c r="F65" i="7"/>
  <c r="G65" i="7"/>
  <c r="C66" i="7"/>
  <c r="D66" i="7"/>
  <c r="E66" i="7"/>
  <c r="F66" i="7"/>
  <c r="G66" i="7"/>
  <c r="C67" i="7"/>
  <c r="D67" i="7"/>
  <c r="E67" i="7"/>
  <c r="F67" i="7"/>
  <c r="G67" i="7"/>
  <c r="C68" i="7"/>
  <c r="D68" i="7"/>
  <c r="E68" i="7"/>
  <c r="F68" i="7"/>
  <c r="G68" i="7"/>
  <c r="C69" i="7"/>
  <c r="D69" i="7"/>
  <c r="E69" i="7"/>
  <c r="F69" i="7"/>
  <c r="G69" i="7"/>
  <c r="C70" i="7"/>
  <c r="D70" i="7"/>
  <c r="E70" i="7"/>
  <c r="F70" i="7"/>
  <c r="G70" i="7"/>
  <c r="C71" i="7"/>
  <c r="D71" i="7"/>
  <c r="E71" i="7"/>
  <c r="F71" i="7"/>
  <c r="G71" i="7"/>
  <c r="C72" i="7"/>
  <c r="D72" i="7"/>
  <c r="E72" i="7"/>
  <c r="F72" i="7"/>
  <c r="G72" i="7"/>
  <c r="C73" i="7"/>
  <c r="D73" i="7"/>
  <c r="E73" i="7"/>
  <c r="F73" i="7"/>
  <c r="G73" i="7"/>
  <c r="C74" i="7"/>
  <c r="D74" i="7"/>
  <c r="E74" i="7"/>
  <c r="F74" i="7"/>
  <c r="G74" i="7"/>
  <c r="C75" i="7"/>
  <c r="D75" i="7"/>
  <c r="E75" i="7"/>
  <c r="F75" i="7"/>
  <c r="G75" i="7"/>
  <c r="C76" i="7"/>
  <c r="D76" i="7"/>
  <c r="E76" i="7"/>
  <c r="F76" i="7"/>
  <c r="G76" i="7"/>
  <c r="C77" i="7"/>
  <c r="D77" i="7"/>
  <c r="E77" i="7"/>
  <c r="F77" i="7"/>
  <c r="G77" i="7"/>
  <c r="C78" i="7"/>
  <c r="D78" i="7"/>
  <c r="E78" i="7"/>
  <c r="F78" i="7"/>
  <c r="G78" i="7"/>
  <c r="C79" i="7"/>
  <c r="D79" i="7"/>
  <c r="E79" i="7"/>
  <c r="F79" i="7"/>
  <c r="G79" i="7"/>
  <c r="C80" i="7"/>
  <c r="D80" i="7"/>
  <c r="E80" i="7"/>
  <c r="F80" i="7"/>
  <c r="G80" i="7"/>
  <c r="C81" i="7"/>
  <c r="D81" i="7"/>
  <c r="E81" i="7"/>
  <c r="F81" i="7"/>
  <c r="G81" i="7"/>
  <c r="C82" i="7"/>
  <c r="D82" i="7"/>
  <c r="E82" i="7"/>
  <c r="F82" i="7"/>
  <c r="G82" i="7"/>
  <c r="C83" i="7"/>
  <c r="D83" i="7"/>
  <c r="E83" i="7"/>
  <c r="F83" i="7"/>
  <c r="G83" i="7"/>
  <c r="C84" i="7"/>
  <c r="D84" i="7"/>
  <c r="E84" i="7"/>
  <c r="F84" i="7"/>
  <c r="G84" i="7"/>
  <c r="C85" i="7"/>
  <c r="D85" i="7"/>
  <c r="E85" i="7"/>
  <c r="F85" i="7"/>
  <c r="G85" i="7"/>
  <c r="C86" i="7"/>
  <c r="D86" i="7"/>
  <c r="E86" i="7"/>
  <c r="F86" i="7"/>
  <c r="G86" i="7"/>
  <c r="C87" i="7"/>
  <c r="D87" i="7"/>
  <c r="E87" i="7"/>
  <c r="F87" i="7"/>
  <c r="G87" i="7"/>
  <c r="C88" i="7"/>
  <c r="D88" i="7"/>
  <c r="E88" i="7"/>
  <c r="F88" i="7"/>
  <c r="G88" i="7"/>
  <c r="C89" i="7"/>
  <c r="D89" i="7"/>
  <c r="E89" i="7"/>
  <c r="F89" i="7"/>
  <c r="G89" i="7"/>
  <c r="C90" i="7"/>
  <c r="D90" i="7"/>
  <c r="E90" i="7"/>
  <c r="F90" i="7"/>
  <c r="G90" i="7"/>
  <c r="C91" i="7"/>
  <c r="D91" i="7"/>
  <c r="E91" i="7"/>
  <c r="F91" i="7"/>
  <c r="G91" i="7"/>
  <c r="C92" i="7"/>
  <c r="D92" i="7"/>
  <c r="E92" i="7"/>
  <c r="F92" i="7"/>
  <c r="G92" i="7"/>
  <c r="C93" i="7"/>
  <c r="D93" i="7"/>
  <c r="E93" i="7"/>
  <c r="F93" i="7"/>
  <c r="G93" i="7"/>
  <c r="C94" i="7"/>
  <c r="D94" i="7"/>
  <c r="E94" i="7"/>
  <c r="F94" i="7"/>
  <c r="G94" i="7"/>
  <c r="C95" i="7"/>
  <c r="D95" i="7"/>
  <c r="E95" i="7"/>
  <c r="F95" i="7"/>
  <c r="G95" i="7"/>
  <c r="C96" i="7"/>
  <c r="D96" i="7"/>
  <c r="E96" i="7"/>
  <c r="F96" i="7"/>
  <c r="G96" i="7"/>
  <c r="C97" i="7"/>
  <c r="D97" i="7"/>
  <c r="E97" i="7"/>
  <c r="F97" i="7"/>
  <c r="G97" i="7"/>
  <c r="C98" i="7"/>
  <c r="D98" i="7"/>
  <c r="E98" i="7"/>
  <c r="F98" i="7"/>
  <c r="G98" i="7"/>
  <c r="C99" i="7"/>
  <c r="D99" i="7"/>
  <c r="E99" i="7"/>
  <c r="F99" i="7"/>
  <c r="G99" i="7"/>
  <c r="C100" i="7"/>
  <c r="D100" i="7"/>
  <c r="E100" i="7"/>
  <c r="F100" i="7"/>
  <c r="G100" i="7"/>
  <c r="C101" i="7"/>
  <c r="D101" i="7"/>
  <c r="E101" i="7"/>
  <c r="F101" i="7"/>
  <c r="G101" i="7"/>
  <c r="B8" i="23"/>
  <c r="I4" i="8"/>
  <c r="I20" i="8"/>
  <c r="C2" i="23"/>
  <c r="G24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1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2" i="19"/>
  <c r="G23" i="19"/>
  <c r="G24" i="19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5" i="17"/>
  <c r="H4" i="22"/>
  <c r="U4" i="22"/>
  <c r="L4" i="22"/>
  <c r="V4" i="22"/>
  <c r="P4" i="22"/>
  <c r="W4" i="22"/>
  <c r="X4" i="22"/>
  <c r="P5" i="22"/>
  <c r="W5" i="22"/>
  <c r="P6" i="22"/>
  <c r="W6" i="22"/>
  <c r="P7" i="22"/>
  <c r="W7" i="22"/>
  <c r="P8" i="22"/>
  <c r="W8" i="22"/>
  <c r="P9" i="22"/>
  <c r="W9" i="22"/>
  <c r="P10" i="22"/>
  <c r="W10" i="22"/>
  <c r="P11" i="22"/>
  <c r="W11" i="22"/>
  <c r="P12" i="22"/>
  <c r="W12" i="22"/>
  <c r="P13" i="22"/>
  <c r="W13" i="22"/>
  <c r="P14" i="22"/>
  <c r="W14" i="22"/>
  <c r="P15" i="22"/>
  <c r="W15" i="22"/>
  <c r="P16" i="22"/>
  <c r="W16" i="22"/>
  <c r="P17" i="22"/>
  <c r="W17" i="22"/>
  <c r="P18" i="22"/>
  <c r="W18" i="22"/>
  <c r="P19" i="22"/>
  <c r="W19" i="22"/>
  <c r="P20" i="22"/>
  <c r="W20" i="22"/>
  <c r="D25" i="23"/>
  <c r="C25" i="23"/>
  <c r="C24" i="23"/>
  <c r="D5" i="17"/>
  <c r="E5" i="17"/>
  <c r="F5" i="17"/>
  <c r="G5" i="17"/>
  <c r="D6" i="17"/>
  <c r="E6" i="17"/>
  <c r="F6" i="17"/>
  <c r="G6" i="17"/>
  <c r="D7" i="17"/>
  <c r="E7" i="17"/>
  <c r="F7" i="17"/>
  <c r="G7" i="17"/>
  <c r="D8" i="17"/>
  <c r="E8" i="17"/>
  <c r="F8" i="17"/>
  <c r="G8" i="17"/>
  <c r="D9" i="17"/>
  <c r="E9" i="17"/>
  <c r="F9" i="17"/>
  <c r="G9" i="17"/>
  <c r="D10" i="17"/>
  <c r="E10" i="17"/>
  <c r="F10" i="17"/>
  <c r="G10" i="17"/>
  <c r="D11" i="17"/>
  <c r="E11" i="17"/>
  <c r="F11" i="17"/>
  <c r="G11" i="17"/>
  <c r="D12" i="17"/>
  <c r="E12" i="17"/>
  <c r="F12" i="17"/>
  <c r="G12" i="17"/>
  <c r="D13" i="17"/>
  <c r="E13" i="17"/>
  <c r="F13" i="17"/>
  <c r="G13" i="17"/>
  <c r="D14" i="17"/>
  <c r="E14" i="17"/>
  <c r="F14" i="17"/>
  <c r="G14" i="17"/>
  <c r="D15" i="17"/>
  <c r="E15" i="17"/>
  <c r="F15" i="17"/>
  <c r="G15" i="17"/>
  <c r="D16" i="17"/>
  <c r="E16" i="17"/>
  <c r="F16" i="17"/>
  <c r="G16" i="17"/>
  <c r="D17" i="17"/>
  <c r="E17" i="17"/>
  <c r="F17" i="17"/>
  <c r="G17" i="17"/>
  <c r="D18" i="17"/>
  <c r="E18" i="17"/>
  <c r="F18" i="17"/>
  <c r="G18" i="17"/>
  <c r="D19" i="17"/>
  <c r="E19" i="17"/>
  <c r="F19" i="17"/>
  <c r="G19" i="17"/>
  <c r="D20" i="17"/>
  <c r="E20" i="17"/>
  <c r="F20" i="17"/>
  <c r="G20" i="17"/>
  <c r="D21" i="17"/>
  <c r="E21" i="17"/>
  <c r="F21" i="17"/>
  <c r="G21" i="17"/>
  <c r="D22" i="17"/>
  <c r="E22" i="17"/>
  <c r="F22" i="17"/>
  <c r="G22" i="17"/>
  <c r="D23" i="17"/>
  <c r="E23" i="17"/>
  <c r="F23" i="17"/>
  <c r="G23" i="17"/>
  <c r="D24" i="17"/>
  <c r="E24" i="17"/>
  <c r="F24" i="17"/>
  <c r="G24" i="17"/>
  <c r="D25" i="17"/>
  <c r="E25" i="17"/>
  <c r="F25" i="17"/>
  <c r="G25" i="17"/>
  <c r="D26" i="17"/>
  <c r="E26" i="17"/>
  <c r="F26" i="17"/>
  <c r="G26" i="17"/>
  <c r="D27" i="17"/>
  <c r="E27" i="17"/>
  <c r="F27" i="17"/>
  <c r="G27" i="17"/>
  <c r="D28" i="17"/>
  <c r="E28" i="17"/>
  <c r="F28" i="17"/>
  <c r="G28" i="17"/>
  <c r="D29" i="17"/>
  <c r="E29" i="17"/>
  <c r="F29" i="17"/>
  <c r="G29" i="17"/>
  <c r="D30" i="17"/>
  <c r="E30" i="17"/>
  <c r="F30" i="17"/>
  <c r="G30" i="17"/>
  <c r="D31" i="17"/>
  <c r="E31" i="17"/>
  <c r="F31" i="17"/>
  <c r="G31" i="17"/>
  <c r="D32" i="17"/>
  <c r="E32" i="17"/>
  <c r="F32" i="17"/>
  <c r="G32" i="17"/>
  <c r="D33" i="17"/>
  <c r="E33" i="17"/>
  <c r="F33" i="17"/>
  <c r="G33" i="17"/>
  <c r="D34" i="17"/>
  <c r="E34" i="17"/>
  <c r="F34" i="17"/>
  <c r="G34" i="17"/>
  <c r="D35" i="17"/>
  <c r="E35" i="17"/>
  <c r="F35" i="17"/>
  <c r="G35" i="17"/>
  <c r="D36" i="17"/>
  <c r="E36" i="17"/>
  <c r="F36" i="17"/>
  <c r="G36" i="17"/>
  <c r="D37" i="17"/>
  <c r="E37" i="17"/>
  <c r="F37" i="17"/>
  <c r="G37" i="17"/>
  <c r="D38" i="17"/>
  <c r="E38" i="17"/>
  <c r="F38" i="17"/>
  <c r="G38" i="17"/>
  <c r="D39" i="17"/>
  <c r="E39" i="17"/>
  <c r="F39" i="17"/>
  <c r="G39" i="17"/>
  <c r="D40" i="17"/>
  <c r="E40" i="17"/>
  <c r="F40" i="17"/>
  <c r="G40" i="17"/>
  <c r="D41" i="17"/>
  <c r="E41" i="17"/>
  <c r="F41" i="17"/>
  <c r="G41" i="17"/>
  <c r="D42" i="17"/>
  <c r="E42" i="17"/>
  <c r="F42" i="17"/>
  <c r="G42" i="17"/>
  <c r="D43" i="17"/>
  <c r="E43" i="17"/>
  <c r="F43" i="17"/>
  <c r="G43" i="17"/>
  <c r="D44" i="17"/>
  <c r="E44" i="17"/>
  <c r="F44" i="17"/>
  <c r="G44" i="17"/>
  <c r="D45" i="17"/>
  <c r="E45" i="17"/>
  <c r="F45" i="17"/>
  <c r="G45" i="17"/>
  <c r="D46" i="17"/>
  <c r="E46" i="17"/>
  <c r="F46" i="17"/>
  <c r="G46" i="17"/>
  <c r="D47" i="17"/>
  <c r="E47" i="17"/>
  <c r="F47" i="17"/>
  <c r="G47" i="17"/>
  <c r="D48" i="17"/>
  <c r="E48" i="17"/>
  <c r="F48" i="17"/>
  <c r="G48" i="17"/>
  <c r="D49" i="17"/>
  <c r="E49" i="17"/>
  <c r="F49" i="17"/>
  <c r="G49" i="17"/>
  <c r="D50" i="17"/>
  <c r="E50" i="17"/>
  <c r="F50" i="17"/>
  <c r="G50" i="17"/>
  <c r="D51" i="17"/>
  <c r="E51" i="17"/>
  <c r="F51" i="17"/>
  <c r="G51" i="17"/>
  <c r="D52" i="17"/>
  <c r="E52" i="17"/>
  <c r="F52" i="17"/>
  <c r="G52" i="17"/>
  <c r="D53" i="17"/>
  <c r="E53" i="17"/>
  <c r="F53" i="17"/>
  <c r="G53" i="17"/>
  <c r="D54" i="17"/>
  <c r="E54" i="17"/>
  <c r="F54" i="17"/>
  <c r="G54" i="17"/>
  <c r="D55" i="17"/>
  <c r="E55" i="17"/>
  <c r="F55" i="17"/>
  <c r="G55" i="17"/>
  <c r="D56" i="17"/>
  <c r="E56" i="17"/>
  <c r="F56" i="17"/>
  <c r="G56" i="17"/>
  <c r="D57" i="17"/>
  <c r="E57" i="17"/>
  <c r="F57" i="17"/>
  <c r="G57" i="17"/>
  <c r="D58" i="17"/>
  <c r="E58" i="17"/>
  <c r="F58" i="17"/>
  <c r="G58" i="17"/>
  <c r="D59" i="17"/>
  <c r="E59" i="17"/>
  <c r="F59" i="17"/>
  <c r="G59" i="17"/>
  <c r="D60" i="17"/>
  <c r="E60" i="17"/>
  <c r="F60" i="17"/>
  <c r="G60" i="17"/>
  <c r="D61" i="17"/>
  <c r="E61" i="17"/>
  <c r="F61" i="17"/>
  <c r="G61" i="17"/>
  <c r="D62" i="17"/>
  <c r="E62" i="17"/>
  <c r="F62" i="17"/>
  <c r="G62" i="17"/>
  <c r="D63" i="17"/>
  <c r="E63" i="17"/>
  <c r="F63" i="17"/>
  <c r="G63" i="17"/>
  <c r="D64" i="17"/>
  <c r="E64" i="17"/>
  <c r="F64" i="17"/>
  <c r="G64" i="17"/>
  <c r="D65" i="17"/>
  <c r="E65" i="17"/>
  <c r="F65" i="17"/>
  <c r="G65" i="17"/>
  <c r="D66" i="17"/>
  <c r="E66" i="17"/>
  <c r="F66" i="17"/>
  <c r="G66" i="17"/>
  <c r="D67" i="17"/>
  <c r="E67" i="17"/>
  <c r="F67" i="17"/>
  <c r="G67" i="17"/>
  <c r="D68" i="17"/>
  <c r="E68" i="17"/>
  <c r="F68" i="17"/>
  <c r="G68" i="17"/>
  <c r="D69" i="17"/>
  <c r="E69" i="17"/>
  <c r="F69" i="17"/>
  <c r="G69" i="17"/>
  <c r="D70" i="17"/>
  <c r="E70" i="17"/>
  <c r="F70" i="17"/>
  <c r="G70" i="17"/>
  <c r="D71" i="17"/>
  <c r="E71" i="17"/>
  <c r="F71" i="17"/>
  <c r="G71" i="17"/>
  <c r="D72" i="17"/>
  <c r="E72" i="17"/>
  <c r="F72" i="17"/>
  <c r="G72" i="17"/>
  <c r="D73" i="17"/>
  <c r="E73" i="17"/>
  <c r="F73" i="17"/>
  <c r="G73" i="17"/>
  <c r="D74" i="17"/>
  <c r="E74" i="17"/>
  <c r="F74" i="17"/>
  <c r="G74" i="17"/>
  <c r="D75" i="17"/>
  <c r="E75" i="17"/>
  <c r="F75" i="17"/>
  <c r="G75" i="17"/>
  <c r="D76" i="17"/>
  <c r="E76" i="17"/>
  <c r="F76" i="17"/>
  <c r="G76" i="17"/>
  <c r="D77" i="17"/>
  <c r="E77" i="17"/>
  <c r="F77" i="17"/>
  <c r="G77" i="17"/>
  <c r="D78" i="17"/>
  <c r="E78" i="17"/>
  <c r="F78" i="17"/>
  <c r="G78" i="17"/>
  <c r="D79" i="17"/>
  <c r="E79" i="17"/>
  <c r="F79" i="17"/>
  <c r="G79" i="17"/>
  <c r="D80" i="17"/>
  <c r="E80" i="17"/>
  <c r="F80" i="17"/>
  <c r="G80" i="17"/>
  <c r="D81" i="17"/>
  <c r="E81" i="17"/>
  <c r="F81" i="17"/>
  <c r="G81" i="17"/>
  <c r="D82" i="17"/>
  <c r="E82" i="17"/>
  <c r="F82" i="17"/>
  <c r="G82" i="17"/>
  <c r="D83" i="17"/>
  <c r="E83" i="17"/>
  <c r="F83" i="17"/>
  <c r="G83" i="17"/>
  <c r="D84" i="17"/>
  <c r="E84" i="17"/>
  <c r="F84" i="17"/>
  <c r="G84" i="17"/>
  <c r="D85" i="17"/>
  <c r="E85" i="17"/>
  <c r="F85" i="17"/>
  <c r="G85" i="17"/>
  <c r="D86" i="17"/>
  <c r="E86" i="17"/>
  <c r="F86" i="17"/>
  <c r="G86" i="17"/>
  <c r="D87" i="17"/>
  <c r="E87" i="17"/>
  <c r="F87" i="17"/>
  <c r="G87" i="17"/>
  <c r="D88" i="17"/>
  <c r="E88" i="17"/>
  <c r="F88" i="17"/>
  <c r="G88" i="17"/>
  <c r="D89" i="17"/>
  <c r="E89" i="17"/>
  <c r="F89" i="17"/>
  <c r="G89" i="17"/>
  <c r="D90" i="17"/>
  <c r="E90" i="17"/>
  <c r="F90" i="17"/>
  <c r="G90" i="17"/>
  <c r="D91" i="17"/>
  <c r="E91" i="17"/>
  <c r="F91" i="17"/>
  <c r="G91" i="17"/>
  <c r="D92" i="17"/>
  <c r="E92" i="17"/>
  <c r="F92" i="17"/>
  <c r="G92" i="17"/>
  <c r="D93" i="17"/>
  <c r="E93" i="17"/>
  <c r="F93" i="17"/>
  <c r="G93" i="17"/>
  <c r="D94" i="17"/>
  <c r="E94" i="17"/>
  <c r="F94" i="17"/>
  <c r="G94" i="17"/>
  <c r="D95" i="17"/>
  <c r="E95" i="17"/>
  <c r="F95" i="17"/>
  <c r="G95" i="17"/>
  <c r="D96" i="17"/>
  <c r="E96" i="17"/>
  <c r="F96" i="17"/>
  <c r="G96" i="17"/>
  <c r="D97" i="17"/>
  <c r="E97" i="17"/>
  <c r="F97" i="17"/>
  <c r="G97" i="17"/>
  <c r="D98" i="17"/>
  <c r="E98" i="17"/>
  <c r="F98" i="17"/>
  <c r="G98" i="17"/>
  <c r="D99" i="17"/>
  <c r="E99" i="17"/>
  <c r="F99" i="17"/>
  <c r="G99" i="17"/>
  <c r="D100" i="17"/>
  <c r="E100" i="17"/>
  <c r="F100" i="17"/>
  <c r="G100" i="17"/>
  <c r="D101" i="17"/>
  <c r="E101" i="17"/>
  <c r="F101" i="17"/>
  <c r="G101" i="17"/>
  <c r="B7" i="23"/>
  <c r="N6" i="23"/>
  <c r="C21" i="23"/>
  <c r="C22" i="23"/>
  <c r="C23" i="23"/>
  <c r="B28" i="23"/>
  <c r="N7" i="23"/>
  <c r="N12" i="23"/>
  <c r="L8" i="23"/>
  <c r="L10" i="23"/>
  <c r="L12" i="23"/>
  <c r="N11" i="23"/>
  <c r="L9" i="23"/>
  <c r="L11" i="23"/>
  <c r="J28" i="23"/>
  <c r="L26" i="23"/>
  <c r="K26" i="23"/>
  <c r="U20" i="22"/>
  <c r="L20" i="22"/>
  <c r="V20" i="22"/>
  <c r="X20" i="22"/>
  <c r="H5" i="22"/>
  <c r="U5" i="22"/>
  <c r="L5" i="22"/>
  <c r="V5" i="22"/>
  <c r="X5" i="22"/>
  <c r="H6" i="22"/>
  <c r="U6" i="22"/>
  <c r="L6" i="22"/>
  <c r="V6" i="22"/>
  <c r="X6" i="22"/>
  <c r="H7" i="22"/>
  <c r="U7" i="22"/>
  <c r="L7" i="22"/>
  <c r="V7" i="22"/>
  <c r="X7" i="22"/>
  <c r="H8" i="22"/>
  <c r="U8" i="22"/>
  <c r="L8" i="22"/>
  <c r="V8" i="22"/>
  <c r="X8" i="22"/>
  <c r="H9" i="22"/>
  <c r="U9" i="22"/>
  <c r="L9" i="22"/>
  <c r="V9" i="22"/>
  <c r="X9" i="22"/>
  <c r="H10" i="22"/>
  <c r="U10" i="22"/>
  <c r="L10" i="22"/>
  <c r="V10" i="22"/>
  <c r="X10" i="22"/>
  <c r="H11" i="22"/>
  <c r="U11" i="22"/>
  <c r="L11" i="22"/>
  <c r="V11" i="22"/>
  <c r="X11" i="22"/>
  <c r="H12" i="22"/>
  <c r="U12" i="22"/>
  <c r="L12" i="22"/>
  <c r="V12" i="22"/>
  <c r="X12" i="22"/>
  <c r="H13" i="22"/>
  <c r="U13" i="22"/>
  <c r="L13" i="22"/>
  <c r="V13" i="22"/>
  <c r="X13" i="22"/>
  <c r="H14" i="22"/>
  <c r="U14" i="22"/>
  <c r="L14" i="22"/>
  <c r="V14" i="22"/>
  <c r="X14" i="22"/>
  <c r="H15" i="22"/>
  <c r="U15" i="22"/>
  <c r="L15" i="22"/>
  <c r="V15" i="22"/>
  <c r="X15" i="22"/>
  <c r="H16" i="22"/>
  <c r="U16" i="22"/>
  <c r="L16" i="22"/>
  <c r="V16" i="22"/>
  <c r="X16" i="22"/>
  <c r="H17" i="22"/>
  <c r="U17" i="22"/>
  <c r="L17" i="22"/>
  <c r="V17" i="22"/>
  <c r="X17" i="22"/>
  <c r="H18" i="22"/>
  <c r="U18" i="22"/>
  <c r="L18" i="22"/>
  <c r="V18" i="22"/>
  <c r="X18" i="22"/>
  <c r="U19" i="22"/>
  <c r="L19" i="22"/>
  <c r="V19" i="22"/>
  <c r="X19" i="22"/>
  <c r="B10" i="23"/>
  <c r="B9" i="23"/>
  <c r="M43" i="8"/>
  <c r="M27" i="8"/>
  <c r="C6" i="23"/>
  <c r="M20" i="8"/>
  <c r="M4" i="8"/>
  <c r="C5" i="23"/>
  <c r="U4" i="8"/>
  <c r="U20" i="8"/>
  <c r="C4" i="23"/>
  <c r="Q4" i="8"/>
  <c r="Q20" i="8"/>
  <c r="C3" i="23"/>
  <c r="C8" i="2"/>
  <c r="C9" i="2"/>
  <c r="C10" i="2"/>
  <c r="C11" i="2"/>
  <c r="C12" i="2"/>
  <c r="C13" i="2"/>
  <c r="C14" i="2"/>
  <c r="C4" i="2"/>
  <c r="C5" i="2"/>
  <c r="C6" i="2"/>
  <c r="C7" i="2"/>
  <c r="D13" i="2"/>
  <c r="I26" i="8"/>
  <c r="G24" i="16"/>
  <c r="H24" i="16"/>
  <c r="G24" i="14"/>
  <c r="H24" i="14"/>
  <c r="G24" i="21"/>
  <c r="H24" i="21"/>
  <c r="G24" i="20"/>
  <c r="H24" i="20"/>
  <c r="G24" i="15"/>
  <c r="H24" i="15"/>
  <c r="H43" i="8"/>
  <c r="I43" i="8"/>
  <c r="P43" i="8"/>
  <c r="Q43" i="8"/>
  <c r="G20" i="5"/>
  <c r="Q20" i="22"/>
  <c r="R20" i="22"/>
  <c r="S20" i="22"/>
  <c r="T20" i="22"/>
  <c r="Q20" i="3"/>
  <c r="R20" i="3"/>
  <c r="S20" i="3"/>
  <c r="C3" i="2"/>
  <c r="H19" i="8"/>
  <c r="L42" i="8"/>
  <c r="L19" i="8"/>
  <c r="T19" i="8"/>
  <c r="I20" i="4"/>
  <c r="J20" i="4"/>
  <c r="P19" i="8"/>
  <c r="Q5" i="22"/>
  <c r="Q6" i="22"/>
  <c r="Q7" i="22"/>
  <c r="Q8" i="22"/>
  <c r="Q9" i="22"/>
  <c r="Q10" i="22"/>
  <c r="Q11" i="22"/>
  <c r="Q12" i="22"/>
  <c r="Q13" i="22"/>
  <c r="Q14" i="22"/>
  <c r="Q15" i="22"/>
  <c r="Q16" i="22"/>
  <c r="Q17" i="22"/>
  <c r="Q18" i="22"/>
  <c r="Q19" i="22"/>
  <c r="Q4" i="22"/>
  <c r="T5" i="22"/>
  <c r="T6" i="22"/>
  <c r="T7" i="22"/>
  <c r="T8" i="22"/>
  <c r="T9" i="22"/>
  <c r="T10" i="22"/>
  <c r="T11" i="22"/>
  <c r="T12" i="22"/>
  <c r="T13" i="22"/>
  <c r="T14" i="22"/>
  <c r="T15" i="22"/>
  <c r="T16" i="22"/>
  <c r="T17" i="22"/>
  <c r="T18" i="22"/>
  <c r="T19" i="22"/>
  <c r="T4" i="22"/>
  <c r="S5" i="22"/>
  <c r="S6" i="22"/>
  <c r="S7" i="22"/>
  <c r="S8" i="22"/>
  <c r="S9" i="22"/>
  <c r="S10" i="22"/>
  <c r="S11" i="22"/>
  <c r="S12" i="22"/>
  <c r="S13" i="22"/>
  <c r="S14" i="22"/>
  <c r="S15" i="22"/>
  <c r="S16" i="22"/>
  <c r="S17" i="22"/>
  <c r="S18" i="22"/>
  <c r="S19" i="22"/>
  <c r="S4" i="22"/>
  <c r="R5" i="22"/>
  <c r="R6" i="22"/>
  <c r="R7" i="22"/>
  <c r="R8" i="22"/>
  <c r="R9" i="22"/>
  <c r="R10" i="22"/>
  <c r="R11" i="22"/>
  <c r="R12" i="22"/>
  <c r="R13" i="22"/>
  <c r="R14" i="22"/>
  <c r="R15" i="22"/>
  <c r="R16" i="22"/>
  <c r="R17" i="22"/>
  <c r="R18" i="22"/>
  <c r="R19" i="22"/>
  <c r="R4" i="22"/>
  <c r="G7" i="18"/>
  <c r="H7" i="18"/>
  <c r="G8" i="14"/>
  <c r="H8" i="14"/>
  <c r="G9" i="14"/>
  <c r="H9" i="14"/>
  <c r="G10" i="14"/>
  <c r="H10" i="14"/>
  <c r="G11" i="14"/>
  <c r="H11" i="14"/>
  <c r="G12" i="14"/>
  <c r="H12" i="14"/>
  <c r="G13" i="14"/>
  <c r="H13" i="14"/>
  <c r="G14" i="14"/>
  <c r="H14" i="14"/>
  <c r="G15" i="14"/>
  <c r="H15" i="14"/>
  <c r="G16" i="14"/>
  <c r="H16" i="14"/>
  <c r="G17" i="14"/>
  <c r="H17" i="14"/>
  <c r="G18" i="14"/>
  <c r="H18" i="14"/>
  <c r="G19" i="14"/>
  <c r="H19" i="14"/>
  <c r="G20" i="14"/>
  <c r="H20" i="14"/>
  <c r="G21" i="14"/>
  <c r="H21" i="14"/>
  <c r="G22" i="14"/>
  <c r="H22" i="14"/>
  <c r="G23" i="14"/>
  <c r="H23" i="14"/>
  <c r="H7" i="14"/>
  <c r="G7" i="14"/>
  <c r="J19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3" i="4"/>
  <c r="M42" i="8"/>
  <c r="M19" i="8"/>
  <c r="U19" i="8"/>
  <c r="Q19" i="8"/>
  <c r="I19" i="8"/>
  <c r="L26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T13" i="8"/>
  <c r="H7" i="21"/>
  <c r="G7" i="21"/>
  <c r="G8" i="2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3" i="4"/>
  <c r="Q19" i="3"/>
  <c r="S19" i="3"/>
  <c r="R19" i="3"/>
  <c r="Q18" i="3"/>
  <c r="S18" i="3"/>
  <c r="R18" i="3"/>
  <c r="Q17" i="3"/>
  <c r="S17" i="3"/>
  <c r="R17" i="3"/>
  <c r="Q16" i="3"/>
  <c r="S16" i="3"/>
  <c r="R16" i="3"/>
  <c r="Q15" i="3"/>
  <c r="S15" i="3"/>
  <c r="R15" i="3"/>
  <c r="Q14" i="3"/>
  <c r="S14" i="3"/>
  <c r="R14" i="3"/>
  <c r="Q13" i="3"/>
  <c r="S13" i="3"/>
  <c r="R13" i="3"/>
  <c r="Q12" i="3"/>
  <c r="S12" i="3"/>
  <c r="R12" i="3"/>
  <c r="Q11" i="3"/>
  <c r="S11" i="3"/>
  <c r="R11" i="3"/>
  <c r="Q10" i="3"/>
  <c r="S10" i="3"/>
  <c r="R10" i="3"/>
  <c r="Q9" i="3"/>
  <c r="S9" i="3"/>
  <c r="R9" i="3"/>
  <c r="Q8" i="3"/>
  <c r="S8" i="3"/>
  <c r="R8" i="3"/>
  <c r="Q7" i="3"/>
  <c r="S7" i="3"/>
  <c r="R7" i="3"/>
  <c r="Q6" i="3"/>
  <c r="S6" i="3"/>
  <c r="R6" i="3"/>
  <c r="Q5" i="3"/>
  <c r="S5" i="3"/>
  <c r="R5" i="3"/>
  <c r="Q4" i="3"/>
  <c r="S4" i="3"/>
  <c r="R4" i="3"/>
  <c r="G19" i="5"/>
  <c r="D4" i="2"/>
  <c r="D5" i="2"/>
  <c r="D6" i="2"/>
  <c r="D7" i="2"/>
  <c r="D8" i="2"/>
  <c r="D9" i="2"/>
  <c r="D10" i="2"/>
  <c r="D11" i="2"/>
  <c r="D12" i="2"/>
  <c r="D14" i="2"/>
  <c r="D15" i="2"/>
  <c r="D3" i="2"/>
  <c r="G18" i="16"/>
  <c r="H18" i="16"/>
  <c r="G19" i="16"/>
  <c r="H19" i="16"/>
  <c r="G20" i="16"/>
  <c r="H20" i="16"/>
  <c r="G21" i="16"/>
  <c r="H21" i="16"/>
  <c r="G22" i="16"/>
  <c r="H22" i="16"/>
  <c r="G23" i="16"/>
  <c r="H23" i="16"/>
  <c r="G18" i="21"/>
  <c r="H18" i="21"/>
  <c r="G19" i="21"/>
  <c r="H19" i="21"/>
  <c r="G20" i="21"/>
  <c r="H20" i="21"/>
  <c r="G21" i="21"/>
  <c r="H21" i="21"/>
  <c r="G22" i="21"/>
  <c r="H22" i="21"/>
  <c r="G23" i="21"/>
  <c r="H23" i="21"/>
  <c r="G18" i="20"/>
  <c r="H18" i="20"/>
  <c r="G19" i="20"/>
  <c r="H19" i="20"/>
  <c r="G20" i="20"/>
  <c r="H20" i="20"/>
  <c r="G21" i="20"/>
  <c r="H21" i="20"/>
  <c r="G22" i="20"/>
  <c r="H22" i="20"/>
  <c r="G23" i="20"/>
  <c r="H23" i="20"/>
  <c r="G18" i="15"/>
  <c r="H18" i="15"/>
  <c r="G19" i="15"/>
  <c r="H19" i="15"/>
  <c r="G20" i="15"/>
  <c r="H20" i="15"/>
  <c r="G21" i="15"/>
  <c r="H21" i="15"/>
  <c r="G22" i="15"/>
  <c r="H22" i="15"/>
  <c r="G23" i="15"/>
  <c r="H23" i="15"/>
  <c r="H37" i="8"/>
  <c r="I37" i="8"/>
  <c r="M37" i="8"/>
  <c r="P37" i="8"/>
  <c r="Q37" i="8"/>
  <c r="H38" i="8"/>
  <c r="I38" i="8"/>
  <c r="M38" i="8"/>
  <c r="P38" i="8"/>
  <c r="Q38" i="8"/>
  <c r="H39" i="8"/>
  <c r="I39" i="8"/>
  <c r="M39" i="8"/>
  <c r="P39" i="8"/>
  <c r="Q39" i="8"/>
  <c r="H40" i="8"/>
  <c r="I40" i="8"/>
  <c r="M40" i="8"/>
  <c r="P40" i="8"/>
  <c r="Q40" i="8"/>
  <c r="H41" i="8"/>
  <c r="I41" i="8"/>
  <c r="M41" i="8"/>
  <c r="P41" i="8"/>
  <c r="Q41" i="8"/>
  <c r="H42" i="8"/>
  <c r="I42" i="8"/>
  <c r="P42" i="8"/>
  <c r="Q42" i="8"/>
  <c r="H14" i="8"/>
  <c r="I14" i="8"/>
  <c r="L14" i="8"/>
  <c r="M14" i="8"/>
  <c r="P14" i="8"/>
  <c r="Q14" i="8"/>
  <c r="T14" i="8"/>
  <c r="U14" i="8"/>
  <c r="H15" i="8"/>
  <c r="I15" i="8"/>
  <c r="L15" i="8"/>
  <c r="M15" i="8"/>
  <c r="P15" i="8"/>
  <c r="Q15" i="8"/>
  <c r="T15" i="8"/>
  <c r="U15" i="8"/>
  <c r="H16" i="8"/>
  <c r="I16" i="8"/>
  <c r="L16" i="8"/>
  <c r="M16" i="8"/>
  <c r="P16" i="8"/>
  <c r="Q16" i="8"/>
  <c r="T16" i="8"/>
  <c r="U16" i="8"/>
  <c r="H17" i="8"/>
  <c r="I17" i="8"/>
  <c r="L17" i="8"/>
  <c r="M17" i="8"/>
  <c r="P17" i="8"/>
  <c r="Q17" i="8"/>
  <c r="T17" i="8"/>
  <c r="U17" i="8"/>
  <c r="H18" i="8"/>
  <c r="I18" i="8"/>
  <c r="L18" i="8"/>
  <c r="M18" i="8"/>
  <c r="P18" i="8"/>
  <c r="Q18" i="8"/>
  <c r="T18" i="8"/>
  <c r="U18" i="8"/>
  <c r="G13" i="5"/>
  <c r="G14" i="5"/>
  <c r="G15" i="5"/>
  <c r="G16" i="5"/>
  <c r="G17" i="5"/>
  <c r="G18" i="5"/>
  <c r="I3" i="8"/>
  <c r="H3" i="8"/>
  <c r="H17" i="21"/>
  <c r="G17" i="21"/>
  <c r="H16" i="21"/>
  <c r="G16" i="21"/>
  <c r="H15" i="21"/>
  <c r="G15" i="21"/>
  <c r="H14" i="21"/>
  <c r="G14" i="21"/>
  <c r="H13" i="21"/>
  <c r="G13" i="21"/>
  <c r="H12" i="21"/>
  <c r="G12" i="21"/>
  <c r="H11" i="21"/>
  <c r="G11" i="21"/>
  <c r="H10" i="21"/>
  <c r="G10" i="21"/>
  <c r="H9" i="21"/>
  <c r="G9" i="21"/>
  <c r="H8" i="21"/>
  <c r="H17" i="20"/>
  <c r="G17" i="20"/>
  <c r="H16" i="20"/>
  <c r="G16" i="20"/>
  <c r="H15" i="20"/>
  <c r="G15" i="20"/>
  <c r="H14" i="20"/>
  <c r="G14" i="20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K8" i="7"/>
  <c r="L8" i="7"/>
  <c r="H8" i="16"/>
  <c r="H9" i="16"/>
  <c r="H10" i="16"/>
  <c r="H11" i="16"/>
  <c r="H12" i="16"/>
  <c r="H13" i="16"/>
  <c r="H14" i="16"/>
  <c r="H15" i="16"/>
  <c r="H16" i="16"/>
  <c r="H17" i="16"/>
  <c r="H7" i="16"/>
  <c r="G8" i="16"/>
  <c r="G9" i="16"/>
  <c r="G10" i="16"/>
  <c r="G11" i="16"/>
  <c r="G12" i="16"/>
  <c r="G13" i="16"/>
  <c r="G14" i="16"/>
  <c r="G15" i="16"/>
  <c r="G16" i="16"/>
  <c r="G17" i="16"/>
  <c r="G7" i="16"/>
  <c r="H8" i="15"/>
  <c r="H9" i="15"/>
  <c r="H10" i="15"/>
  <c r="H11" i="15"/>
  <c r="H12" i="15"/>
  <c r="H13" i="15"/>
  <c r="H14" i="15"/>
  <c r="H15" i="15"/>
  <c r="H16" i="15"/>
  <c r="H17" i="15"/>
  <c r="H7" i="15"/>
  <c r="G8" i="15"/>
  <c r="G9" i="15"/>
  <c r="G10" i="15"/>
  <c r="G11" i="15"/>
  <c r="G12" i="15"/>
  <c r="G13" i="15"/>
  <c r="G14" i="15"/>
  <c r="G15" i="15"/>
  <c r="G16" i="15"/>
  <c r="G17" i="15"/>
  <c r="G7" i="15"/>
  <c r="P26" i="8"/>
  <c r="H26" i="8"/>
  <c r="U3" i="8"/>
  <c r="Q3" i="8"/>
  <c r="M3" i="8"/>
  <c r="Q26" i="8"/>
  <c r="M26" i="8"/>
  <c r="T3" i="8"/>
  <c r="P3" i="8"/>
  <c r="L3" i="8"/>
  <c r="G3" i="5"/>
  <c r="P27" i="8"/>
  <c r="I27" i="8"/>
  <c r="Q27" i="8"/>
  <c r="H27" i="8"/>
  <c r="G4" i="5"/>
  <c r="P5" i="8"/>
  <c r="I5" i="8"/>
  <c r="H5" i="8"/>
  <c r="T5" i="8"/>
  <c r="Q28" i="8"/>
  <c r="Q5" i="8"/>
  <c r="P28" i="8"/>
  <c r="H28" i="8"/>
  <c r="L5" i="8"/>
  <c r="M28" i="8"/>
  <c r="U5" i="8"/>
  <c r="I28" i="8"/>
  <c r="M5" i="8"/>
  <c r="L7" i="8"/>
  <c r="G5" i="5"/>
  <c r="I6" i="8"/>
  <c r="M29" i="8"/>
  <c r="I29" i="8"/>
  <c r="Q29" i="8"/>
  <c r="P6" i="8"/>
  <c r="P29" i="8"/>
  <c r="H29" i="8"/>
  <c r="H6" i="8"/>
  <c r="L6" i="8"/>
  <c r="U6" i="8"/>
  <c r="Q6" i="8"/>
  <c r="T6" i="8"/>
  <c r="M6" i="8"/>
  <c r="P30" i="8"/>
  <c r="Q30" i="8"/>
  <c r="I30" i="8"/>
  <c r="M7" i="8"/>
  <c r="H30" i="8"/>
  <c r="I7" i="8"/>
  <c r="T7" i="8"/>
  <c r="U7" i="8"/>
  <c r="M30" i="8"/>
  <c r="Q7" i="8"/>
  <c r="H7" i="8"/>
  <c r="P7" i="8"/>
  <c r="G6" i="5"/>
  <c r="U8" i="8"/>
  <c r="M8" i="8"/>
  <c r="I31" i="8"/>
  <c r="P31" i="8"/>
  <c r="H8" i="8"/>
  <c r="H31" i="8"/>
  <c r="G7" i="5"/>
  <c r="T8" i="8"/>
  <c r="Q8" i="8"/>
  <c r="M31" i="8"/>
  <c r="T9" i="8"/>
  <c r="L8" i="8"/>
  <c r="I8" i="8"/>
  <c r="P8" i="8"/>
  <c r="Q31" i="8"/>
  <c r="L9" i="8"/>
  <c r="M32" i="8"/>
  <c r="U9" i="8"/>
  <c r="M9" i="8"/>
  <c r="H32" i="8"/>
  <c r="I32" i="8"/>
  <c r="P32" i="8"/>
  <c r="H9" i="8"/>
  <c r="P9" i="8"/>
  <c r="Q9" i="8"/>
  <c r="G8" i="5"/>
  <c r="Q32" i="8"/>
  <c r="I9" i="8"/>
  <c r="Q33" i="8"/>
  <c r="U10" i="8"/>
  <c r="M33" i="8"/>
  <c r="H33" i="8"/>
  <c r="Q10" i="8"/>
  <c r="I10" i="8"/>
  <c r="T10" i="8"/>
  <c r="L10" i="8"/>
  <c r="G9" i="5"/>
  <c r="P33" i="8"/>
  <c r="P10" i="8"/>
  <c r="M10" i="8"/>
  <c r="I33" i="8"/>
  <c r="H10" i="8"/>
  <c r="P34" i="8"/>
  <c r="T11" i="8"/>
  <c r="L11" i="8"/>
  <c r="I34" i="8"/>
  <c r="Q11" i="8"/>
  <c r="I11" i="8"/>
  <c r="G10" i="5"/>
  <c r="M34" i="8"/>
  <c r="H34" i="8"/>
  <c r="P11" i="8"/>
  <c r="Q34" i="8"/>
  <c r="U11" i="8"/>
  <c r="M11" i="8"/>
  <c r="H11" i="8"/>
  <c r="Q35" i="8"/>
  <c r="U12" i="8"/>
  <c r="M12" i="8"/>
  <c r="H12" i="8"/>
  <c r="M35" i="8"/>
  <c r="H35" i="8"/>
  <c r="P12" i="8"/>
  <c r="G11" i="5"/>
  <c r="I35" i="8"/>
  <c r="Q12" i="8"/>
  <c r="I12" i="8"/>
  <c r="P35" i="8"/>
  <c r="T12" i="8"/>
  <c r="L12" i="8"/>
  <c r="G12" i="5"/>
  <c r="H36" i="8"/>
  <c r="H13" i="8"/>
  <c r="U13" i="8"/>
  <c r="L13" i="8"/>
  <c r="Q36" i="8"/>
  <c r="I36" i="8"/>
  <c r="Q13" i="8"/>
  <c r="I13" i="8"/>
  <c r="P36" i="8"/>
  <c r="P13" i="8"/>
  <c r="M36" i="8"/>
  <c r="M13" i="8"/>
  <c r="G7" i="19"/>
  <c r="H7" i="19"/>
</calcChain>
</file>

<file path=xl/connections.xml><?xml version="1.0" encoding="utf-8"?>
<connections xmlns="http://schemas.openxmlformats.org/spreadsheetml/2006/main">
  <connection id="1" name="2012_05_10_FPRAU_fruc1" type="6" refreshedVersion="3" background="1" saveData="1">
    <textPr codePage="850" firstRow="50" sourceFile="C:\Users\Lonne\Documents\VUB\5-2de Master\Thesis\Experimenten\CompactGC_colon\2012_05_10_FPRAU_fruc1.txt" decimal="," thousands=".">
      <textFields count="4">
        <textField type="skip"/>
        <textField type="skip"/>
        <textField/>
        <textField type="skip"/>
      </textFields>
    </textPr>
  </connection>
  <connection id="2" name="2012_06_08_BIF_REC_OLI_1" type="6" refreshedVersion="3" background="1" saveData="1">
    <textPr codePage="850" firstRow="7" sourceFile="C:\Users\Lonne\Documents\VUB\5-2de Master\Thesis\Experimenten\CompactGC_colon\2012_06_08_BIF_REC_OLI_1.txt" decimal="," thousands=".">
      <textFields count="4">
        <textField type="skip"/>
        <textField/>
        <textField type="skip"/>
        <textField type="skip"/>
      </textFields>
    </textPr>
  </connection>
  <connection id="3" name="2012_06_08_BIF_REC_OLI_11" type="6" refreshedVersion="3" background="1" saveData="1">
    <textPr codePage="850" firstRow="50" sourceFile="C:\Users\Lonne\Documents\VUB\5-2de Master\Thesis\Experimenten\CompactGC_colon\2012_06_08_BIF_REC_OLI_1.txt" decimal="," thousands=".">
      <textFields count="4">
        <textField type="skip"/>
        <textField type="skip"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<sst xmlns="http://schemas.openxmlformats.org/spreadsheetml/2006/main" count="895" uniqueCount="318">
  <si>
    <t>Fermentation:</t>
  </si>
  <si>
    <t>Strain:</t>
  </si>
  <si>
    <t>Mass Filter</t>
  </si>
  <si>
    <t>Mass Filter (g)</t>
  </si>
  <si>
    <t>Sample</t>
  </si>
  <si>
    <t>Time (h)</t>
  </si>
  <si>
    <t>0'</t>
  </si>
  <si>
    <t>Mass Sample</t>
  </si>
  <si>
    <t>(g)</t>
  </si>
  <si>
    <t>Total Mass</t>
  </si>
  <si>
    <t>Samples (g)</t>
  </si>
  <si>
    <t>Base (mL)</t>
  </si>
  <si>
    <t>Acid (mL)</t>
  </si>
  <si>
    <t xml:space="preserve">Volume </t>
  </si>
  <si>
    <t>Fermentor (mL)</t>
  </si>
  <si>
    <t>Initial Volume Fermentor (mL)</t>
  </si>
  <si>
    <t>Medium</t>
  </si>
  <si>
    <t>Taken (mL)</t>
  </si>
  <si>
    <t>PC 1</t>
  </si>
  <si>
    <t>Dilution</t>
  </si>
  <si>
    <t>PC 2</t>
  </si>
  <si>
    <t>PC 3</t>
  </si>
  <si>
    <t>PC</t>
  </si>
  <si>
    <t>STDEV</t>
  </si>
  <si>
    <t>OD1</t>
  </si>
  <si>
    <t>OD2</t>
  </si>
  <si>
    <t>OD3</t>
  </si>
  <si>
    <t xml:space="preserve">OD </t>
  </si>
  <si>
    <t>average</t>
  </si>
  <si>
    <t>Mass</t>
  </si>
  <si>
    <t>Filtered (g)</t>
  </si>
  <si>
    <t>plus CDM (g)</t>
  </si>
  <si>
    <t>CDM</t>
  </si>
  <si>
    <t>(g/L)</t>
  </si>
  <si>
    <t>CPSM</t>
  </si>
  <si>
    <t>Component</t>
  </si>
  <si>
    <t>Concentration</t>
  </si>
  <si>
    <t>Glucose</t>
  </si>
  <si>
    <t>MM</t>
  </si>
  <si>
    <t>g/mol</t>
  </si>
  <si>
    <t>Fructose</t>
  </si>
  <si>
    <t>Standard addition</t>
  </si>
  <si>
    <t>Lactic acid</t>
  </si>
  <si>
    <t>Acetic acid</t>
  </si>
  <si>
    <t>Ethanol</t>
  </si>
  <si>
    <t>A</t>
  </si>
  <si>
    <t>B</t>
  </si>
  <si>
    <t>C</t>
  </si>
  <si>
    <t>mM</t>
  </si>
  <si>
    <t>Temperature</t>
  </si>
  <si>
    <t>Flow:</t>
  </si>
  <si>
    <t>mL/min</t>
  </si>
  <si>
    <t>Production</t>
  </si>
  <si>
    <t>Sum</t>
  </si>
  <si>
    <t>(ppm)</t>
  </si>
  <si>
    <t>mL/L</t>
  </si>
  <si>
    <t>(mL/min)</t>
  </si>
  <si>
    <t>(mmol/min/fermentor)</t>
  </si>
  <si>
    <t>(mmol/min/L)</t>
  </si>
  <si>
    <t>(mM)</t>
  </si>
  <si>
    <t>Time</t>
  </si>
  <si>
    <t>MW</t>
  </si>
  <si>
    <t>Concentration (g/l)</t>
  </si>
  <si>
    <t>Concentration (mM)</t>
  </si>
  <si>
    <t>STDEV (mM)</t>
  </si>
  <si>
    <t>Formic acid</t>
  </si>
  <si>
    <t>Butyric acid</t>
  </si>
  <si>
    <t>Propionic acid</t>
  </si>
  <si>
    <t>Count</t>
  </si>
  <si>
    <t>Volume</t>
  </si>
  <si>
    <t>Count/mL</t>
  </si>
  <si>
    <t>Count/ml</t>
  </si>
  <si>
    <t>LOG(Count/mL)</t>
  </si>
  <si>
    <t>NaCl</t>
  </si>
  <si>
    <t>Resazurin</t>
  </si>
  <si>
    <r>
      <t>NaHCO</t>
    </r>
    <r>
      <rPr>
        <vertAlign val="subscript"/>
        <sz val="11"/>
        <color theme="1"/>
        <rFont val="Calibri"/>
        <family val="2"/>
        <scheme val="minor"/>
      </rPr>
      <t>3</t>
    </r>
  </si>
  <si>
    <r>
      <t>KH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</si>
  <si>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HPO</t>
    </r>
    <r>
      <rPr>
        <vertAlign val="subscript"/>
        <sz val="11"/>
        <color theme="1"/>
        <rFont val="Calibri"/>
        <family val="2"/>
        <scheme val="minor"/>
      </rPr>
      <t>4</t>
    </r>
  </si>
  <si>
    <t>STDVE</t>
  </si>
  <si>
    <t>Hydrogen produced</t>
  </si>
  <si>
    <t>Carbon dioxide produced</t>
  </si>
  <si>
    <t>Carbon recovery</t>
  </si>
  <si>
    <t>Compound</t>
  </si>
  <si>
    <t>Mass (g/l mMCB)</t>
  </si>
  <si>
    <t>Bacteriological pepton</t>
  </si>
  <si>
    <t>6.50</t>
  </si>
  <si>
    <t>Neutralised soy pepton</t>
  </si>
  <si>
    <t>5.00</t>
  </si>
  <si>
    <t>Trypton</t>
  </si>
  <si>
    <t>2.50</t>
  </si>
  <si>
    <t>Granulated yeast extract</t>
  </si>
  <si>
    <t>3.00</t>
  </si>
  <si>
    <t>4.50</t>
  </si>
  <si>
    <t>1.00</t>
  </si>
  <si>
    <t>2.00</t>
  </si>
  <si>
    <t>0.10</t>
  </si>
  <si>
    <t>0.05</t>
  </si>
  <si>
    <t>0.005</t>
  </si>
  <si>
    <t>Hemine</t>
  </si>
  <si>
    <t>Menadione</t>
  </si>
  <si>
    <t>/</t>
  </si>
  <si>
    <t>0.001</t>
  </si>
  <si>
    <t>10 ml of a 0.1 g/l stock solution</t>
  </si>
  <si>
    <t>Selenite and tungsten</t>
  </si>
  <si>
    <t>Trace element solution SL-10</t>
  </si>
  <si>
    <t>1.0 ml of a 1000x stock solution</t>
  </si>
  <si>
    <t>37°C</t>
  </si>
  <si>
    <r>
      <t>MgSO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</si>
  <si>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</si>
  <si>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Cl</t>
    </r>
  </si>
  <si>
    <r>
      <t>Cysteine HCl x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</si>
  <si>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</si>
  <si>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MnSO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</si>
  <si>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FeSO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</si>
  <si>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</si>
  <si>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Formic Acid</t>
  </si>
  <si>
    <t>Time (min)</t>
  </si>
  <si>
    <t>Volume (microl)</t>
  </si>
  <si>
    <t>FC 1</t>
  </si>
  <si>
    <t>FC 2</t>
  </si>
  <si>
    <t>FC 3</t>
  </si>
  <si>
    <t>FC</t>
  </si>
  <si>
    <t>Lactic acid produced</t>
  </si>
  <si>
    <t>Butyric acid produced</t>
  </si>
  <si>
    <t>1,5 M NaOH added</t>
  </si>
  <si>
    <r>
      <t>1,5 M 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added</t>
    </r>
  </si>
  <si>
    <t>Theoretical</t>
  </si>
  <si>
    <t>Experimental</t>
  </si>
  <si>
    <t>x</t>
  </si>
  <si>
    <t>2x mol pyruvate produced</t>
  </si>
  <si>
    <t>2x</t>
  </si>
  <si>
    <t>z mol lactate produced</t>
  </si>
  <si>
    <t>z</t>
  </si>
  <si>
    <t>f mol formate produced</t>
  </si>
  <si>
    <t>f</t>
  </si>
  <si>
    <t>2x-z-f mol CO2 geproduceerd</t>
  </si>
  <si>
    <t>2x-z-f</t>
  </si>
  <si>
    <t>y mol acetaat verbruikt</t>
  </si>
  <si>
    <t>y</t>
  </si>
  <si>
    <t>LN(Count/mL)</t>
  </si>
  <si>
    <t>(2x-2+y)/2 mol butyraat gevormd</t>
  </si>
  <si>
    <t>2x-z+y mol acetyl-CoA gevormd</t>
  </si>
  <si>
    <t>2x-z+y</t>
  </si>
  <si>
    <t>(2x-2+Y)/2</t>
  </si>
  <si>
    <t>Left (mL) after inoculation</t>
  </si>
  <si>
    <t>D-Fructose</t>
  </si>
  <si>
    <t>D - Fructose</t>
  </si>
  <si>
    <t>D-Fructose consumed</t>
  </si>
  <si>
    <t>D -Fructose (50 mM)</t>
  </si>
  <si>
    <t>9.00</t>
  </si>
  <si>
    <r>
      <t>9.00 g in 100 ml MilliQ.H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 per l</t>
    </r>
  </si>
  <si>
    <t>x mol D-Fructose consumed</t>
  </si>
  <si>
    <t>total amount</t>
  </si>
  <si>
    <t>LOG</t>
  </si>
  <si>
    <t>STDEV LOG(Count/mL)</t>
  </si>
  <si>
    <t>mol H2 geproduceerd</t>
  </si>
  <si>
    <t>mol H2 vrijgekomen</t>
  </si>
  <si>
    <r>
      <rPr>
        <i/>
        <sz val="11"/>
        <color theme="1"/>
        <rFont val="Calibri"/>
        <family val="2"/>
        <scheme val="minor"/>
      </rPr>
      <t xml:space="preserve">Faecalibacterium prausnitzii </t>
    </r>
    <r>
      <rPr>
        <sz val="11"/>
        <color theme="1"/>
        <rFont val="Calibri"/>
        <family val="2"/>
        <scheme val="minor"/>
      </rPr>
      <t xml:space="preserve">DSM 17677T </t>
    </r>
  </si>
  <si>
    <r>
      <rPr>
        <i/>
        <sz val="11"/>
        <color theme="1"/>
        <rFont val="Calibri"/>
        <family val="2"/>
        <scheme val="minor"/>
      </rPr>
      <t>Blautia hydrogenotrophic</t>
    </r>
    <r>
      <rPr>
        <sz val="11"/>
        <color theme="1"/>
        <rFont val="Calibri"/>
        <family val="2"/>
        <scheme val="minor"/>
      </rPr>
      <t>a DSM 10507T</t>
    </r>
  </si>
  <si>
    <t>Total nett reaction in absence of formate</t>
  </si>
  <si>
    <t>4H2 + 2CO2</t>
  </si>
  <si>
    <t>&gt;</t>
  </si>
  <si>
    <t xml:space="preserve">CH3COOH </t>
  </si>
  <si>
    <t>en 2 H2O</t>
  </si>
  <si>
    <t xml:space="preserve"> en cell biomass</t>
  </si>
  <si>
    <t>Wood-Ljungdahl pathway</t>
  </si>
  <si>
    <t>mM formate consumed</t>
  </si>
  <si>
    <t>mM acetate produced</t>
  </si>
  <si>
    <t xml:space="preserve">Total amount of  H2 en CO2 produced </t>
  </si>
  <si>
    <t>Total amount of  H2 converted into acetate</t>
  </si>
  <si>
    <t>Total amount of  CO2 converted into acetate</t>
  </si>
  <si>
    <t>Total amount of left-over hydrogen</t>
  </si>
  <si>
    <t>Total amount of left-over carbon dioxide</t>
  </si>
  <si>
    <r>
      <rPr>
        <sz val="11"/>
        <color rgb="FFFF0000"/>
        <rFont val="Calibri"/>
        <scheme val="minor"/>
      </rPr>
      <t>red means</t>
    </r>
    <r>
      <rPr>
        <sz val="11"/>
        <color theme="1"/>
        <rFont val="Calibri"/>
        <family val="2"/>
        <scheme val="minor"/>
      </rPr>
      <t xml:space="preserve">  </t>
    </r>
    <r>
      <rPr>
        <sz val="11"/>
        <color rgb="FFFF0000"/>
        <rFont val="Calibri"/>
        <scheme val="minor"/>
      </rPr>
      <t>wrong values</t>
    </r>
  </si>
  <si>
    <t>Na-acetate trihydrate (0 mM)</t>
  </si>
  <si>
    <t>0.00</t>
  </si>
  <si>
    <t>Sodium Formate (50 mM)</t>
  </si>
  <si>
    <t>3.40</t>
  </si>
  <si>
    <r>
      <t>5.10 g in 100 ml MilliQ.H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 per l</t>
    </r>
  </si>
  <si>
    <t>0.40</t>
  </si>
  <si>
    <t>0.20</t>
  </si>
  <si>
    <r>
      <rPr>
        <sz val="11"/>
        <color theme="1"/>
        <rFont val="Calibri"/>
        <family val="2"/>
        <scheme val="minor"/>
      </rPr>
      <t>Blautia hydrogenotrophica DSM 10507</t>
    </r>
    <r>
      <rPr>
        <vertAlign val="superscript"/>
        <sz val="11"/>
        <color theme="1"/>
        <rFont val="Calibri"/>
        <family val="2"/>
        <scheme val="minor"/>
      </rPr>
      <t>T</t>
    </r>
  </si>
  <si>
    <t>Formic acid consumed</t>
  </si>
  <si>
    <t>Acetic acid produced</t>
  </si>
  <si>
    <t>acetate</t>
  </si>
  <si>
    <t>overschot acetate</t>
  </si>
  <si>
    <t xml:space="preserve">Volume (ul) </t>
  </si>
  <si>
    <t>10_0</t>
  </si>
  <si>
    <t>10_1</t>
  </si>
  <si>
    <t>10_2</t>
  </si>
  <si>
    <t>10_3</t>
  </si>
  <si>
    <t>10_4</t>
  </si>
  <si>
    <t>2_0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</si>
  <si>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</si>
  <si>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</si>
  <si>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</si>
  <si>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</si>
  <si>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</si>
  <si>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</si>
  <si>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</si>
  <si>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</si>
  <si>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</si>
  <si>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2_10</t>
  </si>
  <si>
    <t>CT1</t>
  </si>
  <si>
    <t>CT2</t>
  </si>
  <si>
    <t>CT3</t>
  </si>
  <si>
    <t>Average CT</t>
  </si>
  <si>
    <t>Dilution for 1 ml</t>
  </si>
  <si>
    <t>Log Dilution for 1 ml</t>
  </si>
  <si>
    <t>CT1 normalized per mL</t>
  </si>
  <si>
    <t>CT2 normalized per mL</t>
  </si>
  <si>
    <t>CT3 normalized per mL</t>
  </si>
  <si>
    <t>Average CT normalized per mL</t>
  </si>
  <si>
    <t>Threshold</t>
  </si>
  <si>
    <t>AUTO</t>
  </si>
  <si>
    <t>Ct Threshold</t>
  </si>
  <si>
    <t>baseline</t>
  </si>
  <si>
    <t>Rico</t>
  </si>
  <si>
    <t>intercept</t>
  </si>
  <si>
    <t>Efficiency E (%)</t>
  </si>
  <si>
    <t>Ct1</t>
  </si>
  <si>
    <t>Ct2</t>
  </si>
  <si>
    <t>Ct3</t>
  </si>
  <si>
    <t>Ct1 IPC corrected</t>
  </si>
  <si>
    <t>Ct2 IPC corrected</t>
  </si>
  <si>
    <t>Ct3 IPC corrected</t>
  </si>
  <si>
    <t>Log (cells/ml) 1</t>
  </si>
  <si>
    <t>Log (cells/ml) 2</t>
  </si>
  <si>
    <t>Log (cells/ml) 3</t>
  </si>
  <si>
    <t>Log (cells/ml)</t>
  </si>
  <si>
    <t>STDV Log (cells/ml)</t>
  </si>
  <si>
    <t>cells/ml medium</t>
  </si>
  <si>
    <t>STDV  (cells/ml medium)</t>
  </si>
  <si>
    <t>STDV Log (cells/ml medium)</t>
  </si>
  <si>
    <t>Dilution log (10x)</t>
  </si>
  <si>
    <t>IPC BH10 epp</t>
  </si>
  <si>
    <t>Log (cells/ml medium)</t>
  </si>
  <si>
    <t>Outliers</t>
  </si>
  <si>
    <t xml:space="preserve">Dilution per ml </t>
  </si>
  <si>
    <t>B. hydrogenotrophica</t>
  </si>
  <si>
    <t>IPC value  epp 10 plate  20150724</t>
  </si>
  <si>
    <t>Taqman probe BH4O</t>
  </si>
  <si>
    <t>IPC value  epp 10 plate  20150821</t>
  </si>
  <si>
    <t>IPC value  epp 9 plate  20150901</t>
  </si>
  <si>
    <t>IPC value  epp 9 plate  20150902</t>
  </si>
  <si>
    <t>IPC value  epp 8 plate  20150902</t>
  </si>
  <si>
    <t>IPC value  epp 8 plate  20150903</t>
  </si>
  <si>
    <t>IPC value  epp 8 plate  20150907</t>
  </si>
  <si>
    <t>IPC value  epp 8 plate  20150908</t>
  </si>
  <si>
    <t>IPC value  epp 7 plate  20150910</t>
  </si>
  <si>
    <t>IPC value  epp 7 plate  20150914</t>
  </si>
  <si>
    <t xml:space="preserve">Total Average </t>
  </si>
  <si>
    <t>IPC value  epp 6 plate  20150910</t>
  </si>
  <si>
    <t>IPC value  epp 6 plate  20150929</t>
  </si>
  <si>
    <t>IPC value  epp 6 plate  20151002</t>
  </si>
  <si>
    <t>IPC value  epp 5 plate  20151009</t>
  </si>
  <si>
    <t>IPC value  epp 5 plate  20151111</t>
  </si>
  <si>
    <t>IPC value  epp 4 plate  20151112</t>
  </si>
  <si>
    <t>IPC value  epp 4 plate  20151125</t>
  </si>
  <si>
    <t>IPC value  epp 4 plate  20160126</t>
  </si>
  <si>
    <t>IPC value  epp 3 plate  20160126</t>
  </si>
  <si>
    <t>IPC value  epp 3 plate  20160209</t>
  </si>
  <si>
    <t>y=ax +b</t>
  </si>
  <si>
    <t>x= (y-b)/a</t>
  </si>
  <si>
    <t>A (area)</t>
  </si>
  <si>
    <t>B (area)</t>
  </si>
  <si>
    <t>C (area)</t>
  </si>
  <si>
    <t>IS (A)</t>
  </si>
  <si>
    <t>IS (B)</t>
  </si>
  <si>
    <t>IS ©</t>
  </si>
  <si>
    <t xml:space="preserve">A/IS </t>
  </si>
  <si>
    <t>B/IS</t>
  </si>
  <si>
    <t xml:space="preserve">C/IS </t>
  </si>
  <si>
    <t>A (mM)</t>
  </si>
  <si>
    <t>B (mM)</t>
  </si>
  <si>
    <t>C (mM)</t>
  </si>
  <si>
    <t>STDVE (mM)</t>
  </si>
  <si>
    <t>Average (mM)</t>
  </si>
  <si>
    <t>rico</t>
  </si>
  <si>
    <t>a</t>
  </si>
  <si>
    <t>b</t>
  </si>
  <si>
    <t>Isobutyric acid</t>
  </si>
  <si>
    <t>Isovaleric acid</t>
  </si>
  <si>
    <t>2-methylbutyric acid</t>
  </si>
  <si>
    <t>Standard</t>
  </si>
  <si>
    <t>Mass per 50 ml</t>
  </si>
  <si>
    <t>Mass per l (g)</t>
  </si>
  <si>
    <t>concentration (mM)</t>
  </si>
  <si>
    <t>concentration in sample</t>
  </si>
  <si>
    <t>area</t>
  </si>
  <si>
    <t>IS</t>
  </si>
  <si>
    <t>area/IS</t>
  </si>
  <si>
    <t>MAKEN Standaarden</t>
  </si>
  <si>
    <t>Opschrijven theoretische massa per 50 ml</t>
  </si>
  <si>
    <t>Opschrijven afgewogen massa per 50 ml</t>
  </si>
  <si>
    <t xml:space="preserve">Met 50 ml maatkolven werken </t>
  </si>
  <si>
    <t>Tweevoudige verdunningen maken</t>
  </si>
  <si>
    <t xml:space="preserve">dan concentratie herberekenen met afgewogen massa </t>
  </si>
  <si>
    <t>sample</t>
  </si>
  <si>
    <t>Mass (g) per 50 ml</t>
  </si>
  <si>
    <t>Mass (g)</t>
  </si>
  <si>
    <t>Concentration divided by 4 (mM)</t>
  </si>
  <si>
    <t>Mass (g) per l</t>
  </si>
  <si>
    <t>concentration divided by 4 (mM)</t>
  </si>
  <si>
    <t>Tweevoudige verdunningen maken in steriele 2 ml eps</t>
  </si>
  <si>
    <t>VALINE</t>
  </si>
  <si>
    <t>LEUCINE</t>
  </si>
  <si>
    <t>ISOLEUCINE</t>
  </si>
  <si>
    <t>IPC value  epp 3 plate  20160222</t>
  </si>
  <si>
    <t>IPC value  epp 2 plate  20160223</t>
  </si>
  <si>
    <t>IPC value  epp 2 plate  20160224</t>
  </si>
  <si>
    <t>IPC value  epp 2 plate  20160308</t>
  </si>
  <si>
    <t>IPC value  epp 2 plate  20160310</t>
  </si>
  <si>
    <t>IPC value  epp 2 plate  20160311</t>
  </si>
  <si>
    <t>IPC value  epp 1 plate  20160318</t>
  </si>
  <si>
    <t>IPC value  epp 1 plate  20160325</t>
  </si>
  <si>
    <t>IPC value  epp 1 plate  20160405</t>
  </si>
  <si>
    <t>IPC value  epp 9 plate  20160411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</si>
</sst>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32" x14ac:knownFonts="1">
    <font>
      <sz val="11"/>
      <color theme="1"/>
      <name val="Calibri"/>
      <family val="2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b/>
      <sz val="11"/>
      <color indexed="63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00"/>
      <name val="Calibri"/>
      <family val="2"/>
      <scheme val="minor"/>
    </font>
    <font>
      <b/>
      <sz val="11"/>
      <name val="Calibri"/>
      <scheme val="minor"/>
    </font>
    <font>
      <b/>
      <sz val="11"/>
      <color rgb="FF000000"/>
      <name val="Calibri"/>
      <scheme val="minor"/>
    </font>
    <font>
      <b/>
      <sz val="11"/>
      <color rgb="FFFF0000"/>
      <name val="Calibri"/>
      <scheme val="minor"/>
    </font>
    <font>
      <sz val="11"/>
      <color theme="1"/>
      <name val="Calibri"/>
      <family val="2"/>
      <scheme val="minor"/>
    </font>
    <font>
      <i/>
      <sz val="11"/>
      <name val="Calibri"/>
      <scheme val="minor"/>
    </font>
    <font>
      <b/>
      <sz val="11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22F40D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7">
    <xf numFmtId="0" fontId="0" fillId="0" borderId="0"/>
    <xf numFmtId="0" fontId="1" fillId="3" borderId="0" applyNumberFormat="0" applyBorder="0" applyAlignment="0" applyProtection="0"/>
    <xf numFmtId="0" fontId="2" fillId="4" borderId="7" applyNumberFormat="0" applyAlignment="0" applyProtection="0"/>
    <xf numFmtId="0" fontId="3" fillId="5" borderId="8" applyNumberFormat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6" fillId="0" borderId="9" applyNumberFormat="0" applyFill="0" applyAlignment="0" applyProtection="0"/>
    <xf numFmtId="0" fontId="7" fillId="0" borderId="10" applyNumberFormat="0" applyFill="0" applyAlignment="0" applyProtection="0"/>
    <xf numFmtId="0" fontId="8" fillId="0" borderId="11" applyNumberFormat="0" applyFill="0" applyAlignment="0" applyProtection="0"/>
    <xf numFmtId="0" fontId="8" fillId="0" borderId="0" applyNumberFormat="0" applyFill="0" applyBorder="0" applyAlignment="0" applyProtection="0"/>
    <xf numFmtId="0" fontId="9" fillId="7" borderId="7" applyNumberFormat="0" applyAlignment="0" applyProtection="0"/>
    <xf numFmtId="0" fontId="10" fillId="0" borderId="12" applyNumberFormat="0" applyFill="0" applyAlignment="0" applyProtection="0"/>
    <xf numFmtId="0" fontId="11" fillId="8" borderId="0" applyNumberFormat="0" applyBorder="0" applyAlignment="0" applyProtection="0"/>
    <xf numFmtId="0" fontId="12" fillId="9" borderId="13" applyNumberFormat="0" applyFont="0" applyAlignment="0" applyProtection="0"/>
    <xf numFmtId="0" fontId="13" fillId="4" borderId="14" applyNumberFormat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9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1" fillId="0" borderId="25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4" fontId="18" fillId="0" borderId="1" xfId="0" applyNumberFormat="1" applyFont="1" applyFill="1" applyBorder="1" applyAlignment="1" applyProtection="1">
      <alignment horizontal="center" vertical="center"/>
    </xf>
    <xf numFmtId="164" fontId="0" fillId="0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2" borderId="16" xfId="0" applyFill="1" applyBorder="1"/>
    <xf numFmtId="1" fontId="0" fillId="0" borderId="0" xfId="0" applyNumberFormat="1"/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 applyProtection="1">
      <alignment horizontal="center" vertical="center"/>
    </xf>
    <xf numFmtId="0" fontId="0" fillId="0" borderId="16" xfId="0" applyFill="1" applyBorder="1" applyAlignment="1">
      <alignment horizontal="center" vertical="center"/>
    </xf>
    <xf numFmtId="11" fontId="0" fillId="0" borderId="16" xfId="0" applyNumberFormat="1" applyFill="1" applyBorder="1" applyAlignment="1">
      <alignment horizontal="center" vertical="center"/>
    </xf>
    <xf numFmtId="11" fontId="0" fillId="0" borderId="16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11" fontId="25" fillId="0" borderId="3" xfId="0" applyNumberFormat="1" applyFont="1" applyBorder="1" applyAlignment="1">
      <alignment horizontal="center" vertical="center"/>
    </xf>
    <xf numFmtId="11" fontId="25" fillId="0" borderId="20" xfId="0" applyNumberFormat="1" applyFont="1" applyBorder="1" applyAlignment="1">
      <alignment horizontal="center" vertical="center"/>
    </xf>
    <xf numFmtId="2" fontId="25" fillId="0" borderId="20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24" fillId="0" borderId="16" xfId="0" applyNumberFormat="1" applyFont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5" fillId="0" borderId="0" xfId="0" applyFont="1"/>
    <xf numFmtId="1" fontId="25" fillId="0" borderId="0" xfId="0" applyNumberFormat="1" applyFont="1"/>
    <xf numFmtId="0" fontId="25" fillId="0" borderId="16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1" fontId="26" fillId="0" borderId="0" xfId="0" applyNumberFormat="1" applyFont="1"/>
    <xf numFmtId="1" fontId="27" fillId="0" borderId="0" xfId="0" applyNumberFormat="1" applyFont="1"/>
    <xf numFmtId="0" fontId="18" fillId="11" borderId="0" xfId="0" applyFont="1" applyFill="1"/>
    <xf numFmtId="0" fontId="0" fillId="0" borderId="18" xfId="0" applyBorder="1" applyAlignment="1">
      <alignment horizontal="center" vertical="center"/>
    </xf>
    <xf numFmtId="2" fontId="25" fillId="0" borderId="16" xfId="0" applyNumberFormat="1" applyFont="1" applyBorder="1" applyAlignment="1">
      <alignment horizontal="center" vertical="center"/>
    </xf>
    <xf numFmtId="0" fontId="0" fillId="0" borderId="16" xfId="0" applyBorder="1"/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4" fillId="0" borderId="0" xfId="0" applyFont="1"/>
    <xf numFmtId="164" fontId="24" fillId="0" borderId="18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" fontId="24" fillId="0" borderId="0" xfId="0" applyNumberFormat="1" applyFont="1"/>
    <xf numFmtId="1" fontId="28" fillId="0" borderId="0" xfId="0" applyNumberFormat="1" applyFont="1"/>
    <xf numFmtId="0" fontId="24" fillId="0" borderId="0" xfId="0" applyFont="1" applyAlignment="1">
      <alignment horizontal="center" vertical="center"/>
    </xf>
    <xf numFmtId="1" fontId="24" fillId="0" borderId="0" xfId="0" applyNumberFormat="1" applyFont="1" applyAlignment="1">
      <alignment horizontal="center" vertical="center"/>
    </xf>
    <xf numFmtId="0" fontId="24" fillId="11" borderId="0" xfId="0" applyFont="1" applyFill="1"/>
    <xf numFmtId="164" fontId="18" fillId="0" borderId="1" xfId="0" applyNumberFormat="1" applyFont="1" applyFill="1" applyBorder="1" applyAlignment="1">
      <alignment horizontal="center"/>
    </xf>
    <xf numFmtId="164" fontId="18" fillId="0" borderId="16" xfId="0" applyNumberFormat="1" applyFont="1" applyBorder="1" applyAlignment="1">
      <alignment horizontal="center"/>
    </xf>
    <xf numFmtId="164" fontId="24" fillId="0" borderId="1" xfId="0" applyNumberFormat="1" applyFont="1" applyFill="1" applyBorder="1" applyAlignment="1">
      <alignment horizontal="center"/>
    </xf>
    <xf numFmtId="164" fontId="18" fillId="0" borderId="21" xfId="0" applyNumberFormat="1" applyFont="1" applyFill="1" applyBorder="1" applyAlignment="1">
      <alignment horizontal="center"/>
    </xf>
    <xf numFmtId="0" fontId="29" fillId="0" borderId="0" xfId="427"/>
    <xf numFmtId="0" fontId="29" fillId="0" borderId="3" xfId="427" applyFill="1" applyBorder="1" applyAlignment="1">
      <alignment horizontal="center" vertical="center"/>
    </xf>
    <xf numFmtId="0" fontId="29" fillId="0" borderId="16" xfId="427" applyFill="1" applyBorder="1" applyAlignment="1">
      <alignment horizontal="center" vertical="center"/>
    </xf>
    <xf numFmtId="11" fontId="29" fillId="0" borderId="16" xfId="427" applyNumberFormat="1" applyFill="1" applyBorder="1" applyAlignment="1">
      <alignment horizontal="center" vertical="center"/>
    </xf>
    <xf numFmtId="0" fontId="0" fillId="0" borderId="16" xfId="427" applyFont="1" applyBorder="1" applyAlignment="1">
      <alignment horizontal="center" vertical="center"/>
    </xf>
    <xf numFmtId="0" fontId="29" fillId="0" borderId="16" xfId="427" applyBorder="1" applyAlignment="1">
      <alignment horizontal="center" vertical="center"/>
    </xf>
    <xf numFmtId="11" fontId="29" fillId="0" borderId="16" xfId="427" applyNumberFormat="1" applyBorder="1" applyAlignment="1">
      <alignment horizontal="center" vertical="center"/>
    </xf>
    <xf numFmtId="2" fontId="29" fillId="0" borderId="16" xfId="427" applyNumberFormat="1" applyBorder="1" applyAlignment="1">
      <alignment horizontal="center" vertical="center"/>
    </xf>
    <xf numFmtId="0" fontId="29" fillId="2" borderId="22" xfId="427" applyFill="1" applyBorder="1" applyAlignment="1">
      <alignment wrapText="1"/>
    </xf>
    <xf numFmtId="0" fontId="0" fillId="2" borderId="22" xfId="427" applyFont="1" applyFill="1" applyBorder="1" applyAlignment="1">
      <alignment wrapText="1"/>
    </xf>
    <xf numFmtId="0" fontId="0" fillId="2" borderId="22" xfId="427" applyFont="1" applyFill="1" applyBorder="1" applyAlignment="1">
      <alignment horizontal="center" vertical="center" wrapText="1"/>
    </xf>
    <xf numFmtId="165" fontId="29" fillId="0" borderId="16" xfId="427" applyNumberFormat="1" applyBorder="1" applyAlignment="1">
      <alignment horizontal="center" vertical="center"/>
    </xf>
    <xf numFmtId="165" fontId="29" fillId="0" borderId="16" xfId="427" applyNumberFormat="1" applyBorder="1"/>
    <xf numFmtId="165" fontId="29" fillId="0" borderId="0" xfId="427" applyNumberFormat="1"/>
    <xf numFmtId="0" fontId="0" fillId="0" borderId="0" xfId="427" applyFont="1"/>
    <xf numFmtId="0" fontId="29" fillId="2" borderId="16" xfId="427" applyFill="1" applyBorder="1"/>
    <xf numFmtId="0" fontId="29" fillId="0" borderId="16" xfId="427" applyBorder="1"/>
    <xf numFmtId="0" fontId="30" fillId="12" borderId="0" xfId="427" applyFont="1" applyFill="1"/>
    <xf numFmtId="165" fontId="25" fillId="0" borderId="18" xfId="0" applyNumberFormat="1" applyFont="1" applyBorder="1" applyAlignment="1">
      <alignment horizontal="center" vertical="center"/>
    </xf>
    <xf numFmtId="0" fontId="0" fillId="0" borderId="16" xfId="427" applyFont="1" applyBorder="1"/>
    <xf numFmtId="165" fontId="25" fillId="0" borderId="16" xfId="0" applyNumberFormat="1" applyFont="1" applyBorder="1" applyAlignment="1">
      <alignment horizontal="center" vertical="center"/>
    </xf>
    <xf numFmtId="0" fontId="0" fillId="0" borderId="0" xfId="427" applyFont="1" applyFill="1" applyBorder="1"/>
    <xf numFmtId="165" fontId="0" fillId="0" borderId="0" xfId="0" applyNumberFormat="1"/>
    <xf numFmtId="2" fontId="29" fillId="0" borderId="16" xfId="427" applyNumberFormat="1" applyBorder="1"/>
    <xf numFmtId="1" fontId="29" fillId="0" borderId="16" xfId="427" applyNumberFormat="1" applyBorder="1"/>
    <xf numFmtId="165" fontId="25" fillId="0" borderId="0" xfId="0" applyNumberFormat="1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1" fontId="25" fillId="0" borderId="0" xfId="0" applyNumberFormat="1" applyFont="1" applyBorder="1" applyAlignment="1">
      <alignment horizontal="center" vertical="center"/>
    </xf>
    <xf numFmtId="165" fontId="29" fillId="0" borderId="0" xfId="427" applyNumberFormat="1" applyBorder="1" applyAlignment="1">
      <alignment horizontal="center" vertical="center"/>
    </xf>
    <xf numFmtId="165" fontId="29" fillId="0" borderId="0" xfId="427" applyNumberFormat="1" applyBorder="1"/>
    <xf numFmtId="2" fontId="29" fillId="0" borderId="0" xfId="427" applyNumberFormat="1" applyBorder="1"/>
    <xf numFmtId="1" fontId="29" fillId="0" borderId="0" xfId="427" applyNumberFormat="1" applyBorder="1"/>
    <xf numFmtId="0" fontId="29" fillId="2" borderId="4" xfId="427" applyFill="1" applyBorder="1" applyAlignment="1">
      <alignment horizontal="center" vertical="center"/>
    </xf>
    <xf numFmtId="0" fontId="29" fillId="2" borderId="3" xfId="427" applyFill="1" applyBorder="1" applyAlignment="1">
      <alignment horizontal="center" vertical="center"/>
    </xf>
    <xf numFmtId="0" fontId="29" fillId="2" borderId="16" xfId="427" applyFill="1" applyBorder="1" applyAlignment="1">
      <alignment horizontal="center" vertical="center"/>
    </xf>
    <xf numFmtId="0" fontId="31" fillId="2" borderId="0" xfId="427" applyFont="1" applyFill="1"/>
    <xf numFmtId="1" fontId="29" fillId="0" borderId="0" xfId="427" applyNumberFormat="1"/>
    <xf numFmtId="165" fontId="29" fillId="0" borderId="16" xfId="427" applyNumberFormat="1" applyFont="1" applyBorder="1" applyAlignment="1">
      <alignment horizontal="center" vertical="center"/>
    </xf>
    <xf numFmtId="165" fontId="29" fillId="0" borderId="16" xfId="427" applyNumberFormat="1" applyFont="1" applyBorder="1"/>
    <xf numFmtId="165" fontId="29" fillId="0" borderId="18" xfId="0" applyNumberFormat="1" applyFont="1" applyBorder="1" applyAlignment="1">
      <alignment horizontal="center" vertical="center"/>
    </xf>
    <xf numFmtId="0" fontId="25" fillId="0" borderId="24" xfId="0" applyFont="1" applyBorder="1" applyAlignment="1">
      <alignment horizontal="center" vertical="center"/>
    </xf>
    <xf numFmtId="1" fontId="25" fillId="0" borderId="16" xfId="0" applyNumberFormat="1" applyFont="1" applyBorder="1" applyAlignment="1">
      <alignment horizontal="center" vertical="center"/>
    </xf>
    <xf numFmtId="1" fontId="25" fillId="0" borderId="3" xfId="0" applyNumberFormat="1" applyFont="1" applyBorder="1" applyAlignment="1">
      <alignment horizontal="center" vertical="center"/>
    </xf>
    <xf numFmtId="164" fontId="0" fillId="0" borderId="16" xfId="0" applyNumberFormat="1" applyFont="1" applyBorder="1" applyAlignment="1">
      <alignment horizontal="center"/>
    </xf>
    <xf numFmtId="0" fontId="0" fillId="2" borderId="0" xfId="0" applyFill="1" applyBorder="1"/>
    <xf numFmtId="0" fontId="31" fillId="0" borderId="25" xfId="522"/>
    <xf numFmtId="166" fontId="0" fillId="0" borderId="0" xfId="0" applyNumberFormat="1"/>
    <xf numFmtId="164" fontId="0" fillId="0" borderId="0" xfId="0" applyNumberFormat="1"/>
    <xf numFmtId="0" fontId="0" fillId="0" borderId="0" xfId="427" applyFont="1" applyFill="1"/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7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18" xfId="0" applyNumberForma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0" fillId="0" borderId="23" xfId="427" applyFont="1" applyBorder="1" applyAlignment="1">
      <alignment horizontal="center"/>
    </xf>
    <xf numFmtId="0" fontId="29" fillId="0" borderId="23" xfId="427" applyBorder="1" applyAlignment="1">
      <alignment horizontal="center"/>
    </xf>
    <xf numFmtId="0" fontId="29" fillId="0" borderId="17" xfId="427" applyNumberFormat="1" applyFill="1" applyBorder="1" applyAlignment="1">
      <alignment horizontal="center" vertical="center"/>
    </xf>
    <xf numFmtId="0" fontId="29" fillId="0" borderId="5" xfId="427" applyNumberFormat="1" applyFill="1" applyBorder="1" applyAlignment="1">
      <alignment horizontal="center" vertical="center"/>
    </xf>
    <xf numFmtId="0" fontId="29" fillId="0" borderId="18" xfId="427" applyNumberFormat="1" applyFill="1" applyBorder="1" applyAlignment="1">
      <alignment horizontal="center" vertical="center"/>
    </xf>
    <xf numFmtId="0" fontId="29" fillId="2" borderId="4" xfId="427" applyFill="1" applyBorder="1" applyAlignment="1">
      <alignment horizontal="center" vertical="center"/>
    </xf>
    <xf numFmtId="0" fontId="29" fillId="2" borderId="3" xfId="427" applyFill="1" applyBorder="1" applyAlignment="1">
      <alignment horizontal="center" vertical="center"/>
    </xf>
    <xf numFmtId="0" fontId="0" fillId="2" borderId="4" xfId="427" applyFont="1" applyFill="1" applyBorder="1" applyAlignment="1">
      <alignment horizontal="center" vertical="center"/>
    </xf>
    <xf numFmtId="0" fontId="29" fillId="2" borderId="16" xfId="427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25" fillId="0" borderId="0" xfId="0" applyFont="1" applyAlignment="1">
      <alignment horizontal="center" vertical="center"/>
    </xf>
  </cellXfs>
  <cellStyles count="527">
    <cellStyle name="Bad" xfId="1"/>
    <cellStyle name="Calculation" xfId="2"/>
    <cellStyle name="Check Cell" xfId="3"/>
    <cellStyle name="Explanatory Text" xfId="4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4" builtinId="9" hidden="1"/>
    <cellStyle name="Followed Hyperlink" xfId="526" builtinId="9" hidden="1"/>
    <cellStyle name="Good" xfId="5"/>
    <cellStyle name="Heading 1" xfId="6"/>
    <cellStyle name="Heading 2" xfId="7"/>
    <cellStyle name="Heading 3" xfId="8"/>
    <cellStyle name="Heading 4" xfId="9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3" builtinId="8" hidden="1"/>
    <cellStyle name="Hyperlink" xfId="525" builtinId="8" hidden="1"/>
    <cellStyle name="Input" xfId="10"/>
    <cellStyle name="Linked Cell" xfId="11"/>
    <cellStyle name="Neutral" xfId="12"/>
    <cellStyle name="Normal" xfId="0" builtinId="0"/>
    <cellStyle name="Normal 2" xfId="427"/>
    <cellStyle name="Note" xfId="13"/>
    <cellStyle name="Output" xfId="14"/>
    <cellStyle name="Standaard 2" xfId="15"/>
    <cellStyle name="Title" xfId="16"/>
    <cellStyle name="Total" xfId="17"/>
    <cellStyle name="Total 2" xfId="522"/>
    <cellStyle name="Warning Text" xfId="18"/>
  </cellStyles>
  <dxfs count="0"/>
  <tableStyles count="0" defaultTableStyle="TableStyleMedium9" defaultPivotStyle="PivotStyleLight16"/>
  <colors>
    <mruColors>
      <color rgb="FFBF0000"/>
      <color rgb="FFDE00FD"/>
      <color rgb="FFFEC009"/>
      <color rgb="FF67FF65"/>
      <color rgb="FFFF00FF"/>
      <color rgb="FFE46C0A"/>
      <color rgb="FF996633"/>
      <color rgb="FF4949F1"/>
    </mruColors>
  </colors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chartsheet" Target="chartsheets/sheet1.xml"/><Relationship Id="rId28" Type="http://schemas.openxmlformats.org/officeDocument/2006/relationships/chartsheet" Target="chartsheets/sheet2.xml"/><Relationship Id="rId29" Type="http://schemas.openxmlformats.org/officeDocument/2006/relationships/worksheet" Target="worksheets/sheet27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theme" Target="theme/theme1.xml"/><Relationship Id="rId31" Type="http://schemas.openxmlformats.org/officeDocument/2006/relationships/connections" Target="connections.xml"/><Relationship Id="rId32" Type="http://schemas.openxmlformats.org/officeDocument/2006/relationships/styles" Target="style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haredStrings" Target="sharedStrings.xml"/><Relationship Id="rId3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Calibration</a:t>
            </a:r>
            <a:r>
              <a:rPr lang="nl-BE" baseline="0"/>
              <a:t> </a:t>
            </a:r>
            <a:r>
              <a:rPr lang="nl-BE" i="1" baseline="0"/>
              <a:t>B. hydrogenotrophica</a:t>
            </a:r>
            <a:endParaRPr lang="nl-BE" i="1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7518545148449"/>
          <c:y val="0.13013698630137"/>
          <c:w val="0.833789874261263"/>
          <c:h val="0.73188751662891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9800524934383"/>
                  <c:y val="-0.318278652668416"/>
                </c:manualLayout>
              </c:layout>
              <c:numFmt formatCode="General" sourceLinked="0"/>
            </c:trendlineLbl>
          </c:trendline>
          <c:xVal>
            <c:numRef>
              <c:f>'CalibrationB. hydrogenotrophica'!$R$4:$R$19</c:f>
              <c:numCache>
                <c:formatCode>0.00</c:formatCode>
                <c:ptCount val="16"/>
                <c:pt idx="0">
                  <c:v>8.313473506507658</c:v>
                </c:pt>
                <c:pt idx="1">
                  <c:v>7.276996109489027</c:v>
                </c:pt>
                <c:pt idx="2">
                  <c:v>6.34002746828266</c:v>
                </c:pt>
                <c:pt idx="3">
                  <c:v>5.410412073674764</c:v>
                </c:pt>
                <c:pt idx="4">
                  <c:v>4.624207964119256</c:v>
                </c:pt>
                <c:pt idx="5">
                  <c:v>8.368066736978313</c:v>
                </c:pt>
                <c:pt idx="6">
                  <c:v>8.001570749713231</c:v>
                </c:pt>
                <c:pt idx="7">
                  <c:v>7.678536588070615</c:v>
                </c:pt>
                <c:pt idx="8">
                  <c:v>7.377558180514065</c:v>
                </c:pt>
                <c:pt idx="9">
                  <c:v>6.962198804905538</c:v>
                </c:pt>
                <c:pt idx="10">
                  <c:v>6.642461222625335</c:v>
                </c:pt>
                <c:pt idx="11">
                  <c:v>6.437813958847346</c:v>
                </c:pt>
                <c:pt idx="12">
                  <c:v>6.193364379200031</c:v>
                </c:pt>
                <c:pt idx="13">
                  <c:v>5.945938002689035</c:v>
                </c:pt>
                <c:pt idx="14">
                  <c:v>5.659438986853353</c:v>
                </c:pt>
                <c:pt idx="15">
                  <c:v>5.359831154750319</c:v>
                </c:pt>
              </c:numCache>
            </c:numRef>
          </c:xVal>
          <c:yVal>
            <c:numRef>
              <c:f>'CalibrationB. hydrogenotrophica'!$L$23:$L$38</c:f>
              <c:numCache>
                <c:formatCode>0.0</c:formatCode>
                <c:ptCount val="16"/>
                <c:pt idx="0">
                  <c:v>6.229484611738722</c:v>
                </c:pt>
                <c:pt idx="1">
                  <c:v>11.71994119285444</c:v>
                </c:pt>
                <c:pt idx="2">
                  <c:v>14.18909618654748</c:v>
                </c:pt>
                <c:pt idx="3">
                  <c:v>18.70661581952274</c:v>
                </c:pt>
                <c:pt idx="4">
                  <c:v>22.13009172080854</c:v>
                </c:pt>
                <c:pt idx="5">
                  <c:v>7.11976641205226</c:v>
                </c:pt>
                <c:pt idx="6">
                  <c:v>8.800463853153336</c:v>
                </c:pt>
                <c:pt idx="7">
                  <c:v>9.622375982873388</c:v>
                </c:pt>
                <c:pt idx="8">
                  <c:v>11.85799075948472</c:v>
                </c:pt>
                <c:pt idx="9">
                  <c:v>12.0575165926146</c:v>
                </c:pt>
                <c:pt idx="10">
                  <c:v>12.55526337809637</c:v>
                </c:pt>
                <c:pt idx="11">
                  <c:v>13.7043245810993</c:v>
                </c:pt>
                <c:pt idx="12">
                  <c:v>14.74827688721095</c:v>
                </c:pt>
                <c:pt idx="13">
                  <c:v>15.88358419922267</c:v>
                </c:pt>
                <c:pt idx="14">
                  <c:v>18.41934571452215</c:v>
                </c:pt>
                <c:pt idx="15">
                  <c:v>19.18493511068101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88472"/>
        <c:axId val="-2090312168"/>
      </c:scatterChart>
      <c:valAx>
        <c:axId val="2118188472"/>
        <c:scaling>
          <c:orientation val="minMax"/>
          <c:max val="15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Cel</a:t>
                </a:r>
                <a:r>
                  <a:rPr lang="nl-BE" baseline="0"/>
                  <a:t> concentration [log(cell counts/ml)]</a:t>
                </a:r>
                <a:endParaRPr lang="nl-BE"/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-2090312168"/>
        <c:crosses val="autoZero"/>
        <c:crossBetween val="midCat"/>
        <c:majorUnit val="2.0"/>
      </c:valAx>
      <c:valAx>
        <c:axId val="-2090312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Ct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118188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Metabolites!$M$4:$M$20</c:f>
                <c:numCache>
                  <c:formatCode>General</c:formatCode>
                  <c:ptCount val="17"/>
                  <c:pt idx="0">
                    <c:v>0.0231090808111249</c:v>
                  </c:pt>
                  <c:pt idx="1">
                    <c:v>0.073915720675837</c:v>
                  </c:pt>
                  <c:pt idx="2">
                    <c:v>0.0169574293034186</c:v>
                  </c:pt>
                  <c:pt idx="3">
                    <c:v>0.077708703374778</c:v>
                  </c:pt>
                  <c:pt idx="4">
                    <c:v>0.02793751641234</c:v>
                  </c:pt>
                  <c:pt idx="5">
                    <c:v>0.0333295668913212</c:v>
                  </c:pt>
                  <c:pt idx="6">
                    <c:v>0.0449361858317902</c:v>
                  </c:pt>
                  <c:pt idx="7">
                    <c:v>0.0280522391484985</c:v>
                  </c:pt>
                  <c:pt idx="8">
                    <c:v>0.0232648256263192</c:v>
                  </c:pt>
                  <c:pt idx="9">
                    <c:v>0.0171334011659737</c:v>
                  </c:pt>
                  <c:pt idx="10">
                    <c:v>0.0514968204217895</c:v>
                  </c:pt>
                  <c:pt idx="11">
                    <c:v>0.00649430080465346</c:v>
                  </c:pt>
                  <c:pt idx="12">
                    <c:v>0.0425859782848397</c:v>
                  </c:pt>
                  <c:pt idx="13">
                    <c:v>0.0454601056325742</c:v>
                  </c:pt>
                  <c:pt idx="14">
                    <c:v>0.0234155345494651</c:v>
                  </c:pt>
                  <c:pt idx="15">
                    <c:v>0.0661401407622601</c:v>
                  </c:pt>
                  <c:pt idx="16">
                    <c:v>0.134775130541752</c:v>
                  </c:pt>
                </c:numCache>
              </c:numRef>
            </c:plus>
            <c:minus>
              <c:numRef>
                <c:f>Metabolites!$M$4:$M$20</c:f>
                <c:numCache>
                  <c:formatCode>General</c:formatCode>
                  <c:ptCount val="17"/>
                  <c:pt idx="0">
                    <c:v>0.0231090808111249</c:v>
                  </c:pt>
                  <c:pt idx="1">
                    <c:v>0.073915720675837</c:v>
                  </c:pt>
                  <c:pt idx="2">
                    <c:v>0.0169574293034186</c:v>
                  </c:pt>
                  <c:pt idx="3">
                    <c:v>0.077708703374778</c:v>
                  </c:pt>
                  <c:pt idx="4">
                    <c:v>0.02793751641234</c:v>
                  </c:pt>
                  <c:pt idx="5">
                    <c:v>0.0333295668913212</c:v>
                  </c:pt>
                  <c:pt idx="6">
                    <c:v>0.0449361858317902</c:v>
                  </c:pt>
                  <c:pt idx="7">
                    <c:v>0.0280522391484985</c:v>
                  </c:pt>
                  <c:pt idx="8">
                    <c:v>0.0232648256263192</c:v>
                  </c:pt>
                  <c:pt idx="9">
                    <c:v>0.0171334011659737</c:v>
                  </c:pt>
                  <c:pt idx="10">
                    <c:v>0.0514968204217895</c:v>
                  </c:pt>
                  <c:pt idx="11">
                    <c:v>0.00649430080465346</c:v>
                  </c:pt>
                  <c:pt idx="12">
                    <c:v>0.0425859782848397</c:v>
                  </c:pt>
                  <c:pt idx="13">
                    <c:v>0.0454601056325742</c:v>
                  </c:pt>
                  <c:pt idx="14">
                    <c:v>0.0234155345494651</c:v>
                  </c:pt>
                  <c:pt idx="15">
                    <c:v>0.0661401407622601</c:v>
                  </c:pt>
                  <c:pt idx="16">
                    <c:v>0.134775130541752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24.16666666666667</c:v>
                </c:pt>
                <c:pt idx="16">
                  <c:v>30.16666666666667</c:v>
                </c:pt>
              </c:numCache>
            </c:numRef>
          </c:xVal>
          <c:yVal>
            <c:numRef>
              <c:f>Metabolites!$L$4:$L$20</c:f>
              <c:numCache>
                <c:formatCode>0</c:formatCode>
                <c:ptCount val="17"/>
                <c:pt idx="0">
                  <c:v>1.813203078744819</c:v>
                </c:pt>
                <c:pt idx="1">
                  <c:v>1.791000592066311</c:v>
                </c:pt>
                <c:pt idx="2">
                  <c:v>1.791000592066311</c:v>
                </c:pt>
                <c:pt idx="3">
                  <c:v>1.820603907637655</c:v>
                </c:pt>
                <c:pt idx="4">
                  <c:v>1.794701006512729</c:v>
                </c:pt>
                <c:pt idx="5">
                  <c:v>1.810906467761783</c:v>
                </c:pt>
                <c:pt idx="6">
                  <c:v>1.819780603184644</c:v>
                </c:pt>
                <c:pt idx="7">
                  <c:v>1.83551126295146</c:v>
                </c:pt>
                <c:pt idx="8">
                  <c:v>1.974437395354078</c:v>
                </c:pt>
                <c:pt idx="9">
                  <c:v>2.071303318873145</c:v>
                </c:pt>
                <c:pt idx="10">
                  <c:v>2.427305941361806</c:v>
                </c:pt>
                <c:pt idx="11">
                  <c:v>3.052081862660772</c:v>
                </c:pt>
                <c:pt idx="12">
                  <c:v>3.895716284157913</c:v>
                </c:pt>
                <c:pt idx="13">
                  <c:v>5.178040604833568</c:v>
                </c:pt>
                <c:pt idx="14">
                  <c:v>6.291638041209796</c:v>
                </c:pt>
                <c:pt idx="15">
                  <c:v>8.428181770950207</c:v>
                </c:pt>
                <c:pt idx="16">
                  <c:v>8.97069282075118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009"/>
              </a:solidFill>
            </a:ln>
          </c:spPr>
          <c:marker>
            <c:symbol val="circle"/>
            <c:size val="8"/>
            <c:spPr>
              <a:solidFill>
                <a:srgbClr val="FEC009"/>
              </a:solidFill>
              <a:ln>
                <a:solidFill>
                  <a:srgbClr val="FEC0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Metabolites!$Q$4:$Q$20</c:f>
                <c:numCache>
                  <c:formatCode>General</c:formatCode>
                  <c:ptCount val="17"/>
                  <c:pt idx="0">
                    <c:v>0.0584826741762572</c:v>
                  </c:pt>
                  <c:pt idx="1">
                    <c:v>0.176498618879652</c:v>
                  </c:pt>
                  <c:pt idx="2">
                    <c:v>0.067301446866401</c:v>
                  </c:pt>
                  <c:pt idx="3">
                    <c:v>0.0832639467110742</c:v>
                  </c:pt>
                  <c:pt idx="4">
                    <c:v>0.101294963035774</c:v>
                  </c:pt>
                  <c:pt idx="5">
                    <c:v>0.0999942509765266</c:v>
                  </c:pt>
                  <c:pt idx="6">
                    <c:v>0.167899856299182</c:v>
                  </c:pt>
                  <c:pt idx="7">
                    <c:v>0.100327034562966</c:v>
                  </c:pt>
                  <c:pt idx="8">
                    <c:v>0.167929401122881</c:v>
                  </c:pt>
                  <c:pt idx="9">
                    <c:v>0.217000234048021</c:v>
                  </c:pt>
                  <c:pt idx="10">
                    <c:v>0.160807696055803</c:v>
                  </c:pt>
                  <c:pt idx="11">
                    <c:v>0.420262803070072</c:v>
                  </c:pt>
                  <c:pt idx="12">
                    <c:v>0.240017060060075</c:v>
                  </c:pt>
                  <c:pt idx="13">
                    <c:v>0.338735658300362</c:v>
                  </c:pt>
                  <c:pt idx="14">
                    <c:v>0.108482231183175</c:v>
                  </c:pt>
                  <c:pt idx="15">
                    <c:v>0.220989845533711</c:v>
                  </c:pt>
                  <c:pt idx="16">
                    <c:v>0.6496978902464</c:v>
                  </c:pt>
                </c:numCache>
              </c:numRef>
            </c:plus>
            <c:minus>
              <c:numRef>
                <c:f>Metabolites!$Q$4:$Q$20</c:f>
                <c:numCache>
                  <c:formatCode>General</c:formatCode>
                  <c:ptCount val="17"/>
                  <c:pt idx="0">
                    <c:v>0.0584826741762572</c:v>
                  </c:pt>
                  <c:pt idx="1">
                    <c:v>0.176498618879652</c:v>
                  </c:pt>
                  <c:pt idx="2">
                    <c:v>0.067301446866401</c:v>
                  </c:pt>
                  <c:pt idx="3">
                    <c:v>0.0832639467110742</c:v>
                  </c:pt>
                  <c:pt idx="4">
                    <c:v>0.101294963035774</c:v>
                  </c:pt>
                  <c:pt idx="5">
                    <c:v>0.0999942509765266</c:v>
                  </c:pt>
                  <c:pt idx="6">
                    <c:v>0.167899856299182</c:v>
                  </c:pt>
                  <c:pt idx="7">
                    <c:v>0.100327034562966</c:v>
                  </c:pt>
                  <c:pt idx="8">
                    <c:v>0.167929401122881</c:v>
                  </c:pt>
                  <c:pt idx="9">
                    <c:v>0.217000234048021</c:v>
                  </c:pt>
                  <c:pt idx="10">
                    <c:v>0.160807696055803</c:v>
                  </c:pt>
                  <c:pt idx="11">
                    <c:v>0.420262803070072</c:v>
                  </c:pt>
                  <c:pt idx="12">
                    <c:v>0.240017060060075</c:v>
                  </c:pt>
                  <c:pt idx="13">
                    <c:v>0.338735658300362</c:v>
                  </c:pt>
                  <c:pt idx="14">
                    <c:v>0.108482231183175</c:v>
                  </c:pt>
                  <c:pt idx="15">
                    <c:v>0.220989845533711</c:v>
                  </c:pt>
                  <c:pt idx="16">
                    <c:v>0.6496978902464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24.16666666666667</c:v>
                </c:pt>
                <c:pt idx="16">
                  <c:v>30.16666666666667</c:v>
                </c:pt>
              </c:numCache>
            </c:numRef>
          </c:xVal>
          <c:yVal>
            <c:numRef>
              <c:f>Metabolites!$P$4:$P$20</c:f>
              <c:numCache>
                <c:formatCode>0</c:formatCode>
                <c:ptCount val="17"/>
                <c:pt idx="0">
                  <c:v>0.793782958645573</c:v>
                </c:pt>
                <c:pt idx="1">
                  <c:v>0.888148764918124</c:v>
                </c:pt>
                <c:pt idx="2">
                  <c:v>1.054676658340272</c:v>
                </c:pt>
                <c:pt idx="3">
                  <c:v>1.298917568692756</c:v>
                </c:pt>
                <c:pt idx="4">
                  <c:v>1.51540383014155</c:v>
                </c:pt>
                <c:pt idx="5">
                  <c:v>2.116544979003145</c:v>
                </c:pt>
                <c:pt idx="6">
                  <c:v>3.207958330584037</c:v>
                </c:pt>
                <c:pt idx="7">
                  <c:v>5.534708073390289</c:v>
                </c:pt>
                <c:pt idx="8">
                  <c:v>9.785184306291622</c:v>
                </c:pt>
                <c:pt idx="9">
                  <c:v>16.13014174483752</c:v>
                </c:pt>
                <c:pt idx="10">
                  <c:v>22.47068351148447</c:v>
                </c:pt>
                <c:pt idx="11">
                  <c:v>27.29590074235238</c:v>
                </c:pt>
                <c:pt idx="12">
                  <c:v>28.99451232780272</c:v>
                </c:pt>
                <c:pt idx="13">
                  <c:v>30.102547037517</c:v>
                </c:pt>
                <c:pt idx="14">
                  <c:v>30.56375945475848</c:v>
                </c:pt>
                <c:pt idx="15">
                  <c:v>32.45406380160409</c:v>
                </c:pt>
                <c:pt idx="16">
                  <c:v>31.45295183900853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DE00FD"/>
              </a:solidFill>
            </a:ln>
          </c:spPr>
          <c:marker>
            <c:symbol val="triangle"/>
            <c:size val="8"/>
            <c:spPr>
              <a:solidFill>
                <a:srgbClr val="DE00FD"/>
              </a:solidFill>
              <a:ln>
                <a:solidFill>
                  <a:srgbClr val="DE00FD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Metabolites!$U$4:$U$20</c:f>
                <c:numCache>
                  <c:formatCode>General</c:formatCode>
                  <c:ptCount val="17"/>
                  <c:pt idx="0">
                    <c:v>0.989460127971629</c:v>
                  </c:pt>
                  <c:pt idx="1">
                    <c:v>1.562738193499968</c:v>
                  </c:pt>
                  <c:pt idx="2">
                    <c:v>0.316568802873403</c:v>
                  </c:pt>
                  <c:pt idx="3">
                    <c:v>1.220728945221551</c:v>
                  </c:pt>
                  <c:pt idx="4">
                    <c:v>0.952931227436949</c:v>
                  </c:pt>
                  <c:pt idx="5">
                    <c:v>0.359233758029042</c:v>
                  </c:pt>
                  <c:pt idx="6">
                    <c:v>0.401419476772008</c:v>
                  </c:pt>
                  <c:pt idx="7">
                    <c:v>0.335352271508621</c:v>
                  </c:pt>
                  <c:pt idx="8">
                    <c:v>0.36749990689955</c:v>
                  </c:pt>
                  <c:pt idx="9">
                    <c:v>0.282242756218951</c:v>
                  </c:pt>
                  <c:pt idx="10">
                    <c:v>0.126968954363163</c:v>
                  </c:pt>
                  <c:pt idx="11">
                    <c:v>0.197300562953572</c:v>
                  </c:pt>
                  <c:pt idx="12">
                    <c:v>0.311571007852979</c:v>
                  </c:pt>
                  <c:pt idx="13">
                    <c:v>0.684295857307408</c:v>
                  </c:pt>
                  <c:pt idx="14">
                    <c:v>0.241475683536399</c:v>
                  </c:pt>
                  <c:pt idx="15">
                    <c:v>0.0</c:v>
                  </c:pt>
                  <c:pt idx="16">
                    <c:v>0.191000800243717</c:v>
                  </c:pt>
                </c:numCache>
              </c:numRef>
            </c:plus>
            <c:minus>
              <c:numRef>
                <c:f>Metabolites!$U$4:$U$20</c:f>
                <c:numCache>
                  <c:formatCode>General</c:formatCode>
                  <c:ptCount val="17"/>
                  <c:pt idx="0">
                    <c:v>0.989460127971629</c:v>
                  </c:pt>
                  <c:pt idx="1">
                    <c:v>1.562738193499968</c:v>
                  </c:pt>
                  <c:pt idx="2">
                    <c:v>0.316568802873403</c:v>
                  </c:pt>
                  <c:pt idx="3">
                    <c:v>1.220728945221551</c:v>
                  </c:pt>
                  <c:pt idx="4">
                    <c:v>0.952931227436949</c:v>
                  </c:pt>
                  <c:pt idx="5">
                    <c:v>0.359233758029042</c:v>
                  </c:pt>
                  <c:pt idx="6">
                    <c:v>0.401419476772008</c:v>
                  </c:pt>
                  <c:pt idx="7">
                    <c:v>0.335352271508621</c:v>
                  </c:pt>
                  <c:pt idx="8">
                    <c:v>0.36749990689955</c:v>
                  </c:pt>
                  <c:pt idx="9">
                    <c:v>0.282242756218951</c:v>
                  </c:pt>
                  <c:pt idx="10">
                    <c:v>0.126968954363163</c:v>
                  </c:pt>
                  <c:pt idx="11">
                    <c:v>0.197300562953572</c:v>
                  </c:pt>
                  <c:pt idx="12">
                    <c:v>0.311571007852979</c:v>
                  </c:pt>
                  <c:pt idx="13">
                    <c:v>0.684295857307408</c:v>
                  </c:pt>
                  <c:pt idx="14">
                    <c:v>0.241475683536399</c:v>
                  </c:pt>
                  <c:pt idx="15">
                    <c:v>0.0</c:v>
                  </c:pt>
                  <c:pt idx="16">
                    <c:v>0.191000800243717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24.16666666666667</c:v>
                </c:pt>
                <c:pt idx="16">
                  <c:v>30.16666666666667</c:v>
                </c:pt>
              </c:numCache>
            </c:numRef>
          </c:xVal>
          <c:yVal>
            <c:numRef>
              <c:f>Metabolites!$T$4:$T$20</c:f>
              <c:numCache>
                <c:formatCode>0</c:formatCode>
                <c:ptCount val="17"/>
                <c:pt idx="0">
                  <c:v>49.06944746180028</c:v>
                </c:pt>
                <c:pt idx="1">
                  <c:v>49.15634730972554</c:v>
                </c:pt>
                <c:pt idx="2">
                  <c:v>48.3307987544355</c:v>
                </c:pt>
                <c:pt idx="3">
                  <c:v>48.80150626403071</c:v>
                </c:pt>
                <c:pt idx="4">
                  <c:v>47.75146643493374</c:v>
                </c:pt>
                <c:pt idx="5">
                  <c:v>46.94058096492203</c:v>
                </c:pt>
                <c:pt idx="6">
                  <c:v>45.14342712991342</c:v>
                </c:pt>
                <c:pt idx="7">
                  <c:v>43.48291909204928</c:v>
                </c:pt>
                <c:pt idx="8">
                  <c:v>40.47663106604168</c:v>
                </c:pt>
                <c:pt idx="9">
                  <c:v>35.78648156387485</c:v>
                </c:pt>
                <c:pt idx="10">
                  <c:v>31.02291298366175</c:v>
                </c:pt>
                <c:pt idx="11">
                  <c:v>28.36015982628794</c:v>
                </c:pt>
                <c:pt idx="12">
                  <c:v>26.40099742690402</c:v>
                </c:pt>
                <c:pt idx="13">
                  <c:v>24.73534250308322</c:v>
                </c:pt>
                <c:pt idx="14">
                  <c:v>22.63676405280681</c:v>
                </c:pt>
                <c:pt idx="15">
                  <c:v>17.89285124455987</c:v>
                </c:pt>
                <c:pt idx="16">
                  <c:v>11.25460991108395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0.00686036791871921</c:v>
                </c:pt>
                <c:pt idx="1">
                  <c:v>0.0269185575738916</c:v>
                </c:pt>
                <c:pt idx="2">
                  <c:v>0.056015555726601</c:v>
                </c:pt>
                <c:pt idx="3">
                  <c:v>0.0901097444581281</c:v>
                </c:pt>
                <c:pt idx="4">
                  <c:v>0.128272059729064</c:v>
                </c:pt>
                <c:pt idx="5">
                  <c:v>0.169915209359606</c:v>
                </c:pt>
                <c:pt idx="6">
                  <c:v>0.215471851908867</c:v>
                </c:pt>
                <c:pt idx="7">
                  <c:v>0.266442249076355</c:v>
                </c:pt>
                <c:pt idx="8">
                  <c:v>0.325533120381773</c:v>
                </c:pt>
                <c:pt idx="9">
                  <c:v>0.395520612684729</c:v>
                </c:pt>
                <c:pt idx="10">
                  <c:v>0.476944050184729</c:v>
                </c:pt>
                <c:pt idx="11">
                  <c:v>0.569007858682266</c:v>
                </c:pt>
                <c:pt idx="12">
                  <c:v>0.673073445197044</c:v>
                </c:pt>
                <c:pt idx="13">
                  <c:v>0.789941433189655</c:v>
                </c:pt>
                <c:pt idx="14">
                  <c:v>0.920594219519705</c:v>
                </c:pt>
                <c:pt idx="15">
                  <c:v>1.066078579125616</c:v>
                </c:pt>
                <c:pt idx="16">
                  <c:v>1.229357481527094</c:v>
                </c:pt>
                <c:pt idx="17">
                  <c:v>1.417285929802956</c:v>
                </c:pt>
                <c:pt idx="18">
                  <c:v>1.636825908251232</c:v>
                </c:pt>
                <c:pt idx="19">
                  <c:v>1.89531841133005</c:v>
                </c:pt>
                <c:pt idx="20">
                  <c:v>2.198422398399015</c:v>
                </c:pt>
                <c:pt idx="21">
                  <c:v>2.554119488916256</c:v>
                </c:pt>
                <c:pt idx="22">
                  <c:v>2.972468442118227</c:v>
                </c:pt>
                <c:pt idx="23">
                  <c:v>3.462144835283252</c:v>
                </c:pt>
                <c:pt idx="24">
                  <c:v>4.02606366995074</c:v>
                </c:pt>
                <c:pt idx="25">
                  <c:v>4.660012600061576</c:v>
                </c:pt>
                <c:pt idx="26">
                  <c:v>5.360804279556651</c:v>
                </c:pt>
                <c:pt idx="27">
                  <c:v>6.120846828817735</c:v>
                </c:pt>
                <c:pt idx="28">
                  <c:v>6.927823206588671</c:v>
                </c:pt>
                <c:pt idx="29">
                  <c:v>7.763816425492611</c:v>
                </c:pt>
                <c:pt idx="30">
                  <c:v>8.607962307573892</c:v>
                </c:pt>
                <c:pt idx="31">
                  <c:v>9.462636214593596</c:v>
                </c:pt>
                <c:pt idx="32">
                  <c:v>10.31812147475369</c:v>
                </c:pt>
                <c:pt idx="33">
                  <c:v>11.16161568657635</c:v>
                </c:pt>
                <c:pt idx="34">
                  <c:v>11.9996270320197</c:v>
                </c:pt>
                <c:pt idx="35">
                  <c:v>12.81424893780788</c:v>
                </c:pt>
                <c:pt idx="36">
                  <c:v>13.58847139008621</c:v>
                </c:pt>
                <c:pt idx="37">
                  <c:v>14.31988652247537</c:v>
                </c:pt>
                <c:pt idx="38">
                  <c:v>14.99940250923645</c:v>
                </c:pt>
                <c:pt idx="39">
                  <c:v>15.6340561268473</c:v>
                </c:pt>
                <c:pt idx="40">
                  <c:v>16.22448800030788</c:v>
                </c:pt>
                <c:pt idx="41">
                  <c:v>16.7649586976601</c:v>
                </c:pt>
                <c:pt idx="42">
                  <c:v>17.26515270166256</c:v>
                </c:pt>
                <c:pt idx="43">
                  <c:v>17.72590282481527</c:v>
                </c:pt>
                <c:pt idx="44">
                  <c:v>18.14949448891626</c:v>
                </c:pt>
                <c:pt idx="45">
                  <c:v>18.54490780480296</c:v>
                </c:pt>
                <c:pt idx="46">
                  <c:v>18.91928053417488</c:v>
                </c:pt>
                <c:pt idx="47">
                  <c:v>19.27421423953202</c:v>
                </c:pt>
                <c:pt idx="48">
                  <c:v>19.61435392549261</c:v>
                </c:pt>
                <c:pt idx="49">
                  <c:v>19.94706204587439</c:v>
                </c:pt>
                <c:pt idx="50">
                  <c:v>20.26851599445813</c:v>
                </c:pt>
                <c:pt idx="51">
                  <c:v>20.5729974830665</c:v>
                </c:pt>
                <c:pt idx="52">
                  <c:v>20.86192125153941</c:v>
                </c:pt>
                <c:pt idx="53">
                  <c:v>21.18654613608375</c:v>
                </c:pt>
                <c:pt idx="54">
                  <c:v>21.5459484375</c:v>
                </c:pt>
                <c:pt idx="55">
                  <c:v>21.87711337746305</c:v>
                </c:pt>
                <c:pt idx="56">
                  <c:v>22.1757967364532</c:v>
                </c:pt>
                <c:pt idx="57">
                  <c:v>22.45441117610837</c:v>
                </c:pt>
                <c:pt idx="58">
                  <c:v>22.7214561807266</c:v>
                </c:pt>
                <c:pt idx="59">
                  <c:v>22.97897670104679</c:v>
                </c:pt>
                <c:pt idx="60">
                  <c:v>23.23191659482758</c:v>
                </c:pt>
                <c:pt idx="61">
                  <c:v>23.50433811576354</c:v>
                </c:pt>
                <c:pt idx="62">
                  <c:v>23.78707433035714</c:v>
                </c:pt>
                <c:pt idx="63">
                  <c:v>24.05250735837438</c:v>
                </c:pt>
                <c:pt idx="64">
                  <c:v>24.30266037561576</c:v>
                </c:pt>
                <c:pt idx="65">
                  <c:v>24.5426</c:v>
                </c:pt>
                <c:pt idx="66">
                  <c:v>24.77614378848522</c:v>
                </c:pt>
                <c:pt idx="67">
                  <c:v>25.00615845905172</c:v>
                </c:pt>
                <c:pt idx="68">
                  <c:v>25.23276172259852</c:v>
                </c:pt>
                <c:pt idx="69">
                  <c:v>25.4550191502463</c:v>
                </c:pt>
                <c:pt idx="70">
                  <c:v>25.67465506465517</c:v>
                </c:pt>
                <c:pt idx="71">
                  <c:v>25.89290842826355</c:v>
                </c:pt>
                <c:pt idx="72">
                  <c:v>26.1072056958128</c:v>
                </c:pt>
                <c:pt idx="73">
                  <c:v>26.31716785714286</c:v>
                </c:pt>
                <c:pt idx="74">
                  <c:v>26.52353683805418</c:v>
                </c:pt>
                <c:pt idx="75">
                  <c:v>26.72473758466748</c:v>
                </c:pt>
                <c:pt idx="76">
                  <c:v>26.92146437038177</c:v>
                </c:pt>
                <c:pt idx="77">
                  <c:v>27.11590604987684</c:v>
                </c:pt>
                <c:pt idx="78">
                  <c:v>27.3064342364532</c:v>
                </c:pt>
                <c:pt idx="79">
                  <c:v>27.49203465979064</c:v>
                </c:pt>
                <c:pt idx="80">
                  <c:v>27.67484315732758</c:v>
                </c:pt>
                <c:pt idx="81">
                  <c:v>27.85389847598522</c:v>
                </c:pt>
                <c:pt idx="82">
                  <c:v>28.02834097906404</c:v>
                </c:pt>
                <c:pt idx="83">
                  <c:v>28.19881665640394</c:v>
                </c:pt>
                <c:pt idx="84">
                  <c:v>28.36502633928571</c:v>
                </c:pt>
                <c:pt idx="85">
                  <c:v>28.52574779094827</c:v>
                </c:pt>
                <c:pt idx="86">
                  <c:v>28.68164846059113</c:v>
                </c:pt>
                <c:pt idx="87">
                  <c:v>28.83257844827586</c:v>
                </c:pt>
                <c:pt idx="88">
                  <c:v>28.97775827432266</c:v>
                </c:pt>
                <c:pt idx="89">
                  <c:v>29.11809049415024</c:v>
                </c:pt>
                <c:pt idx="90">
                  <c:v>29.25250718903941</c:v>
                </c:pt>
                <c:pt idx="91">
                  <c:v>29.37915054649014</c:v>
                </c:pt>
                <c:pt idx="92">
                  <c:v>29.49836233836207</c:v>
                </c:pt>
                <c:pt idx="93">
                  <c:v>29.60964047875616</c:v>
                </c:pt>
                <c:pt idx="94">
                  <c:v>29.71255262469212</c:v>
                </c:pt>
                <c:pt idx="95">
                  <c:v>29.80718966286945</c:v>
                </c:pt>
                <c:pt idx="96">
                  <c:v>29.89434685190886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F65"/>
              </a:solidFill>
            </a:ln>
          </c:spPr>
          <c:marker>
            <c:symbol val="circle"/>
            <c:size val="8"/>
            <c:spPr>
              <a:solidFill>
                <a:srgbClr val="67FF65"/>
              </a:solidFill>
              <a:ln>
                <a:solidFill>
                  <a:srgbClr val="67FF6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Metabolites!$I$4:$I$20</c:f>
                <c:numCache>
                  <c:formatCode>General</c:formatCode>
                  <c:ptCount val="17"/>
                  <c:pt idx="0">
                    <c:v>0.141113935506724</c:v>
                  </c:pt>
                  <c:pt idx="1">
                    <c:v>0.427830165909039</c:v>
                  </c:pt>
                  <c:pt idx="2">
                    <c:v>0.274423843073364</c:v>
                  </c:pt>
                  <c:pt idx="3">
                    <c:v>0.363314936850565</c:v>
                  </c:pt>
                  <c:pt idx="4">
                    <c:v>0.421128461982786</c:v>
                  </c:pt>
                  <c:pt idx="5">
                    <c:v>0.385857617691917</c:v>
                  </c:pt>
                  <c:pt idx="6">
                    <c:v>0.259114687935439</c:v>
                  </c:pt>
                  <c:pt idx="7">
                    <c:v>0.180111288837115</c:v>
                  </c:pt>
                  <c:pt idx="8">
                    <c:v>0.126976642354948</c:v>
                  </c:pt>
                  <c:pt idx="9">
                    <c:v>0.344939846704702</c:v>
                  </c:pt>
                  <c:pt idx="10">
                    <c:v>0.104967169313527</c:v>
                  </c:pt>
                  <c:pt idx="11">
                    <c:v>0.269513483393119</c:v>
                  </c:pt>
                  <c:pt idx="12">
                    <c:v>0.289688768279849</c:v>
                  </c:pt>
                  <c:pt idx="13">
                    <c:v>0.466517319681661</c:v>
                  </c:pt>
                  <c:pt idx="14">
                    <c:v>0.0864620488211397</c:v>
                  </c:pt>
                  <c:pt idx="15">
                    <c:v>0.202341525287392</c:v>
                  </c:pt>
                  <c:pt idx="16">
                    <c:v>0.439527103451861</c:v>
                  </c:pt>
                </c:numCache>
              </c:numRef>
            </c:plus>
            <c:minus>
              <c:numRef>
                <c:f>Metabolites!$I$4:$I$20</c:f>
                <c:numCache>
                  <c:formatCode>General</c:formatCode>
                  <c:ptCount val="17"/>
                  <c:pt idx="0">
                    <c:v>0.141113935506724</c:v>
                  </c:pt>
                  <c:pt idx="1">
                    <c:v>0.427830165909039</c:v>
                  </c:pt>
                  <c:pt idx="2">
                    <c:v>0.274423843073364</c:v>
                  </c:pt>
                  <c:pt idx="3">
                    <c:v>0.363314936850565</c:v>
                  </c:pt>
                  <c:pt idx="4">
                    <c:v>0.421128461982786</c:v>
                  </c:pt>
                  <c:pt idx="5">
                    <c:v>0.385857617691917</c:v>
                  </c:pt>
                  <c:pt idx="6">
                    <c:v>0.259114687935439</c:v>
                  </c:pt>
                  <c:pt idx="7">
                    <c:v>0.180111288837115</c:v>
                  </c:pt>
                  <c:pt idx="8">
                    <c:v>0.126976642354948</c:v>
                  </c:pt>
                  <c:pt idx="9">
                    <c:v>0.344939846704702</c:v>
                  </c:pt>
                  <c:pt idx="10">
                    <c:v>0.104967169313527</c:v>
                  </c:pt>
                  <c:pt idx="11">
                    <c:v>0.269513483393119</c:v>
                  </c:pt>
                  <c:pt idx="12">
                    <c:v>0.289688768279849</c:v>
                  </c:pt>
                  <c:pt idx="13">
                    <c:v>0.466517319681661</c:v>
                  </c:pt>
                  <c:pt idx="14">
                    <c:v>0.0864620488211397</c:v>
                  </c:pt>
                  <c:pt idx="15">
                    <c:v>0.202341525287392</c:v>
                  </c:pt>
                  <c:pt idx="16">
                    <c:v>0.439527103451861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24.16666666666667</c:v>
                </c:pt>
                <c:pt idx="16">
                  <c:v>30.16666666666667</c:v>
                </c:pt>
              </c:numCache>
            </c:numRef>
          </c:xVal>
          <c:yVal>
            <c:numRef>
              <c:f>Metabolites!$H$4:$H$20</c:f>
              <c:numCache>
                <c:formatCode>0</c:formatCode>
                <c:ptCount val="17"/>
                <c:pt idx="0">
                  <c:v>50.62537004144464</c:v>
                </c:pt>
                <c:pt idx="1">
                  <c:v>50.29973357015985</c:v>
                </c:pt>
                <c:pt idx="2">
                  <c:v>50.19242155121375</c:v>
                </c:pt>
                <c:pt idx="3">
                  <c:v>50.82889283599764</c:v>
                </c:pt>
                <c:pt idx="4">
                  <c:v>50.90660153937242</c:v>
                </c:pt>
                <c:pt idx="5">
                  <c:v>50.83869936489521</c:v>
                </c:pt>
                <c:pt idx="6">
                  <c:v>50.11623893332538</c:v>
                </c:pt>
                <c:pt idx="7">
                  <c:v>48.94387067050224</c:v>
                </c:pt>
                <c:pt idx="8">
                  <c:v>46.79044091631552</c:v>
                </c:pt>
                <c:pt idx="9">
                  <c:v>43.45811214245848</c:v>
                </c:pt>
                <c:pt idx="10">
                  <c:v>38.9661266281114</c:v>
                </c:pt>
                <c:pt idx="11">
                  <c:v>35.81696805045087</c:v>
                </c:pt>
                <c:pt idx="12">
                  <c:v>33.60477112296949</c:v>
                </c:pt>
                <c:pt idx="13">
                  <c:v>31.10386374902018</c:v>
                </c:pt>
                <c:pt idx="14">
                  <c:v>29.51408155028778</c:v>
                </c:pt>
                <c:pt idx="15">
                  <c:v>27.5834823941232</c:v>
                </c:pt>
                <c:pt idx="16">
                  <c:v>25.15343544523578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Metabolites!$J$24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BF0000"/>
              </a:solidFill>
            </a:ln>
          </c:spPr>
          <c:marker>
            <c:symbol val="triangle"/>
            <c:size val="8"/>
            <c:spPr>
              <a:solidFill>
                <a:srgbClr val="BF0000"/>
              </a:solidFill>
              <a:ln>
                <a:solidFill>
                  <a:srgbClr val="B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Metabolites!$M$27:$M$43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Metabolites!$M$27:$M$43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24.16666666666667</c:v>
                </c:pt>
                <c:pt idx="16">
                  <c:v>30.16666666666667</c:v>
                </c:pt>
              </c:numCache>
            </c:numRef>
          </c:xVal>
          <c:yVal>
            <c:numRef>
              <c:f>Metabolites!$L$27:$L$43</c:f>
              <c:numCache>
                <c:formatCode>0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10"/>
          <c:order val="7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0.0175136776477832</c:v>
                </c:pt>
                <c:pt idx="1">
                  <c:v>0.0746485914408867</c:v>
                </c:pt>
                <c:pt idx="2">
                  <c:v>0.161283813115764</c:v>
                </c:pt>
                <c:pt idx="3">
                  <c:v>0.264336707204434</c:v>
                </c:pt>
                <c:pt idx="4">
                  <c:v>0.380962015086207</c:v>
                </c:pt>
                <c:pt idx="5">
                  <c:v>0.501295374076355</c:v>
                </c:pt>
                <c:pt idx="6">
                  <c:v>0.634804779864532</c:v>
                </c:pt>
                <c:pt idx="7">
                  <c:v>0.786993611453202</c:v>
                </c:pt>
                <c:pt idx="8">
                  <c:v>0.955203432881773</c:v>
                </c:pt>
                <c:pt idx="9">
                  <c:v>1.139551008312808</c:v>
                </c:pt>
                <c:pt idx="10">
                  <c:v>1.327186915024631</c:v>
                </c:pt>
                <c:pt idx="11">
                  <c:v>1.52715942887931</c:v>
                </c:pt>
                <c:pt idx="12">
                  <c:v>1.737486083743843</c:v>
                </c:pt>
                <c:pt idx="13">
                  <c:v>1.970573229679803</c:v>
                </c:pt>
                <c:pt idx="14">
                  <c:v>2.230665401785715</c:v>
                </c:pt>
                <c:pt idx="15">
                  <c:v>2.513168719211823</c:v>
                </c:pt>
                <c:pt idx="16">
                  <c:v>2.828530418719212</c:v>
                </c:pt>
                <c:pt idx="17">
                  <c:v>3.176866948891626</c:v>
                </c:pt>
                <c:pt idx="18">
                  <c:v>3.559461137623153</c:v>
                </c:pt>
                <c:pt idx="19">
                  <c:v>3.953598883928572</c:v>
                </c:pt>
                <c:pt idx="20">
                  <c:v>4.396849530480296</c:v>
                </c:pt>
                <c:pt idx="21">
                  <c:v>4.915565170874384</c:v>
                </c:pt>
                <c:pt idx="22">
                  <c:v>5.492931450123152</c:v>
                </c:pt>
                <c:pt idx="23">
                  <c:v>6.147767911022167</c:v>
                </c:pt>
                <c:pt idx="24">
                  <c:v>6.855145404864531</c:v>
                </c:pt>
                <c:pt idx="25">
                  <c:v>7.609933251231527</c:v>
                </c:pt>
                <c:pt idx="26">
                  <c:v>8.3622258158867</c:v>
                </c:pt>
                <c:pt idx="27">
                  <c:v>9.084155280172414</c:v>
                </c:pt>
                <c:pt idx="28">
                  <c:v>9.809442818657636</c:v>
                </c:pt>
                <c:pt idx="29">
                  <c:v>10.51847615455665</c:v>
                </c:pt>
                <c:pt idx="30">
                  <c:v>11.2093662330665</c:v>
                </c:pt>
                <c:pt idx="31">
                  <c:v>11.88761674876847</c:v>
                </c:pt>
                <c:pt idx="32">
                  <c:v>12.60686442426108</c:v>
                </c:pt>
                <c:pt idx="33">
                  <c:v>13.33061288485222</c:v>
                </c:pt>
                <c:pt idx="34">
                  <c:v>14.01966061422414</c:v>
                </c:pt>
                <c:pt idx="35">
                  <c:v>14.69441293873153</c:v>
                </c:pt>
                <c:pt idx="36">
                  <c:v>15.34834021705665</c:v>
                </c:pt>
                <c:pt idx="37">
                  <c:v>15.96161999692118</c:v>
                </c:pt>
                <c:pt idx="38">
                  <c:v>16.54761483220443</c:v>
                </c:pt>
                <c:pt idx="39">
                  <c:v>17.10814371921182</c:v>
                </c:pt>
                <c:pt idx="40">
                  <c:v>17.62513345905172</c:v>
                </c:pt>
                <c:pt idx="41">
                  <c:v>18.2080501385468</c:v>
                </c:pt>
                <c:pt idx="42">
                  <c:v>18.8061483682266</c:v>
                </c:pt>
                <c:pt idx="43">
                  <c:v>19.32236841133005</c:v>
                </c:pt>
                <c:pt idx="44">
                  <c:v>19.81997877155172</c:v>
                </c:pt>
                <c:pt idx="45">
                  <c:v>20.31119960745074</c:v>
                </c:pt>
                <c:pt idx="46">
                  <c:v>20.77194057881773</c:v>
                </c:pt>
                <c:pt idx="47">
                  <c:v>21.21836279248769</c:v>
                </c:pt>
                <c:pt idx="48">
                  <c:v>21.6604707281404</c:v>
                </c:pt>
                <c:pt idx="49">
                  <c:v>22.09623552955665</c:v>
                </c:pt>
                <c:pt idx="50">
                  <c:v>22.50644128694582</c:v>
                </c:pt>
                <c:pt idx="51">
                  <c:v>22.89050481065271</c:v>
                </c:pt>
                <c:pt idx="52">
                  <c:v>23.28909695197045</c:v>
                </c:pt>
                <c:pt idx="53">
                  <c:v>23.68258176570197</c:v>
                </c:pt>
                <c:pt idx="54">
                  <c:v>24.06258757697044</c:v>
                </c:pt>
                <c:pt idx="55">
                  <c:v>24.44459920720443</c:v>
                </c:pt>
                <c:pt idx="56">
                  <c:v>24.81905493380542</c:v>
                </c:pt>
                <c:pt idx="57">
                  <c:v>25.19910745073891</c:v>
                </c:pt>
                <c:pt idx="58">
                  <c:v>25.57162741687192</c:v>
                </c:pt>
                <c:pt idx="59">
                  <c:v>25.93530896705665</c:v>
                </c:pt>
                <c:pt idx="60">
                  <c:v>26.30143909328818</c:v>
                </c:pt>
                <c:pt idx="61">
                  <c:v>26.64445875153941</c:v>
                </c:pt>
                <c:pt idx="62">
                  <c:v>26.982487846367</c:v>
                </c:pt>
                <c:pt idx="63">
                  <c:v>27.32543744612069</c:v>
                </c:pt>
                <c:pt idx="64">
                  <c:v>27.6706491148399</c:v>
                </c:pt>
                <c:pt idx="65">
                  <c:v>28.01534765240148</c:v>
                </c:pt>
                <c:pt idx="66">
                  <c:v>28.36090898245074</c:v>
                </c:pt>
                <c:pt idx="67">
                  <c:v>28.68611169181035</c:v>
                </c:pt>
                <c:pt idx="68">
                  <c:v>29.00445845135468</c:v>
                </c:pt>
                <c:pt idx="69">
                  <c:v>29.34328059575123</c:v>
                </c:pt>
                <c:pt idx="70">
                  <c:v>29.66318978602217</c:v>
                </c:pt>
                <c:pt idx="71">
                  <c:v>29.96609842980296</c:v>
                </c:pt>
                <c:pt idx="72">
                  <c:v>30.27439400400247</c:v>
                </c:pt>
                <c:pt idx="73">
                  <c:v>30.56081491687193</c:v>
                </c:pt>
                <c:pt idx="74">
                  <c:v>30.84450733528326</c:v>
                </c:pt>
                <c:pt idx="75">
                  <c:v>31.13561554033252</c:v>
                </c:pt>
                <c:pt idx="76">
                  <c:v>31.41674261853449</c:v>
                </c:pt>
                <c:pt idx="77">
                  <c:v>31.68476370843597</c:v>
                </c:pt>
                <c:pt idx="78">
                  <c:v>31.94581208435961</c:v>
                </c:pt>
                <c:pt idx="79">
                  <c:v>32.21723795412562</c:v>
                </c:pt>
                <c:pt idx="80">
                  <c:v>32.48584223368227</c:v>
                </c:pt>
                <c:pt idx="81">
                  <c:v>32.7481734375</c:v>
                </c:pt>
                <c:pt idx="82">
                  <c:v>33.01006125307882</c:v>
                </c:pt>
                <c:pt idx="83">
                  <c:v>33.26800812038177</c:v>
                </c:pt>
                <c:pt idx="84">
                  <c:v>33.50690223214286</c:v>
                </c:pt>
                <c:pt idx="85">
                  <c:v>33.74045580357143</c:v>
                </c:pt>
                <c:pt idx="86">
                  <c:v>33.96596400862069</c:v>
                </c:pt>
                <c:pt idx="87">
                  <c:v>34.17661728756158</c:v>
                </c:pt>
                <c:pt idx="88">
                  <c:v>34.3771029325739</c:v>
                </c:pt>
                <c:pt idx="89">
                  <c:v>34.56772389932267</c:v>
                </c:pt>
                <c:pt idx="90">
                  <c:v>34.74852689347291</c:v>
                </c:pt>
                <c:pt idx="91">
                  <c:v>34.91885898245074</c:v>
                </c:pt>
                <c:pt idx="92">
                  <c:v>35.09565096982759</c:v>
                </c:pt>
                <c:pt idx="93">
                  <c:v>35.26341803417487</c:v>
                </c:pt>
                <c:pt idx="94">
                  <c:v>35.39858296644088</c:v>
                </c:pt>
                <c:pt idx="95">
                  <c:v>35.51602436114532</c:v>
                </c:pt>
                <c:pt idx="96">
                  <c:v>35.62315832050492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92504"/>
        <c:axId val="-2089532456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9371.0</c:v>
                </c:pt>
                <c:pt idx="1">
                  <c:v>17248.0</c:v>
                </c:pt>
                <c:pt idx="2">
                  <c:v>24171.0</c:v>
                </c:pt>
                <c:pt idx="3">
                  <c:v>4588.0</c:v>
                </c:pt>
                <c:pt idx="4">
                  <c:v>7136.0</c:v>
                </c:pt>
                <c:pt idx="5">
                  <c:v>12356.0</c:v>
                </c:pt>
                <c:pt idx="6">
                  <c:v>24654.0</c:v>
                </c:pt>
                <c:pt idx="7">
                  <c:v>4179.0</c:v>
                </c:pt>
                <c:pt idx="8">
                  <c:v>7655.0</c:v>
                </c:pt>
                <c:pt idx="9">
                  <c:v>12853.0</c:v>
                </c:pt>
              </c:numCache>
            </c:numRef>
          </c:yVal>
          <c:smooth val="0"/>
        </c:ser>
        <c:ser>
          <c:idx val="5"/>
          <c:order val="8"/>
          <c:tx>
            <c:v>OD 600 nm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OD600nm!$J$4:$J$21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5.44133936696422E-17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0.0121203047854967</c:v>
                  </c:pt>
                  <c:pt idx="8">
                    <c:v>0.0224858946162552</c:v>
                  </c:pt>
                  <c:pt idx="9">
                    <c:v>0.117989434536883</c:v>
                  </c:pt>
                  <c:pt idx="10">
                    <c:v>0.0756461307294254</c:v>
                  </c:pt>
                  <c:pt idx="11">
                    <c:v>0.0562147365406378</c:v>
                  </c:pt>
                  <c:pt idx="12">
                    <c:v>0.0978043855322107</c:v>
                  </c:pt>
                  <c:pt idx="13">
                    <c:v>0.016007</c:v>
                  </c:pt>
                  <c:pt idx="14">
                    <c:v>0.112049</c:v>
                  </c:pt>
                  <c:pt idx="15">
                    <c:v>0.0554498745535101</c:v>
                  </c:pt>
                  <c:pt idx="16">
                    <c:v>0.00924164575891809</c:v>
                  </c:pt>
                  <c:pt idx="17">
                    <c:v>0.0462082287945917</c:v>
                  </c:pt>
                </c:numCache>
              </c:numRef>
            </c:plus>
            <c:minus>
              <c:numRef>
                <c:f>OD600nm!$J$4:$J$21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5.44133936696422E-17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0.0121203047854967</c:v>
                  </c:pt>
                  <c:pt idx="8">
                    <c:v>0.0224858946162552</c:v>
                  </c:pt>
                  <c:pt idx="9">
                    <c:v>0.117989434536883</c:v>
                  </c:pt>
                  <c:pt idx="10">
                    <c:v>0.0756461307294254</c:v>
                  </c:pt>
                  <c:pt idx="11">
                    <c:v>0.0562147365406378</c:v>
                  </c:pt>
                  <c:pt idx="12">
                    <c:v>0.0978043855322107</c:v>
                  </c:pt>
                  <c:pt idx="13">
                    <c:v>0.016007</c:v>
                  </c:pt>
                  <c:pt idx="14">
                    <c:v>0.112049</c:v>
                  </c:pt>
                  <c:pt idx="15">
                    <c:v>0.0554498745535101</c:v>
                  </c:pt>
                  <c:pt idx="16">
                    <c:v>0.00924164575891809</c:v>
                  </c:pt>
                  <c:pt idx="17">
                    <c:v>0.0462082287945917</c:v>
                  </c:pt>
                </c:numCache>
              </c:numRef>
            </c:minus>
          </c:errBars>
          <c:xVal>
            <c:numRef>
              <c:f>OD600nm!$D$4:$D$21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24.16666666666667</c:v>
                </c:pt>
                <c:pt idx="16">
                  <c:v>30.16666666666667</c:v>
                </c:pt>
                <c:pt idx="17">
                  <c:v>48.16666666666666</c:v>
                </c:pt>
              </c:numCache>
            </c:numRef>
          </c:xVal>
          <c:yVal>
            <c:numRef>
              <c:f>OD600nm!$I$4:$I$21</c:f>
              <c:numCache>
                <c:formatCode>0.000</c:formatCode>
                <c:ptCount val="18"/>
                <c:pt idx="0">
                  <c:v>0.1722805</c:v>
                </c:pt>
                <c:pt idx="1">
                  <c:v>0.1818847</c:v>
                </c:pt>
                <c:pt idx="2">
                  <c:v>0.1978917</c:v>
                </c:pt>
                <c:pt idx="3">
                  <c:v>0.228305</c:v>
                </c:pt>
                <c:pt idx="4">
                  <c:v>0.2699232</c:v>
                </c:pt>
                <c:pt idx="5">
                  <c:v>0.3467568</c:v>
                </c:pt>
                <c:pt idx="6">
                  <c:v>0.4716114</c:v>
                </c:pt>
                <c:pt idx="7">
                  <c:v>0.777817133333333</c:v>
                </c:pt>
                <c:pt idx="8">
                  <c:v>1.602588133333333</c:v>
                </c:pt>
                <c:pt idx="9">
                  <c:v>1.984252666666666</c:v>
                </c:pt>
                <c:pt idx="10">
                  <c:v>2.592518666666667</c:v>
                </c:pt>
                <c:pt idx="11">
                  <c:v>2.672553666666666</c:v>
                </c:pt>
                <c:pt idx="12">
                  <c:v>2.576511666666667</c:v>
                </c:pt>
                <c:pt idx="13">
                  <c:v>2.571176</c:v>
                </c:pt>
                <c:pt idx="14">
                  <c:v>2.60319</c:v>
                </c:pt>
                <c:pt idx="15">
                  <c:v>2.203015</c:v>
                </c:pt>
                <c:pt idx="16">
                  <c:v>2.128315666666666</c:v>
                </c:pt>
                <c:pt idx="17">
                  <c:v>1.568070666666667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915640"/>
        <c:axId val="-2089298008"/>
      </c:scatterChart>
      <c:valAx>
        <c:axId val="2117292504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089532456"/>
        <c:crosses val="autoZero"/>
        <c:crossBetween val="midCat"/>
        <c:majorUnit val="6.0"/>
      </c:valAx>
      <c:valAx>
        <c:axId val="-2089532456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17292504"/>
        <c:crosses val="autoZero"/>
        <c:crossBetween val="midCat"/>
      </c:valAx>
      <c:valAx>
        <c:axId val="-2089298008"/>
        <c:scaling>
          <c:orientation val="minMax"/>
          <c:max val="3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Cell growth (OD</a:t>
                </a:r>
                <a:r>
                  <a:rPr lang="nl-NL" sz="1050" baseline="0"/>
                  <a:t> 600 nm)</a:t>
                </a:r>
                <a:endParaRPr lang="nl-NL" sz="1050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-2089915640"/>
        <c:crosses val="max"/>
        <c:crossBetween val="midCat"/>
        <c:majorUnit val="1.0"/>
        <c:minorUnit val="0.2"/>
      </c:valAx>
      <c:valAx>
        <c:axId val="-2089915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089298008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 curve ethanol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 curve ethanol</c:v>
          </c:tx>
          <c:trendline>
            <c:trendlineType val="linear"/>
            <c:dispRSqr val="1"/>
            <c:dispEq val="1"/>
            <c:trendlineLbl>
              <c:layout>
                <c:manualLayout>
                  <c:x val="0.378022924349646"/>
                  <c:y val="0.139745781777278"/>
                </c:manualLayout>
              </c:layout>
              <c:numFmt formatCode="General" sourceLinked="0"/>
            </c:trendlineLbl>
          </c:trendline>
          <c:xVal>
            <c:numRef>
              <c:f>'calibration ethanol'!$E$2:$E$9</c:f>
              <c:numCache>
                <c:formatCode>General</c:formatCode>
                <c:ptCount val="8"/>
                <c:pt idx="0">
                  <c:v>0.777349685261558</c:v>
                </c:pt>
                <c:pt idx="1">
                  <c:v>1.554699370523117</c:v>
                </c:pt>
                <c:pt idx="2">
                  <c:v>3.109398741046233</c:v>
                </c:pt>
                <c:pt idx="3">
                  <c:v>6.218797482092467</c:v>
                </c:pt>
                <c:pt idx="4">
                  <c:v>12.43759496418494</c:v>
                </c:pt>
                <c:pt idx="5">
                  <c:v>24.87518992836987</c:v>
                </c:pt>
                <c:pt idx="6">
                  <c:v>49.75037985673974</c:v>
                </c:pt>
                <c:pt idx="7">
                  <c:v>99.50075971347948</c:v>
                </c:pt>
              </c:numCache>
            </c:numRef>
          </c:xVal>
          <c:yVal>
            <c:numRef>
              <c:f>'calibration ethanol'!$H$2:$H$9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813816"/>
        <c:axId val="-2108756424"/>
      </c:scatterChart>
      <c:valAx>
        <c:axId val="-2092813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Concentration</a:t>
                </a:r>
                <a:r>
                  <a:rPr lang="nl-BE" baseline="0"/>
                  <a:t> (mM)</a:t>
                </a:r>
                <a:endParaRPr lang="nl-B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08756424"/>
        <c:crosses val="autoZero"/>
        <c:crossBetween val="midCat"/>
      </c:valAx>
      <c:valAx>
        <c:axId val="-2108756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Area/IS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92813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 curve acetic acid</c:v>
          </c:tx>
          <c:trendline>
            <c:trendlineType val="linear"/>
            <c:dispRSqr val="1"/>
            <c:dispEq val="1"/>
            <c:trendlineLbl>
              <c:layout>
                <c:manualLayout>
                  <c:x val="-0.0450166450712648"/>
                  <c:y val="-0.0605769230769231"/>
                </c:manualLayout>
              </c:layout>
              <c:numFmt formatCode="General" sourceLinked="0"/>
            </c:trendlineLbl>
          </c:trendline>
          <c:xVal>
            <c:numRef>
              <c:f>'Calibration acetic acid'!$E$2:$E$9</c:f>
              <c:numCache>
                <c:formatCode>General</c:formatCode>
                <c:ptCount val="8"/>
                <c:pt idx="0">
                  <c:v>0.780209200666111</c:v>
                </c:pt>
                <c:pt idx="1">
                  <c:v>1.560418401332223</c:v>
                </c:pt>
                <c:pt idx="2">
                  <c:v>3.120836802664446</c:v>
                </c:pt>
                <c:pt idx="3">
                  <c:v>6.241673605328892</c:v>
                </c:pt>
                <c:pt idx="4">
                  <c:v>12.48334721065778</c:v>
                </c:pt>
                <c:pt idx="5">
                  <c:v>24.96669442131557</c:v>
                </c:pt>
                <c:pt idx="6">
                  <c:v>49.93338884263114</c:v>
                </c:pt>
                <c:pt idx="7">
                  <c:v>99.86677768526227</c:v>
                </c:pt>
              </c:numCache>
            </c:numRef>
          </c:xVal>
          <c:yVal>
            <c:numRef>
              <c:f>'Calibration acetic acid'!$H$2:$H$9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935512"/>
        <c:axId val="-2110381256"/>
      </c:scatterChart>
      <c:valAx>
        <c:axId val="-2109935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Concentration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10381256"/>
        <c:crosses val="autoZero"/>
        <c:crossBetween val="midCat"/>
      </c:valAx>
      <c:valAx>
        <c:axId val="-2110381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Area/IS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09935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Calibration</a:t>
            </a:r>
            <a:r>
              <a:rPr lang="nl-BE" baseline="0"/>
              <a:t> curve propionic acid</a:t>
            </a:r>
            <a:endParaRPr lang="nl-BE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 propionic acid'!$J$13</c:f>
              <c:strCache>
                <c:ptCount val="1"/>
              </c:strCache>
            </c:strRef>
          </c:tx>
          <c:spPr>
            <a:ln w="28575">
              <a:noFill/>
            </a:ln>
          </c:spPr>
          <c:yVal>
            <c:numRef>
              <c:f>'Calibration propionic acid'!$J$14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v>Calibration curve propionic acid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'Calibration propionic acid'!$E$2:$E$9</c:f>
              <c:numCache>
                <c:formatCode>General</c:formatCode>
                <c:ptCount val="8"/>
                <c:pt idx="0">
                  <c:v>0.415935475161987</c:v>
                </c:pt>
                <c:pt idx="1">
                  <c:v>0.831870950323974</c:v>
                </c:pt>
                <c:pt idx="2">
                  <c:v>1.663741900647948</c:v>
                </c:pt>
                <c:pt idx="3">
                  <c:v>3.327483801295896</c:v>
                </c:pt>
                <c:pt idx="4">
                  <c:v>6.654967602591792</c:v>
                </c:pt>
                <c:pt idx="5">
                  <c:v>13.30993520518359</c:v>
                </c:pt>
                <c:pt idx="6">
                  <c:v>26.61987041036717</c:v>
                </c:pt>
                <c:pt idx="7">
                  <c:v>53.23974082073434</c:v>
                </c:pt>
              </c:numCache>
            </c:numRef>
          </c:xVal>
          <c:yVal>
            <c:numRef>
              <c:f>'Calibration propionic acid'!$H$2:$H$9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436616"/>
        <c:axId val="-2075431224"/>
      </c:scatterChart>
      <c:valAx>
        <c:axId val="-2075436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Concentration</a:t>
                </a:r>
                <a:r>
                  <a:rPr lang="nl-BE" baseline="0"/>
                  <a:t> (mM)</a:t>
                </a:r>
                <a:endParaRPr lang="nl-BE"/>
              </a:p>
            </c:rich>
          </c:tx>
          <c:overlay val="0"/>
        </c:title>
        <c:majorTickMark val="none"/>
        <c:minorTickMark val="none"/>
        <c:tickLblPos val="nextTo"/>
        <c:crossAx val="-2075431224"/>
        <c:crosses val="autoZero"/>
        <c:crossBetween val="midCat"/>
      </c:valAx>
      <c:valAx>
        <c:axId val="-2075431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Area/IS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75436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Calibration</a:t>
            </a:r>
            <a:r>
              <a:rPr lang="nl-BE" baseline="0"/>
              <a:t> curve butyric acid</a:t>
            </a:r>
            <a:endParaRPr lang="nl-BE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 butyric acid'!$J$13</c:f>
              <c:strCache>
                <c:ptCount val="1"/>
              </c:strCache>
            </c:strRef>
          </c:tx>
          <c:spPr>
            <a:ln w="28575">
              <a:noFill/>
            </a:ln>
          </c:spPr>
          <c:yVal>
            <c:numRef>
              <c:f>'Calibration butyric acid'!$J$14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v>"Calibration curve butyric acid"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'Calibration butyric acid'!$E$2:$E$9</c:f>
              <c:numCache>
                <c:formatCode>General</c:formatCode>
                <c:ptCount val="8"/>
                <c:pt idx="0">
                  <c:v>0.772516243899671</c:v>
                </c:pt>
                <c:pt idx="1">
                  <c:v>1.545032487799342</c:v>
                </c:pt>
                <c:pt idx="2">
                  <c:v>3.090064975598684</c:v>
                </c:pt>
                <c:pt idx="3">
                  <c:v>6.180129951197367</c:v>
                </c:pt>
                <c:pt idx="4">
                  <c:v>12.36025990239473</c:v>
                </c:pt>
                <c:pt idx="5">
                  <c:v>24.72051980478947</c:v>
                </c:pt>
                <c:pt idx="6">
                  <c:v>49.44103960957894</c:v>
                </c:pt>
                <c:pt idx="7">
                  <c:v>98.88207921915787</c:v>
                </c:pt>
              </c:numCache>
            </c:numRef>
          </c:xVal>
          <c:yVal>
            <c:numRef>
              <c:f>'Calibration butyric acid'!$H$2:$H$9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060968"/>
        <c:axId val="-2110142344"/>
      </c:scatterChart>
      <c:valAx>
        <c:axId val="2071060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Concentration</a:t>
                </a:r>
                <a:r>
                  <a:rPr lang="nl-BE" baseline="0"/>
                  <a:t> (mM)</a:t>
                </a:r>
                <a:endParaRPr lang="nl-BE"/>
              </a:p>
            </c:rich>
          </c:tx>
          <c:overlay val="0"/>
        </c:title>
        <c:majorTickMark val="none"/>
        <c:minorTickMark val="none"/>
        <c:tickLblPos val="nextTo"/>
        <c:crossAx val="-2110142344"/>
        <c:crosses val="autoZero"/>
        <c:crossBetween val="midCat"/>
      </c:valAx>
      <c:valAx>
        <c:axId val="-2110142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Area/IS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71060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Calibration</a:t>
            </a:r>
            <a:r>
              <a:rPr lang="nl-BE" baseline="0"/>
              <a:t> curve isobutyric acid</a:t>
            </a:r>
            <a:endParaRPr lang="nl-BE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 isobutyric acid'!$J$13</c:f>
              <c:strCache>
                <c:ptCount val="1"/>
              </c:strCache>
            </c:strRef>
          </c:tx>
          <c:spPr>
            <a:ln w="28575">
              <a:noFill/>
            </a:ln>
          </c:spPr>
          <c:yVal>
            <c:numRef>
              <c:f>'Calibration isobutyric acid'!$J$14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v>"Calibration curve isobutyric acid"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'Calibration isobutyric acid'!$E$2:$E$9</c:f>
              <c:numCache>
                <c:formatCode>General</c:formatCode>
                <c:ptCount val="8"/>
                <c:pt idx="0">
                  <c:v>0.390580666212689</c:v>
                </c:pt>
                <c:pt idx="1">
                  <c:v>0.781161332425377</c:v>
                </c:pt>
                <c:pt idx="2">
                  <c:v>1.562322664850755</c:v>
                </c:pt>
                <c:pt idx="3">
                  <c:v>3.12464532970151</c:v>
                </c:pt>
                <c:pt idx="4">
                  <c:v>6.24929065940302</c:v>
                </c:pt>
                <c:pt idx="5">
                  <c:v>12.49858131880604</c:v>
                </c:pt>
                <c:pt idx="6">
                  <c:v>24.99716263761208</c:v>
                </c:pt>
                <c:pt idx="7">
                  <c:v>49.99432527522416</c:v>
                </c:pt>
              </c:numCache>
            </c:numRef>
          </c:xVal>
          <c:yVal>
            <c:numRef>
              <c:f>'Calibration isobutyric acid'!$H$2:$H$9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676520"/>
        <c:axId val="-2089392824"/>
      </c:scatterChart>
      <c:valAx>
        <c:axId val="-2110676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Concentration</a:t>
                </a:r>
                <a:r>
                  <a:rPr lang="nl-BE" baseline="0"/>
                  <a:t> (mM)</a:t>
                </a:r>
                <a:endParaRPr lang="nl-BE"/>
              </a:p>
            </c:rich>
          </c:tx>
          <c:overlay val="0"/>
        </c:title>
        <c:majorTickMark val="none"/>
        <c:minorTickMark val="none"/>
        <c:tickLblPos val="nextTo"/>
        <c:crossAx val="-2089392824"/>
        <c:crosses val="autoZero"/>
        <c:crossBetween val="midCat"/>
      </c:valAx>
      <c:valAx>
        <c:axId val="-2089392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Area/IS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10676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Calibration</a:t>
            </a:r>
            <a:r>
              <a:rPr lang="nl-BE" baseline="0"/>
              <a:t> curve isovaleric acid</a:t>
            </a:r>
            <a:endParaRPr lang="nl-BE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 isovaleric acid'!$J$13</c:f>
              <c:strCache>
                <c:ptCount val="1"/>
              </c:strCache>
            </c:strRef>
          </c:tx>
          <c:spPr>
            <a:ln w="28575">
              <a:noFill/>
            </a:ln>
          </c:spPr>
          <c:yVal>
            <c:numRef>
              <c:f>'Calibration isovaleric acid'!$J$14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v>"Calibration curve isovaleric acid"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'Calibration isovaleric acid'!$E$2:$E$9</c:f>
              <c:numCache>
                <c:formatCode>General</c:formatCode>
                <c:ptCount val="8"/>
                <c:pt idx="0">
                  <c:v>0.390548504357192</c:v>
                </c:pt>
                <c:pt idx="1">
                  <c:v>0.781097008714383</c:v>
                </c:pt>
                <c:pt idx="2">
                  <c:v>1.562194017428767</c:v>
                </c:pt>
                <c:pt idx="3">
                  <c:v>3.124388034857534</c:v>
                </c:pt>
                <c:pt idx="4">
                  <c:v>6.248776069715068</c:v>
                </c:pt>
                <c:pt idx="5">
                  <c:v>12.49755213943014</c:v>
                </c:pt>
                <c:pt idx="6">
                  <c:v>24.99510427886027</c:v>
                </c:pt>
                <c:pt idx="7">
                  <c:v>49.99020855772054</c:v>
                </c:pt>
              </c:numCache>
            </c:numRef>
          </c:xVal>
          <c:yVal>
            <c:numRef>
              <c:f>'Calibration isovaleric acid'!$H$2:$H$9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481768"/>
        <c:axId val="-2075829496"/>
      </c:scatterChart>
      <c:valAx>
        <c:axId val="-2075481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Concentration</a:t>
                </a:r>
                <a:r>
                  <a:rPr lang="nl-BE" baseline="0"/>
                  <a:t> (mM)</a:t>
                </a:r>
                <a:endParaRPr lang="nl-BE"/>
              </a:p>
            </c:rich>
          </c:tx>
          <c:overlay val="0"/>
        </c:title>
        <c:majorTickMark val="none"/>
        <c:minorTickMark val="none"/>
        <c:tickLblPos val="nextTo"/>
        <c:crossAx val="-2075829496"/>
        <c:crosses val="autoZero"/>
        <c:crossBetween val="midCat"/>
      </c:valAx>
      <c:valAx>
        <c:axId val="-2075829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Area/IS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75481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Calibration</a:t>
            </a:r>
            <a:r>
              <a:rPr lang="nl-BE" baseline="0"/>
              <a:t> curve 2-methylbutyric acid</a:t>
            </a:r>
            <a:endParaRPr lang="nl-BE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 2-methylbutyric a'!$J$13</c:f>
              <c:strCache>
                <c:ptCount val="1"/>
              </c:strCache>
            </c:strRef>
          </c:tx>
          <c:spPr>
            <a:ln w="28575">
              <a:noFill/>
            </a:ln>
          </c:spPr>
          <c:yVal>
            <c:numRef>
              <c:f>'Calibration 2-methylbutyric a'!$J$14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v>"Calibration curve 2-methylbutyric acid"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'Calibration 2-methylbutyric a'!$E$2:$E$9</c:f>
              <c:numCache>
                <c:formatCode>General</c:formatCode>
                <c:ptCount val="8"/>
                <c:pt idx="0">
                  <c:v>0.397624351316949</c:v>
                </c:pt>
                <c:pt idx="1">
                  <c:v>0.795248702633898</c:v>
                </c:pt>
                <c:pt idx="2">
                  <c:v>1.590497405267796</c:v>
                </c:pt>
                <c:pt idx="3">
                  <c:v>3.180994810535592</c:v>
                </c:pt>
                <c:pt idx="4">
                  <c:v>6.361989621071184</c:v>
                </c:pt>
                <c:pt idx="5">
                  <c:v>12.72397924214237</c:v>
                </c:pt>
                <c:pt idx="6">
                  <c:v>25.44795848428474</c:v>
                </c:pt>
                <c:pt idx="7">
                  <c:v>50.89591696856947</c:v>
                </c:pt>
              </c:numCache>
            </c:numRef>
          </c:xVal>
          <c:yVal>
            <c:numRef>
              <c:f>'Calibration 2-methylbutyric a'!$H$2:$H$9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283720"/>
        <c:axId val="-2089221256"/>
      </c:scatterChart>
      <c:valAx>
        <c:axId val="-2124283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Concentration</a:t>
                </a:r>
                <a:r>
                  <a:rPr lang="nl-BE" baseline="0"/>
                  <a:t> (mM)</a:t>
                </a:r>
                <a:endParaRPr lang="nl-BE"/>
              </a:p>
            </c:rich>
          </c:tx>
          <c:overlay val="0"/>
        </c:title>
        <c:majorTickMark val="none"/>
        <c:minorTickMark val="none"/>
        <c:tickLblPos val="nextTo"/>
        <c:crossAx val="-2089221256"/>
        <c:crosses val="autoZero"/>
        <c:crossBetween val="midCat"/>
      </c:valAx>
      <c:valAx>
        <c:axId val="-2089221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Area/IS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24283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751129469472"/>
          <c:y val="0.0449990116298224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Metabolites!$M$4:$M$21</c:f>
                <c:numCache>
                  <c:formatCode>General</c:formatCode>
                  <c:ptCount val="18"/>
                  <c:pt idx="0">
                    <c:v>0.0231090808111249</c:v>
                  </c:pt>
                  <c:pt idx="1">
                    <c:v>0.073915720675837</c:v>
                  </c:pt>
                  <c:pt idx="2">
                    <c:v>0.0169574293034186</c:v>
                  </c:pt>
                  <c:pt idx="3">
                    <c:v>0.077708703374778</c:v>
                  </c:pt>
                  <c:pt idx="4">
                    <c:v>0.02793751641234</c:v>
                  </c:pt>
                  <c:pt idx="5">
                    <c:v>0.0333295668913212</c:v>
                  </c:pt>
                  <c:pt idx="6">
                    <c:v>0.0449361858317902</c:v>
                  </c:pt>
                  <c:pt idx="7">
                    <c:v>0.0280522391484985</c:v>
                  </c:pt>
                  <c:pt idx="8">
                    <c:v>0.0232648256263192</c:v>
                  </c:pt>
                  <c:pt idx="9">
                    <c:v>0.0171334011659737</c:v>
                  </c:pt>
                  <c:pt idx="10">
                    <c:v>0.0514968204217895</c:v>
                  </c:pt>
                  <c:pt idx="11">
                    <c:v>0.00649430080465346</c:v>
                  </c:pt>
                  <c:pt idx="12">
                    <c:v>0.0425859782848397</c:v>
                  </c:pt>
                  <c:pt idx="13">
                    <c:v>0.0454601056325742</c:v>
                  </c:pt>
                  <c:pt idx="14">
                    <c:v>0.0234155345494651</c:v>
                  </c:pt>
                  <c:pt idx="15">
                    <c:v>0.0661401407622601</c:v>
                  </c:pt>
                  <c:pt idx="16">
                    <c:v>0.134775130541752</c:v>
                  </c:pt>
                  <c:pt idx="17">
                    <c:v>0.105545286851675</c:v>
                  </c:pt>
                </c:numCache>
              </c:numRef>
            </c:plus>
            <c:minus>
              <c:numRef>
                <c:f>Metabolites!$M$4:$M$21</c:f>
                <c:numCache>
                  <c:formatCode>General</c:formatCode>
                  <c:ptCount val="18"/>
                  <c:pt idx="0">
                    <c:v>0.0231090808111249</c:v>
                  </c:pt>
                  <c:pt idx="1">
                    <c:v>0.073915720675837</c:v>
                  </c:pt>
                  <c:pt idx="2">
                    <c:v>0.0169574293034186</c:v>
                  </c:pt>
                  <c:pt idx="3">
                    <c:v>0.077708703374778</c:v>
                  </c:pt>
                  <c:pt idx="4">
                    <c:v>0.02793751641234</c:v>
                  </c:pt>
                  <c:pt idx="5">
                    <c:v>0.0333295668913212</c:v>
                  </c:pt>
                  <c:pt idx="6">
                    <c:v>0.0449361858317902</c:v>
                  </c:pt>
                  <c:pt idx="7">
                    <c:v>0.0280522391484985</c:v>
                  </c:pt>
                  <c:pt idx="8">
                    <c:v>0.0232648256263192</c:v>
                  </c:pt>
                  <c:pt idx="9">
                    <c:v>0.0171334011659737</c:v>
                  </c:pt>
                  <c:pt idx="10">
                    <c:v>0.0514968204217895</c:v>
                  </c:pt>
                  <c:pt idx="11">
                    <c:v>0.00649430080465346</c:v>
                  </c:pt>
                  <c:pt idx="12">
                    <c:v>0.0425859782848397</c:v>
                  </c:pt>
                  <c:pt idx="13">
                    <c:v>0.0454601056325742</c:v>
                  </c:pt>
                  <c:pt idx="14">
                    <c:v>0.0234155345494651</c:v>
                  </c:pt>
                  <c:pt idx="15">
                    <c:v>0.0661401407622601</c:v>
                  </c:pt>
                  <c:pt idx="16">
                    <c:v>0.134775130541752</c:v>
                  </c:pt>
                  <c:pt idx="17">
                    <c:v>0.105545286851675</c:v>
                  </c:pt>
                </c:numCache>
              </c:numRef>
            </c:minus>
          </c:errBars>
          <c:xVal>
            <c:numRef>
              <c:f>Metabolites!$E$4:$E$21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24.16666666666667</c:v>
                </c:pt>
                <c:pt idx="16">
                  <c:v>30.16666666666667</c:v>
                </c:pt>
                <c:pt idx="17">
                  <c:v>48.16666666666666</c:v>
                </c:pt>
              </c:numCache>
            </c:numRef>
          </c:xVal>
          <c:yVal>
            <c:numRef>
              <c:f>Metabolites!$L$4:$L$21</c:f>
              <c:numCache>
                <c:formatCode>0</c:formatCode>
                <c:ptCount val="18"/>
                <c:pt idx="0">
                  <c:v>1.813203078744819</c:v>
                </c:pt>
                <c:pt idx="1">
                  <c:v>1.791000592066311</c:v>
                </c:pt>
                <c:pt idx="2">
                  <c:v>1.791000592066311</c:v>
                </c:pt>
                <c:pt idx="3">
                  <c:v>1.820603907637655</c:v>
                </c:pt>
                <c:pt idx="4">
                  <c:v>1.794701006512729</c:v>
                </c:pt>
                <c:pt idx="5">
                  <c:v>1.810906467761783</c:v>
                </c:pt>
                <c:pt idx="6">
                  <c:v>1.819780603184644</c:v>
                </c:pt>
                <c:pt idx="7">
                  <c:v>1.83551126295146</c:v>
                </c:pt>
                <c:pt idx="8">
                  <c:v>1.974437395354078</c:v>
                </c:pt>
                <c:pt idx="9">
                  <c:v>2.071303318873145</c:v>
                </c:pt>
                <c:pt idx="10">
                  <c:v>2.427305941361806</c:v>
                </c:pt>
                <c:pt idx="11">
                  <c:v>3.052081862660772</c:v>
                </c:pt>
                <c:pt idx="12">
                  <c:v>3.895716284157913</c:v>
                </c:pt>
                <c:pt idx="13">
                  <c:v>5.178040604833568</c:v>
                </c:pt>
                <c:pt idx="14">
                  <c:v>6.291638041209796</c:v>
                </c:pt>
                <c:pt idx="15">
                  <c:v>8.428181770950207</c:v>
                </c:pt>
                <c:pt idx="16">
                  <c:v>8.97069282075118</c:v>
                </c:pt>
                <c:pt idx="17">
                  <c:v>10.98060661559124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009"/>
              </a:solidFill>
            </a:ln>
          </c:spPr>
          <c:marker>
            <c:symbol val="circle"/>
            <c:size val="8"/>
            <c:spPr>
              <a:solidFill>
                <a:srgbClr val="FEC009"/>
              </a:solidFill>
              <a:ln>
                <a:solidFill>
                  <a:srgbClr val="FEC0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Metabolites!$Q$4:$Q$21</c:f>
                <c:numCache>
                  <c:formatCode>General</c:formatCode>
                  <c:ptCount val="18"/>
                  <c:pt idx="0">
                    <c:v>0.0584826741762572</c:v>
                  </c:pt>
                  <c:pt idx="1">
                    <c:v>0.176498618879652</c:v>
                  </c:pt>
                  <c:pt idx="2">
                    <c:v>0.067301446866401</c:v>
                  </c:pt>
                  <c:pt idx="3">
                    <c:v>0.0832639467110742</c:v>
                  </c:pt>
                  <c:pt idx="4">
                    <c:v>0.101294963035774</c:v>
                  </c:pt>
                  <c:pt idx="5">
                    <c:v>0.0999942509765266</c:v>
                  </c:pt>
                  <c:pt idx="6">
                    <c:v>0.167899856299182</c:v>
                  </c:pt>
                  <c:pt idx="7">
                    <c:v>0.100327034562966</c:v>
                  </c:pt>
                  <c:pt idx="8">
                    <c:v>0.167929401122881</c:v>
                  </c:pt>
                  <c:pt idx="9">
                    <c:v>0.217000234048021</c:v>
                  </c:pt>
                  <c:pt idx="10">
                    <c:v>0.160807696055803</c:v>
                  </c:pt>
                  <c:pt idx="11">
                    <c:v>0.420262803070072</c:v>
                  </c:pt>
                  <c:pt idx="12">
                    <c:v>0.240017060060075</c:v>
                  </c:pt>
                  <c:pt idx="13">
                    <c:v>0.338735658300362</c:v>
                  </c:pt>
                  <c:pt idx="14">
                    <c:v>0.108482231183175</c:v>
                  </c:pt>
                  <c:pt idx="15">
                    <c:v>0.220989845533711</c:v>
                  </c:pt>
                  <c:pt idx="16">
                    <c:v>0.6496978902464</c:v>
                  </c:pt>
                  <c:pt idx="17">
                    <c:v>0.493076319760593</c:v>
                  </c:pt>
                </c:numCache>
              </c:numRef>
            </c:plus>
            <c:minus>
              <c:numRef>
                <c:f>Metabolites!$Q$4:$Q$21</c:f>
                <c:numCache>
                  <c:formatCode>General</c:formatCode>
                  <c:ptCount val="18"/>
                  <c:pt idx="0">
                    <c:v>0.0584826741762572</c:v>
                  </c:pt>
                  <c:pt idx="1">
                    <c:v>0.176498618879652</c:v>
                  </c:pt>
                  <c:pt idx="2">
                    <c:v>0.067301446866401</c:v>
                  </c:pt>
                  <c:pt idx="3">
                    <c:v>0.0832639467110742</c:v>
                  </c:pt>
                  <c:pt idx="4">
                    <c:v>0.101294963035774</c:v>
                  </c:pt>
                  <c:pt idx="5">
                    <c:v>0.0999942509765266</c:v>
                  </c:pt>
                  <c:pt idx="6">
                    <c:v>0.167899856299182</c:v>
                  </c:pt>
                  <c:pt idx="7">
                    <c:v>0.100327034562966</c:v>
                  </c:pt>
                  <c:pt idx="8">
                    <c:v>0.167929401122881</c:v>
                  </c:pt>
                  <c:pt idx="9">
                    <c:v>0.217000234048021</c:v>
                  </c:pt>
                  <c:pt idx="10">
                    <c:v>0.160807696055803</c:v>
                  </c:pt>
                  <c:pt idx="11">
                    <c:v>0.420262803070072</c:v>
                  </c:pt>
                  <c:pt idx="12">
                    <c:v>0.240017060060075</c:v>
                  </c:pt>
                  <c:pt idx="13">
                    <c:v>0.338735658300362</c:v>
                  </c:pt>
                  <c:pt idx="14">
                    <c:v>0.108482231183175</c:v>
                  </c:pt>
                  <c:pt idx="15">
                    <c:v>0.220989845533711</c:v>
                  </c:pt>
                  <c:pt idx="16">
                    <c:v>0.6496978902464</c:v>
                  </c:pt>
                  <c:pt idx="17">
                    <c:v>0.493076319760593</c:v>
                  </c:pt>
                </c:numCache>
              </c:numRef>
            </c:minus>
          </c:errBars>
          <c:xVal>
            <c:numRef>
              <c:f>Metabolites!$E$4:$E$21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24.16666666666667</c:v>
                </c:pt>
                <c:pt idx="16">
                  <c:v>30.16666666666667</c:v>
                </c:pt>
                <c:pt idx="17">
                  <c:v>48.16666666666666</c:v>
                </c:pt>
              </c:numCache>
            </c:numRef>
          </c:xVal>
          <c:yVal>
            <c:numRef>
              <c:f>Metabolites!$P$4:$P$21</c:f>
              <c:numCache>
                <c:formatCode>0</c:formatCode>
                <c:ptCount val="18"/>
                <c:pt idx="0">
                  <c:v>0.793782958645573</c:v>
                </c:pt>
                <c:pt idx="1">
                  <c:v>0.888148764918124</c:v>
                </c:pt>
                <c:pt idx="2">
                  <c:v>1.054676658340272</c:v>
                </c:pt>
                <c:pt idx="3">
                  <c:v>1.298917568692756</c:v>
                </c:pt>
                <c:pt idx="4">
                  <c:v>1.51540383014155</c:v>
                </c:pt>
                <c:pt idx="5">
                  <c:v>2.116544979003145</c:v>
                </c:pt>
                <c:pt idx="6">
                  <c:v>3.207958330584037</c:v>
                </c:pt>
                <c:pt idx="7">
                  <c:v>5.534708073390289</c:v>
                </c:pt>
                <c:pt idx="8">
                  <c:v>9.785184306291622</c:v>
                </c:pt>
                <c:pt idx="9">
                  <c:v>16.13014174483752</c:v>
                </c:pt>
                <c:pt idx="10">
                  <c:v>22.47068351148447</c:v>
                </c:pt>
                <c:pt idx="11">
                  <c:v>27.29590074235238</c:v>
                </c:pt>
                <c:pt idx="12">
                  <c:v>28.99451232780272</c:v>
                </c:pt>
                <c:pt idx="13">
                  <c:v>30.102547037517</c:v>
                </c:pt>
                <c:pt idx="14">
                  <c:v>30.56375945475848</c:v>
                </c:pt>
                <c:pt idx="15">
                  <c:v>32.45406380160409</c:v>
                </c:pt>
                <c:pt idx="16">
                  <c:v>31.45295183900853</c:v>
                </c:pt>
                <c:pt idx="17">
                  <c:v>33.68204054391158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DE00FD"/>
              </a:solidFill>
            </a:ln>
          </c:spPr>
          <c:marker>
            <c:symbol val="triangle"/>
            <c:size val="8"/>
            <c:spPr>
              <a:solidFill>
                <a:srgbClr val="DE00FD"/>
              </a:solidFill>
              <a:ln>
                <a:solidFill>
                  <a:srgbClr val="DE00FD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Metabolites!$U$4:$U$21</c:f>
                <c:numCache>
                  <c:formatCode>General</c:formatCode>
                  <c:ptCount val="18"/>
                  <c:pt idx="0">
                    <c:v>0.989460127971629</c:v>
                  </c:pt>
                  <c:pt idx="1">
                    <c:v>1.562738193499968</c:v>
                  </c:pt>
                  <c:pt idx="2">
                    <c:v>0.316568802873403</c:v>
                  </c:pt>
                  <c:pt idx="3">
                    <c:v>1.220728945221551</c:v>
                  </c:pt>
                  <c:pt idx="4">
                    <c:v>0.952931227436949</c:v>
                  </c:pt>
                  <c:pt idx="5">
                    <c:v>0.359233758029042</c:v>
                  </c:pt>
                  <c:pt idx="6">
                    <c:v>0.401419476772008</c:v>
                  </c:pt>
                  <c:pt idx="7">
                    <c:v>0.335352271508621</c:v>
                  </c:pt>
                  <c:pt idx="8">
                    <c:v>0.36749990689955</c:v>
                  </c:pt>
                  <c:pt idx="9">
                    <c:v>0.282242756218951</c:v>
                  </c:pt>
                  <c:pt idx="10">
                    <c:v>0.126968954363163</c:v>
                  </c:pt>
                  <c:pt idx="11">
                    <c:v>0.197300562953572</c:v>
                  </c:pt>
                  <c:pt idx="12">
                    <c:v>0.311571007852979</c:v>
                  </c:pt>
                  <c:pt idx="13">
                    <c:v>0.684295857307408</c:v>
                  </c:pt>
                  <c:pt idx="14">
                    <c:v>0.241475683536399</c:v>
                  </c:pt>
                  <c:pt idx="15">
                    <c:v>0.0</c:v>
                  </c:pt>
                  <c:pt idx="16">
                    <c:v>0.191000800243717</c:v>
                  </c:pt>
                  <c:pt idx="17">
                    <c:v>0.0222298735592034</c:v>
                  </c:pt>
                </c:numCache>
              </c:numRef>
            </c:plus>
            <c:minus>
              <c:numRef>
                <c:f>Metabolites!$U$4:$U$21</c:f>
                <c:numCache>
                  <c:formatCode>General</c:formatCode>
                  <c:ptCount val="18"/>
                  <c:pt idx="0">
                    <c:v>0.989460127971629</c:v>
                  </c:pt>
                  <c:pt idx="1">
                    <c:v>1.562738193499968</c:v>
                  </c:pt>
                  <c:pt idx="2">
                    <c:v>0.316568802873403</c:v>
                  </c:pt>
                  <c:pt idx="3">
                    <c:v>1.220728945221551</c:v>
                  </c:pt>
                  <c:pt idx="4">
                    <c:v>0.952931227436949</c:v>
                  </c:pt>
                  <c:pt idx="5">
                    <c:v>0.359233758029042</c:v>
                  </c:pt>
                  <c:pt idx="6">
                    <c:v>0.401419476772008</c:v>
                  </c:pt>
                  <c:pt idx="7">
                    <c:v>0.335352271508621</c:v>
                  </c:pt>
                  <c:pt idx="8">
                    <c:v>0.36749990689955</c:v>
                  </c:pt>
                  <c:pt idx="9">
                    <c:v>0.282242756218951</c:v>
                  </c:pt>
                  <c:pt idx="10">
                    <c:v>0.126968954363163</c:v>
                  </c:pt>
                  <c:pt idx="11">
                    <c:v>0.197300562953572</c:v>
                  </c:pt>
                  <c:pt idx="12">
                    <c:v>0.311571007852979</c:v>
                  </c:pt>
                  <c:pt idx="13">
                    <c:v>0.684295857307408</c:v>
                  </c:pt>
                  <c:pt idx="14">
                    <c:v>0.241475683536399</c:v>
                  </c:pt>
                  <c:pt idx="15">
                    <c:v>0.0</c:v>
                  </c:pt>
                  <c:pt idx="16">
                    <c:v>0.191000800243717</c:v>
                  </c:pt>
                  <c:pt idx="17">
                    <c:v>0.0222298735592034</c:v>
                  </c:pt>
                </c:numCache>
              </c:numRef>
            </c:minus>
          </c:errBars>
          <c:xVal>
            <c:numRef>
              <c:f>Metabolites!$E$4:$E$21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24.16666666666667</c:v>
                </c:pt>
                <c:pt idx="16">
                  <c:v>30.16666666666667</c:v>
                </c:pt>
                <c:pt idx="17">
                  <c:v>48.16666666666666</c:v>
                </c:pt>
              </c:numCache>
            </c:numRef>
          </c:xVal>
          <c:yVal>
            <c:numRef>
              <c:f>Metabolites!$T$4:$T$21</c:f>
              <c:numCache>
                <c:formatCode>0</c:formatCode>
                <c:ptCount val="18"/>
                <c:pt idx="0">
                  <c:v>49.06944746180028</c:v>
                </c:pt>
                <c:pt idx="1">
                  <c:v>49.15634730972554</c:v>
                </c:pt>
                <c:pt idx="2">
                  <c:v>48.3307987544355</c:v>
                </c:pt>
                <c:pt idx="3">
                  <c:v>48.80150626403071</c:v>
                </c:pt>
                <c:pt idx="4">
                  <c:v>47.75146643493374</c:v>
                </c:pt>
                <c:pt idx="5">
                  <c:v>46.94058096492203</c:v>
                </c:pt>
                <c:pt idx="6">
                  <c:v>45.14342712991342</c:v>
                </c:pt>
                <c:pt idx="7">
                  <c:v>43.48291909204928</c:v>
                </c:pt>
                <c:pt idx="8">
                  <c:v>40.47663106604168</c:v>
                </c:pt>
                <c:pt idx="9">
                  <c:v>35.78648156387485</c:v>
                </c:pt>
                <c:pt idx="10">
                  <c:v>31.02291298366175</c:v>
                </c:pt>
                <c:pt idx="11">
                  <c:v>28.36015982628794</c:v>
                </c:pt>
                <c:pt idx="12">
                  <c:v>26.40099742690402</c:v>
                </c:pt>
                <c:pt idx="13">
                  <c:v>24.73534250308322</c:v>
                </c:pt>
                <c:pt idx="14">
                  <c:v>22.63676405280681</c:v>
                </c:pt>
                <c:pt idx="15">
                  <c:v>17.89285124455987</c:v>
                </c:pt>
                <c:pt idx="16">
                  <c:v>11.25460991108395</c:v>
                </c:pt>
                <c:pt idx="17">
                  <c:v>1.533861275585031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0.00686036791871921</c:v>
                </c:pt>
                <c:pt idx="1">
                  <c:v>0.0269185575738916</c:v>
                </c:pt>
                <c:pt idx="2">
                  <c:v>0.056015555726601</c:v>
                </c:pt>
                <c:pt idx="3">
                  <c:v>0.0901097444581281</c:v>
                </c:pt>
                <c:pt idx="4">
                  <c:v>0.128272059729064</c:v>
                </c:pt>
                <c:pt idx="5">
                  <c:v>0.169915209359606</c:v>
                </c:pt>
                <c:pt idx="6">
                  <c:v>0.215471851908867</c:v>
                </c:pt>
                <c:pt idx="7">
                  <c:v>0.266442249076355</c:v>
                </c:pt>
                <c:pt idx="8">
                  <c:v>0.325533120381773</c:v>
                </c:pt>
                <c:pt idx="9">
                  <c:v>0.395520612684729</c:v>
                </c:pt>
                <c:pt idx="10">
                  <c:v>0.476944050184729</c:v>
                </c:pt>
                <c:pt idx="11">
                  <c:v>0.569007858682266</c:v>
                </c:pt>
                <c:pt idx="12">
                  <c:v>0.673073445197044</c:v>
                </c:pt>
                <c:pt idx="13">
                  <c:v>0.789941433189655</c:v>
                </c:pt>
                <c:pt idx="14">
                  <c:v>0.920594219519705</c:v>
                </c:pt>
                <c:pt idx="15">
                  <c:v>1.066078579125616</c:v>
                </c:pt>
                <c:pt idx="16">
                  <c:v>1.229357481527094</c:v>
                </c:pt>
                <c:pt idx="17">
                  <c:v>1.417285929802956</c:v>
                </c:pt>
                <c:pt idx="18">
                  <c:v>1.636825908251232</c:v>
                </c:pt>
                <c:pt idx="19">
                  <c:v>1.89531841133005</c:v>
                </c:pt>
                <c:pt idx="20">
                  <c:v>2.198422398399015</c:v>
                </c:pt>
                <c:pt idx="21">
                  <c:v>2.554119488916256</c:v>
                </c:pt>
                <c:pt idx="22">
                  <c:v>2.972468442118227</c:v>
                </c:pt>
                <c:pt idx="23">
                  <c:v>3.462144835283252</c:v>
                </c:pt>
                <c:pt idx="24">
                  <c:v>4.02606366995074</c:v>
                </c:pt>
                <c:pt idx="25">
                  <c:v>4.660012600061576</c:v>
                </c:pt>
                <c:pt idx="26">
                  <c:v>5.360804279556651</c:v>
                </c:pt>
                <c:pt idx="27">
                  <c:v>6.120846828817735</c:v>
                </c:pt>
                <c:pt idx="28">
                  <c:v>6.927823206588671</c:v>
                </c:pt>
                <c:pt idx="29">
                  <c:v>7.763816425492611</c:v>
                </c:pt>
                <c:pt idx="30">
                  <c:v>8.607962307573892</c:v>
                </c:pt>
                <c:pt idx="31">
                  <c:v>9.462636214593596</c:v>
                </c:pt>
                <c:pt idx="32">
                  <c:v>10.31812147475369</c:v>
                </c:pt>
                <c:pt idx="33">
                  <c:v>11.16161568657635</c:v>
                </c:pt>
                <c:pt idx="34">
                  <c:v>11.9996270320197</c:v>
                </c:pt>
                <c:pt idx="35">
                  <c:v>12.81424893780788</c:v>
                </c:pt>
                <c:pt idx="36">
                  <c:v>13.58847139008621</c:v>
                </c:pt>
                <c:pt idx="37">
                  <c:v>14.31988652247537</c:v>
                </c:pt>
                <c:pt idx="38">
                  <c:v>14.99940250923645</c:v>
                </c:pt>
                <c:pt idx="39">
                  <c:v>15.6340561268473</c:v>
                </c:pt>
                <c:pt idx="40">
                  <c:v>16.22448800030788</c:v>
                </c:pt>
                <c:pt idx="41">
                  <c:v>16.7649586976601</c:v>
                </c:pt>
                <c:pt idx="42">
                  <c:v>17.26515270166256</c:v>
                </c:pt>
                <c:pt idx="43">
                  <c:v>17.72590282481527</c:v>
                </c:pt>
                <c:pt idx="44">
                  <c:v>18.14949448891626</c:v>
                </c:pt>
                <c:pt idx="45">
                  <c:v>18.54490780480296</c:v>
                </c:pt>
                <c:pt idx="46">
                  <c:v>18.91928053417488</c:v>
                </c:pt>
                <c:pt idx="47">
                  <c:v>19.27421423953202</c:v>
                </c:pt>
                <c:pt idx="48">
                  <c:v>19.61435392549261</c:v>
                </c:pt>
                <c:pt idx="49">
                  <c:v>19.94706204587439</c:v>
                </c:pt>
                <c:pt idx="50">
                  <c:v>20.26851599445813</c:v>
                </c:pt>
                <c:pt idx="51">
                  <c:v>20.5729974830665</c:v>
                </c:pt>
                <c:pt idx="52">
                  <c:v>20.86192125153941</c:v>
                </c:pt>
                <c:pt idx="53">
                  <c:v>21.18654613608375</c:v>
                </c:pt>
                <c:pt idx="54">
                  <c:v>21.5459484375</c:v>
                </c:pt>
                <c:pt idx="55">
                  <c:v>21.87711337746305</c:v>
                </c:pt>
                <c:pt idx="56">
                  <c:v>22.1757967364532</c:v>
                </c:pt>
                <c:pt idx="57">
                  <c:v>22.45441117610837</c:v>
                </c:pt>
                <c:pt idx="58">
                  <c:v>22.7214561807266</c:v>
                </c:pt>
                <c:pt idx="59">
                  <c:v>22.97897670104679</c:v>
                </c:pt>
                <c:pt idx="60">
                  <c:v>23.23191659482758</c:v>
                </c:pt>
                <c:pt idx="61">
                  <c:v>23.50433811576354</c:v>
                </c:pt>
                <c:pt idx="62">
                  <c:v>23.78707433035714</c:v>
                </c:pt>
                <c:pt idx="63">
                  <c:v>24.05250735837438</c:v>
                </c:pt>
                <c:pt idx="64">
                  <c:v>24.30266037561576</c:v>
                </c:pt>
                <c:pt idx="65">
                  <c:v>24.5426</c:v>
                </c:pt>
                <c:pt idx="66">
                  <c:v>24.77614378848522</c:v>
                </c:pt>
                <c:pt idx="67">
                  <c:v>25.00615845905172</c:v>
                </c:pt>
                <c:pt idx="68">
                  <c:v>25.23276172259852</c:v>
                </c:pt>
                <c:pt idx="69">
                  <c:v>25.4550191502463</c:v>
                </c:pt>
                <c:pt idx="70">
                  <c:v>25.67465506465517</c:v>
                </c:pt>
                <c:pt idx="71">
                  <c:v>25.89290842826355</c:v>
                </c:pt>
                <c:pt idx="72">
                  <c:v>26.1072056958128</c:v>
                </c:pt>
                <c:pt idx="73">
                  <c:v>26.31716785714286</c:v>
                </c:pt>
                <c:pt idx="74">
                  <c:v>26.52353683805418</c:v>
                </c:pt>
                <c:pt idx="75">
                  <c:v>26.72473758466748</c:v>
                </c:pt>
                <c:pt idx="76">
                  <c:v>26.92146437038177</c:v>
                </c:pt>
                <c:pt idx="77">
                  <c:v>27.11590604987684</c:v>
                </c:pt>
                <c:pt idx="78">
                  <c:v>27.3064342364532</c:v>
                </c:pt>
                <c:pt idx="79">
                  <c:v>27.49203465979064</c:v>
                </c:pt>
                <c:pt idx="80">
                  <c:v>27.67484315732758</c:v>
                </c:pt>
                <c:pt idx="81">
                  <c:v>27.85389847598522</c:v>
                </c:pt>
                <c:pt idx="82">
                  <c:v>28.02834097906404</c:v>
                </c:pt>
                <c:pt idx="83">
                  <c:v>28.19881665640394</c:v>
                </c:pt>
                <c:pt idx="84">
                  <c:v>28.36502633928571</c:v>
                </c:pt>
                <c:pt idx="85">
                  <c:v>28.52574779094827</c:v>
                </c:pt>
                <c:pt idx="86">
                  <c:v>28.68164846059113</c:v>
                </c:pt>
                <c:pt idx="87">
                  <c:v>28.83257844827586</c:v>
                </c:pt>
                <c:pt idx="88">
                  <c:v>28.97775827432266</c:v>
                </c:pt>
                <c:pt idx="89">
                  <c:v>29.11809049415024</c:v>
                </c:pt>
                <c:pt idx="90">
                  <c:v>29.25250718903941</c:v>
                </c:pt>
                <c:pt idx="91">
                  <c:v>29.37915054649014</c:v>
                </c:pt>
                <c:pt idx="92">
                  <c:v>29.49836233836207</c:v>
                </c:pt>
                <c:pt idx="93">
                  <c:v>29.60964047875616</c:v>
                </c:pt>
                <c:pt idx="94">
                  <c:v>29.71255262469212</c:v>
                </c:pt>
                <c:pt idx="95">
                  <c:v>29.80718966286945</c:v>
                </c:pt>
                <c:pt idx="96">
                  <c:v>29.89434685190886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F65"/>
              </a:solidFill>
            </a:ln>
          </c:spPr>
          <c:marker>
            <c:symbol val="circle"/>
            <c:size val="8"/>
            <c:spPr>
              <a:solidFill>
                <a:srgbClr val="67FF65"/>
              </a:solidFill>
              <a:ln>
                <a:solidFill>
                  <a:srgbClr val="67FF6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Metabolites!$I$4:$I$21</c:f>
                <c:numCache>
                  <c:formatCode>General</c:formatCode>
                  <c:ptCount val="18"/>
                  <c:pt idx="0">
                    <c:v>0.141113935506724</c:v>
                  </c:pt>
                  <c:pt idx="1">
                    <c:v>0.427830165909039</c:v>
                  </c:pt>
                  <c:pt idx="2">
                    <c:v>0.274423843073364</c:v>
                  </c:pt>
                  <c:pt idx="3">
                    <c:v>0.363314936850565</c:v>
                  </c:pt>
                  <c:pt idx="4">
                    <c:v>0.421128461982786</c:v>
                  </c:pt>
                  <c:pt idx="5">
                    <c:v>0.385857617691917</c:v>
                  </c:pt>
                  <c:pt idx="6">
                    <c:v>0.259114687935439</c:v>
                  </c:pt>
                  <c:pt idx="7">
                    <c:v>0.180111288837115</c:v>
                  </c:pt>
                  <c:pt idx="8">
                    <c:v>0.126976642354948</c:v>
                  </c:pt>
                  <c:pt idx="9">
                    <c:v>0.344939846704702</c:v>
                  </c:pt>
                  <c:pt idx="10">
                    <c:v>0.104967169313527</c:v>
                  </c:pt>
                  <c:pt idx="11">
                    <c:v>0.269513483393119</c:v>
                  </c:pt>
                  <c:pt idx="12">
                    <c:v>0.289688768279849</c:v>
                  </c:pt>
                  <c:pt idx="13">
                    <c:v>0.466517319681661</c:v>
                  </c:pt>
                  <c:pt idx="14">
                    <c:v>0.0864620488211397</c:v>
                  </c:pt>
                  <c:pt idx="15">
                    <c:v>0.202341525287392</c:v>
                  </c:pt>
                  <c:pt idx="16">
                    <c:v>0.439527103451861</c:v>
                  </c:pt>
                  <c:pt idx="17">
                    <c:v>0.162540482678546</c:v>
                  </c:pt>
                </c:numCache>
              </c:numRef>
            </c:plus>
            <c:minus>
              <c:numRef>
                <c:f>Metabolites!$I$4:$I$21</c:f>
                <c:numCache>
                  <c:formatCode>General</c:formatCode>
                  <c:ptCount val="18"/>
                  <c:pt idx="0">
                    <c:v>0.141113935506724</c:v>
                  </c:pt>
                  <c:pt idx="1">
                    <c:v>0.427830165909039</c:v>
                  </c:pt>
                  <c:pt idx="2">
                    <c:v>0.274423843073364</c:v>
                  </c:pt>
                  <c:pt idx="3">
                    <c:v>0.363314936850565</c:v>
                  </c:pt>
                  <c:pt idx="4">
                    <c:v>0.421128461982786</c:v>
                  </c:pt>
                  <c:pt idx="5">
                    <c:v>0.385857617691917</c:v>
                  </c:pt>
                  <c:pt idx="6">
                    <c:v>0.259114687935439</c:v>
                  </c:pt>
                  <c:pt idx="7">
                    <c:v>0.180111288837115</c:v>
                  </c:pt>
                  <c:pt idx="8">
                    <c:v>0.126976642354948</c:v>
                  </c:pt>
                  <c:pt idx="9">
                    <c:v>0.344939846704702</c:v>
                  </c:pt>
                  <c:pt idx="10">
                    <c:v>0.104967169313527</c:v>
                  </c:pt>
                  <c:pt idx="11">
                    <c:v>0.269513483393119</c:v>
                  </c:pt>
                  <c:pt idx="12">
                    <c:v>0.289688768279849</c:v>
                  </c:pt>
                  <c:pt idx="13">
                    <c:v>0.466517319681661</c:v>
                  </c:pt>
                  <c:pt idx="14">
                    <c:v>0.0864620488211397</c:v>
                  </c:pt>
                  <c:pt idx="15">
                    <c:v>0.202341525287392</c:v>
                  </c:pt>
                  <c:pt idx="16">
                    <c:v>0.439527103451861</c:v>
                  </c:pt>
                  <c:pt idx="17">
                    <c:v>0.162540482678546</c:v>
                  </c:pt>
                </c:numCache>
              </c:numRef>
            </c:minus>
          </c:errBars>
          <c:xVal>
            <c:numRef>
              <c:f>Metabolites!$E$4:$E$21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24.16666666666667</c:v>
                </c:pt>
                <c:pt idx="16">
                  <c:v>30.16666666666667</c:v>
                </c:pt>
                <c:pt idx="17">
                  <c:v>48.16666666666666</c:v>
                </c:pt>
              </c:numCache>
            </c:numRef>
          </c:xVal>
          <c:yVal>
            <c:numRef>
              <c:f>Metabolites!$H$4:$H$21</c:f>
              <c:numCache>
                <c:formatCode>0</c:formatCode>
                <c:ptCount val="18"/>
                <c:pt idx="0">
                  <c:v>50.62537004144464</c:v>
                </c:pt>
                <c:pt idx="1">
                  <c:v>50.29973357015985</c:v>
                </c:pt>
                <c:pt idx="2">
                  <c:v>50.19242155121375</c:v>
                </c:pt>
                <c:pt idx="3">
                  <c:v>50.82889283599764</c:v>
                </c:pt>
                <c:pt idx="4">
                  <c:v>50.90660153937242</c:v>
                </c:pt>
                <c:pt idx="5">
                  <c:v>50.83869936489521</c:v>
                </c:pt>
                <c:pt idx="6">
                  <c:v>50.11623893332538</c:v>
                </c:pt>
                <c:pt idx="7">
                  <c:v>48.94387067050224</c:v>
                </c:pt>
                <c:pt idx="8">
                  <c:v>46.79044091631552</c:v>
                </c:pt>
                <c:pt idx="9">
                  <c:v>43.45811214245848</c:v>
                </c:pt>
                <c:pt idx="10">
                  <c:v>38.9661266281114</c:v>
                </c:pt>
                <c:pt idx="11">
                  <c:v>35.81696805045087</c:v>
                </c:pt>
                <c:pt idx="12">
                  <c:v>33.60477112296949</c:v>
                </c:pt>
                <c:pt idx="13">
                  <c:v>31.10386374902018</c:v>
                </c:pt>
                <c:pt idx="14">
                  <c:v>29.51408155028778</c:v>
                </c:pt>
                <c:pt idx="15">
                  <c:v>27.5834823941232</c:v>
                </c:pt>
                <c:pt idx="16">
                  <c:v>25.15343544523578</c:v>
                </c:pt>
                <c:pt idx="17">
                  <c:v>24.3939855589471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Metabolites!$J$24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BF0000"/>
              </a:solidFill>
            </a:ln>
          </c:spPr>
          <c:marker>
            <c:symbol val="triangle"/>
            <c:size val="8"/>
            <c:spPr>
              <a:solidFill>
                <a:srgbClr val="BF0000"/>
              </a:solidFill>
              <a:ln>
                <a:solidFill>
                  <a:srgbClr val="B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Metabolites!$M$27:$M$44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  <c:pt idx="17">
                    <c:v>0.0</c:v>
                  </c:pt>
                </c:numCache>
              </c:numRef>
            </c:plus>
            <c:minus>
              <c:numRef>
                <c:f>Metabolites!$M$27:$M$44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  <c:pt idx="17">
                    <c:v>0.0</c:v>
                  </c:pt>
                </c:numCache>
              </c:numRef>
            </c:minus>
          </c:errBars>
          <c:xVal>
            <c:numRef>
              <c:f>Metabolites!$E$27:$E$44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24.16666666666667</c:v>
                </c:pt>
                <c:pt idx="16">
                  <c:v>30.16666666666667</c:v>
                </c:pt>
                <c:pt idx="17">
                  <c:v>48.16666666666666</c:v>
                </c:pt>
              </c:numCache>
            </c:numRef>
          </c:xVal>
          <c:yVal>
            <c:numRef>
              <c:f>Metabolites!$L$27:$L$44</c:f>
              <c:numCache>
                <c:formatCode>0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yVal>
          <c:smooth val="0"/>
        </c:ser>
        <c:ser>
          <c:idx val="10"/>
          <c:order val="8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0.0175136776477832</c:v>
                </c:pt>
                <c:pt idx="1">
                  <c:v>0.0746485914408867</c:v>
                </c:pt>
                <c:pt idx="2">
                  <c:v>0.161283813115764</c:v>
                </c:pt>
                <c:pt idx="3">
                  <c:v>0.264336707204434</c:v>
                </c:pt>
                <c:pt idx="4">
                  <c:v>0.380962015086207</c:v>
                </c:pt>
                <c:pt idx="5">
                  <c:v>0.501295374076355</c:v>
                </c:pt>
                <c:pt idx="6">
                  <c:v>0.634804779864532</c:v>
                </c:pt>
                <c:pt idx="7">
                  <c:v>0.786993611453202</c:v>
                </c:pt>
                <c:pt idx="8">
                  <c:v>0.955203432881773</c:v>
                </c:pt>
                <c:pt idx="9">
                  <c:v>1.139551008312808</c:v>
                </c:pt>
                <c:pt idx="10">
                  <c:v>1.327186915024631</c:v>
                </c:pt>
                <c:pt idx="11">
                  <c:v>1.52715942887931</c:v>
                </c:pt>
                <c:pt idx="12">
                  <c:v>1.737486083743843</c:v>
                </c:pt>
                <c:pt idx="13">
                  <c:v>1.970573229679803</c:v>
                </c:pt>
                <c:pt idx="14">
                  <c:v>2.230665401785715</c:v>
                </c:pt>
                <c:pt idx="15">
                  <c:v>2.513168719211823</c:v>
                </c:pt>
                <c:pt idx="16">
                  <c:v>2.828530418719212</c:v>
                </c:pt>
                <c:pt idx="17">
                  <c:v>3.176866948891626</c:v>
                </c:pt>
                <c:pt idx="18">
                  <c:v>3.559461137623153</c:v>
                </c:pt>
                <c:pt idx="19">
                  <c:v>3.953598883928572</c:v>
                </c:pt>
                <c:pt idx="20">
                  <c:v>4.396849530480296</c:v>
                </c:pt>
                <c:pt idx="21">
                  <c:v>4.915565170874384</c:v>
                </c:pt>
                <c:pt idx="22">
                  <c:v>5.492931450123152</c:v>
                </c:pt>
                <c:pt idx="23">
                  <c:v>6.147767911022167</c:v>
                </c:pt>
                <c:pt idx="24">
                  <c:v>6.855145404864531</c:v>
                </c:pt>
                <c:pt idx="25">
                  <c:v>7.609933251231527</c:v>
                </c:pt>
                <c:pt idx="26">
                  <c:v>8.3622258158867</c:v>
                </c:pt>
                <c:pt idx="27">
                  <c:v>9.084155280172414</c:v>
                </c:pt>
                <c:pt idx="28">
                  <c:v>9.809442818657636</c:v>
                </c:pt>
                <c:pt idx="29">
                  <c:v>10.51847615455665</c:v>
                </c:pt>
                <c:pt idx="30">
                  <c:v>11.2093662330665</c:v>
                </c:pt>
                <c:pt idx="31">
                  <c:v>11.88761674876847</c:v>
                </c:pt>
                <c:pt idx="32">
                  <c:v>12.60686442426108</c:v>
                </c:pt>
                <c:pt idx="33">
                  <c:v>13.33061288485222</c:v>
                </c:pt>
                <c:pt idx="34">
                  <c:v>14.01966061422414</c:v>
                </c:pt>
                <c:pt idx="35">
                  <c:v>14.69441293873153</c:v>
                </c:pt>
                <c:pt idx="36">
                  <c:v>15.34834021705665</c:v>
                </c:pt>
                <c:pt idx="37">
                  <c:v>15.96161999692118</c:v>
                </c:pt>
                <c:pt idx="38">
                  <c:v>16.54761483220443</c:v>
                </c:pt>
                <c:pt idx="39">
                  <c:v>17.10814371921182</c:v>
                </c:pt>
                <c:pt idx="40">
                  <c:v>17.62513345905172</c:v>
                </c:pt>
                <c:pt idx="41">
                  <c:v>18.2080501385468</c:v>
                </c:pt>
                <c:pt idx="42">
                  <c:v>18.8061483682266</c:v>
                </c:pt>
                <c:pt idx="43">
                  <c:v>19.32236841133005</c:v>
                </c:pt>
                <c:pt idx="44">
                  <c:v>19.81997877155172</c:v>
                </c:pt>
                <c:pt idx="45">
                  <c:v>20.31119960745074</c:v>
                </c:pt>
                <c:pt idx="46">
                  <c:v>20.77194057881773</c:v>
                </c:pt>
                <c:pt idx="47">
                  <c:v>21.21836279248769</c:v>
                </c:pt>
                <c:pt idx="48">
                  <c:v>21.6604707281404</c:v>
                </c:pt>
                <c:pt idx="49">
                  <c:v>22.09623552955665</c:v>
                </c:pt>
                <c:pt idx="50">
                  <c:v>22.50644128694582</c:v>
                </c:pt>
                <c:pt idx="51">
                  <c:v>22.89050481065271</c:v>
                </c:pt>
                <c:pt idx="52">
                  <c:v>23.28909695197045</c:v>
                </c:pt>
                <c:pt idx="53">
                  <c:v>23.68258176570197</c:v>
                </c:pt>
                <c:pt idx="54">
                  <c:v>24.06258757697044</c:v>
                </c:pt>
                <c:pt idx="55">
                  <c:v>24.44459920720443</c:v>
                </c:pt>
                <c:pt idx="56">
                  <c:v>24.81905493380542</c:v>
                </c:pt>
                <c:pt idx="57">
                  <c:v>25.19910745073891</c:v>
                </c:pt>
                <c:pt idx="58">
                  <c:v>25.57162741687192</c:v>
                </c:pt>
                <c:pt idx="59">
                  <c:v>25.93530896705665</c:v>
                </c:pt>
                <c:pt idx="60">
                  <c:v>26.30143909328818</c:v>
                </c:pt>
                <c:pt idx="61">
                  <c:v>26.64445875153941</c:v>
                </c:pt>
                <c:pt idx="62">
                  <c:v>26.982487846367</c:v>
                </c:pt>
                <c:pt idx="63">
                  <c:v>27.32543744612069</c:v>
                </c:pt>
                <c:pt idx="64">
                  <c:v>27.6706491148399</c:v>
                </c:pt>
                <c:pt idx="65">
                  <c:v>28.01534765240148</c:v>
                </c:pt>
                <c:pt idx="66">
                  <c:v>28.36090898245074</c:v>
                </c:pt>
                <c:pt idx="67">
                  <c:v>28.68611169181035</c:v>
                </c:pt>
                <c:pt idx="68">
                  <c:v>29.00445845135468</c:v>
                </c:pt>
                <c:pt idx="69">
                  <c:v>29.34328059575123</c:v>
                </c:pt>
                <c:pt idx="70">
                  <c:v>29.66318978602217</c:v>
                </c:pt>
                <c:pt idx="71">
                  <c:v>29.96609842980296</c:v>
                </c:pt>
                <c:pt idx="72">
                  <c:v>30.27439400400247</c:v>
                </c:pt>
                <c:pt idx="73">
                  <c:v>30.56081491687193</c:v>
                </c:pt>
                <c:pt idx="74">
                  <c:v>30.84450733528326</c:v>
                </c:pt>
                <c:pt idx="75">
                  <c:v>31.13561554033252</c:v>
                </c:pt>
                <c:pt idx="76">
                  <c:v>31.41674261853449</c:v>
                </c:pt>
                <c:pt idx="77">
                  <c:v>31.68476370843597</c:v>
                </c:pt>
                <c:pt idx="78">
                  <c:v>31.94581208435961</c:v>
                </c:pt>
                <c:pt idx="79">
                  <c:v>32.21723795412562</c:v>
                </c:pt>
                <c:pt idx="80">
                  <c:v>32.48584223368227</c:v>
                </c:pt>
                <c:pt idx="81">
                  <c:v>32.7481734375</c:v>
                </c:pt>
                <c:pt idx="82">
                  <c:v>33.01006125307882</c:v>
                </c:pt>
                <c:pt idx="83">
                  <c:v>33.26800812038177</c:v>
                </c:pt>
                <c:pt idx="84">
                  <c:v>33.50690223214286</c:v>
                </c:pt>
                <c:pt idx="85">
                  <c:v>33.74045580357143</c:v>
                </c:pt>
                <c:pt idx="86">
                  <c:v>33.96596400862069</c:v>
                </c:pt>
                <c:pt idx="87">
                  <c:v>34.17661728756158</c:v>
                </c:pt>
                <c:pt idx="88">
                  <c:v>34.3771029325739</c:v>
                </c:pt>
                <c:pt idx="89">
                  <c:v>34.56772389932267</c:v>
                </c:pt>
                <c:pt idx="90">
                  <c:v>34.74852689347291</c:v>
                </c:pt>
                <c:pt idx="91">
                  <c:v>34.91885898245074</c:v>
                </c:pt>
                <c:pt idx="92">
                  <c:v>35.09565096982759</c:v>
                </c:pt>
                <c:pt idx="93">
                  <c:v>35.26341803417487</c:v>
                </c:pt>
                <c:pt idx="94">
                  <c:v>35.39858296644088</c:v>
                </c:pt>
                <c:pt idx="95">
                  <c:v>35.51602436114532</c:v>
                </c:pt>
                <c:pt idx="96">
                  <c:v>35.62315832050492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753928"/>
        <c:axId val="-2109672232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9371.0</c:v>
                </c:pt>
                <c:pt idx="1">
                  <c:v>17248.0</c:v>
                </c:pt>
                <c:pt idx="2">
                  <c:v>24171.0</c:v>
                </c:pt>
                <c:pt idx="3">
                  <c:v>4588.0</c:v>
                </c:pt>
                <c:pt idx="4">
                  <c:v>7136.0</c:v>
                </c:pt>
                <c:pt idx="5">
                  <c:v>12356.0</c:v>
                </c:pt>
                <c:pt idx="6">
                  <c:v>24654.0</c:v>
                </c:pt>
                <c:pt idx="7">
                  <c:v>4179.0</c:v>
                </c:pt>
                <c:pt idx="8">
                  <c:v>7655.0</c:v>
                </c:pt>
                <c:pt idx="9">
                  <c:v>12853.0</c:v>
                </c:pt>
              </c:numCache>
            </c:numRef>
          </c:yVal>
          <c:smooth val="0"/>
        </c:ser>
        <c:ser>
          <c:idx val="9"/>
          <c:order val="7"/>
          <c:tx>
            <c:v>count (log (count/ml))</c:v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8"/>
            <c:spPr>
              <a:solidFill>
                <a:sysClr val="window" lastClr="FFFFFF"/>
              </a:solidFill>
              <a:ln w="25400"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'Flow cytometer'!$X$4:$X$21</c:f>
                <c:numCache>
                  <c:formatCode>General</c:formatCode>
                  <c:ptCount val="18"/>
                  <c:pt idx="0">
                    <c:v>0.00913385653282734</c:v>
                  </c:pt>
                  <c:pt idx="1">
                    <c:v>0.0290845489707127</c:v>
                  </c:pt>
                  <c:pt idx="2">
                    <c:v>0.0116834579182963</c:v>
                  </c:pt>
                  <c:pt idx="3">
                    <c:v>0.00915061761097088</c:v>
                  </c:pt>
                  <c:pt idx="4">
                    <c:v>0.00446542757195836</c:v>
                  </c:pt>
                  <c:pt idx="5">
                    <c:v>0.014520967534108</c:v>
                  </c:pt>
                  <c:pt idx="6">
                    <c:v>0.0362759363661269</c:v>
                  </c:pt>
                  <c:pt idx="7">
                    <c:v>0.0293575610852176</c:v>
                  </c:pt>
                  <c:pt idx="8">
                    <c:v>0.0101133571735649</c:v>
                  </c:pt>
                  <c:pt idx="9">
                    <c:v>0.0217091215298656</c:v>
                  </c:pt>
                  <c:pt idx="10">
                    <c:v>0.0204088038564962</c:v>
                  </c:pt>
                  <c:pt idx="11">
                    <c:v>0.016052690887611</c:v>
                  </c:pt>
                  <c:pt idx="12">
                    <c:v>0.0163704677251403</c:v>
                  </c:pt>
                  <c:pt idx="13">
                    <c:v>0.00364274905475051</c:v>
                  </c:pt>
                  <c:pt idx="14">
                    <c:v>0.016130753091144</c:v>
                  </c:pt>
                  <c:pt idx="15">
                    <c:v>0.0118233484724816</c:v>
                  </c:pt>
                  <c:pt idx="16">
                    <c:v>0.0244919294935513</c:v>
                  </c:pt>
                  <c:pt idx="17">
                    <c:v>0.0274409628332456</c:v>
                  </c:pt>
                </c:numCache>
              </c:numRef>
            </c:plus>
            <c:minus>
              <c:numRef>
                <c:f>'Flow cytometer'!$X$4:$X$21</c:f>
                <c:numCache>
                  <c:formatCode>General</c:formatCode>
                  <c:ptCount val="18"/>
                  <c:pt idx="0">
                    <c:v>0.00913385653282734</c:v>
                  </c:pt>
                  <c:pt idx="1">
                    <c:v>0.0290845489707127</c:v>
                  </c:pt>
                  <c:pt idx="2">
                    <c:v>0.0116834579182963</c:v>
                  </c:pt>
                  <c:pt idx="3">
                    <c:v>0.00915061761097088</c:v>
                  </c:pt>
                  <c:pt idx="4">
                    <c:v>0.00446542757195836</c:v>
                  </c:pt>
                  <c:pt idx="5">
                    <c:v>0.014520967534108</c:v>
                  </c:pt>
                  <c:pt idx="6">
                    <c:v>0.0362759363661269</c:v>
                  </c:pt>
                  <c:pt idx="7">
                    <c:v>0.0293575610852176</c:v>
                  </c:pt>
                  <c:pt idx="8">
                    <c:v>0.0101133571735649</c:v>
                  </c:pt>
                  <c:pt idx="9">
                    <c:v>0.0217091215298656</c:v>
                  </c:pt>
                  <c:pt idx="10">
                    <c:v>0.0204088038564962</c:v>
                  </c:pt>
                  <c:pt idx="11">
                    <c:v>0.016052690887611</c:v>
                  </c:pt>
                  <c:pt idx="12">
                    <c:v>0.0163704677251403</c:v>
                  </c:pt>
                  <c:pt idx="13">
                    <c:v>0.00364274905475051</c:v>
                  </c:pt>
                  <c:pt idx="14">
                    <c:v>0.016130753091144</c:v>
                  </c:pt>
                  <c:pt idx="15">
                    <c:v>0.0118233484724816</c:v>
                  </c:pt>
                  <c:pt idx="16">
                    <c:v>0.0244919294935513</c:v>
                  </c:pt>
                  <c:pt idx="17">
                    <c:v>0.0274409628332456</c:v>
                  </c:pt>
                </c:numCache>
              </c:numRef>
            </c:minus>
          </c:errBars>
          <c:xVal>
            <c:numRef>
              <c:f>'Flow cytometer'!$D$4:$D$21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24.16666666666667</c:v>
                </c:pt>
                <c:pt idx="16">
                  <c:v>30.16666666666667</c:v>
                </c:pt>
                <c:pt idx="17">
                  <c:v>48.16666666666666</c:v>
                </c:pt>
              </c:numCache>
            </c:numRef>
          </c:xVal>
          <c:yVal>
            <c:numRef>
              <c:f>'Flow cytometer'!$S$4:$S$21</c:f>
              <c:numCache>
                <c:formatCode>0.00</c:formatCode>
                <c:ptCount val="18"/>
                <c:pt idx="0">
                  <c:v>7.14383886501003</c:v>
                </c:pt>
                <c:pt idx="1">
                  <c:v>7.372015148029952</c:v>
                </c:pt>
                <c:pt idx="2">
                  <c:v>7.541287833728106</c:v>
                </c:pt>
                <c:pt idx="3">
                  <c:v>7.82179978205585</c:v>
                </c:pt>
                <c:pt idx="4">
                  <c:v>8.02127674003988</c:v>
                </c:pt>
                <c:pt idx="5">
                  <c:v>8.2616397747577</c:v>
                </c:pt>
                <c:pt idx="6">
                  <c:v>8.51864990359149</c:v>
                </c:pt>
                <c:pt idx="7">
                  <c:v>8.814714092031867</c:v>
                </c:pt>
                <c:pt idx="8">
                  <c:v>9.048526191057086</c:v>
                </c:pt>
                <c:pt idx="9">
                  <c:v>9.302130920176953</c:v>
                </c:pt>
                <c:pt idx="10">
                  <c:v>9.462178565823254</c:v>
                </c:pt>
                <c:pt idx="11">
                  <c:v>9.47054296598293</c:v>
                </c:pt>
                <c:pt idx="12">
                  <c:v>9.566989793257807</c:v>
                </c:pt>
                <c:pt idx="13">
                  <c:v>9.531196774597018</c:v>
                </c:pt>
                <c:pt idx="14">
                  <c:v>9.507460836012416</c:v>
                </c:pt>
                <c:pt idx="15">
                  <c:v>9.518470856846835</c:v>
                </c:pt>
                <c:pt idx="16">
                  <c:v>9.550403255888166</c:v>
                </c:pt>
                <c:pt idx="17">
                  <c:v>9.54853985271967</c:v>
                </c:pt>
              </c:numCache>
            </c:numRef>
          </c:yVal>
          <c:smooth val="0"/>
        </c:ser>
        <c:ser>
          <c:idx val="5"/>
          <c:order val="9"/>
          <c:tx>
            <c:v>qPCR</c:v>
          </c:tx>
          <c:spPr>
            <a:ln>
              <a:solidFill>
                <a:srgbClr val="008000"/>
              </a:solidFill>
            </a:ln>
          </c:spPr>
          <c:marker>
            <c:symbol val="circle"/>
            <c:size val="8"/>
            <c:spPr>
              <a:solidFill>
                <a:srgbClr val="008000"/>
              </a:solidFill>
              <a:ln w="19050"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'Determination cell count GOOD'!$S$4:$S$21</c:f>
                <c:numCache>
                  <c:formatCode>General</c:formatCode>
                  <c:ptCount val="18"/>
                  <c:pt idx="0">
                    <c:v>0.0994570428762796</c:v>
                  </c:pt>
                  <c:pt idx="1">
                    <c:v>0.0826062096338543</c:v>
                  </c:pt>
                  <c:pt idx="2">
                    <c:v>0.0495674063916722</c:v>
                  </c:pt>
                  <c:pt idx="3">
                    <c:v>0.0328846418610568</c:v>
                  </c:pt>
                  <c:pt idx="4">
                    <c:v>0.0193791608378039</c:v>
                  </c:pt>
                  <c:pt idx="5">
                    <c:v>0.0600220566812695</c:v>
                  </c:pt>
                  <c:pt idx="6">
                    <c:v>0.079450870343134</c:v>
                  </c:pt>
                  <c:pt idx="7">
                    <c:v>0.0955188803511124</c:v>
                  </c:pt>
                  <c:pt idx="8">
                    <c:v>0.049760470865245</c:v>
                  </c:pt>
                  <c:pt idx="9">
                    <c:v>0.0896700933890146</c:v>
                  </c:pt>
                  <c:pt idx="10">
                    <c:v>0.0648628629846447</c:v>
                  </c:pt>
                  <c:pt idx="11">
                    <c:v>0.0195469553508982</c:v>
                  </c:pt>
                  <c:pt idx="12">
                    <c:v>0.0812543194086011</c:v>
                  </c:pt>
                  <c:pt idx="13">
                    <c:v>0.0501776551652212</c:v>
                  </c:pt>
                  <c:pt idx="14">
                    <c:v>0.0597795203132068</c:v>
                  </c:pt>
                  <c:pt idx="15">
                    <c:v>0.0310653599660387</c:v>
                  </c:pt>
                  <c:pt idx="16">
                    <c:v>0.00926261767078731</c:v>
                  </c:pt>
                  <c:pt idx="17">
                    <c:v>0.0257310350903503</c:v>
                  </c:pt>
                </c:numCache>
              </c:numRef>
            </c:plus>
            <c:minus>
              <c:numRef>
                <c:f>'Determination cell count GOOD'!$S$4:$S$21</c:f>
                <c:numCache>
                  <c:formatCode>General</c:formatCode>
                  <c:ptCount val="18"/>
                  <c:pt idx="0">
                    <c:v>0.0994570428762796</c:v>
                  </c:pt>
                  <c:pt idx="1">
                    <c:v>0.0826062096338543</c:v>
                  </c:pt>
                  <c:pt idx="2">
                    <c:v>0.0495674063916722</c:v>
                  </c:pt>
                  <c:pt idx="3">
                    <c:v>0.0328846418610568</c:v>
                  </c:pt>
                  <c:pt idx="4">
                    <c:v>0.0193791608378039</c:v>
                  </c:pt>
                  <c:pt idx="5">
                    <c:v>0.0600220566812695</c:v>
                  </c:pt>
                  <c:pt idx="6">
                    <c:v>0.079450870343134</c:v>
                  </c:pt>
                  <c:pt idx="7">
                    <c:v>0.0955188803511124</c:v>
                  </c:pt>
                  <c:pt idx="8">
                    <c:v>0.049760470865245</c:v>
                  </c:pt>
                  <c:pt idx="9">
                    <c:v>0.0896700933890146</c:v>
                  </c:pt>
                  <c:pt idx="10">
                    <c:v>0.0648628629846447</c:v>
                  </c:pt>
                  <c:pt idx="11">
                    <c:v>0.0195469553508982</c:v>
                  </c:pt>
                  <c:pt idx="12">
                    <c:v>0.0812543194086011</c:v>
                  </c:pt>
                  <c:pt idx="13">
                    <c:v>0.0501776551652212</c:v>
                  </c:pt>
                  <c:pt idx="14">
                    <c:v>0.0597795203132068</c:v>
                  </c:pt>
                  <c:pt idx="15">
                    <c:v>0.0310653599660387</c:v>
                  </c:pt>
                  <c:pt idx="16">
                    <c:v>0.00926261767078731</c:v>
                  </c:pt>
                  <c:pt idx="17">
                    <c:v>0.0257310350903503</c:v>
                  </c:pt>
                </c:numCache>
              </c:numRef>
            </c:minus>
          </c:errBars>
          <c:xVal>
            <c:numRef>
              <c:f>'Determination cell count GOOD'!$D$4:$D$21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24.16666666666667</c:v>
                </c:pt>
                <c:pt idx="16">
                  <c:v>30.16666666666667</c:v>
                </c:pt>
                <c:pt idx="17">
                  <c:v>48.16666666666666</c:v>
                </c:pt>
              </c:numCache>
            </c:numRef>
          </c:xVal>
          <c:yVal>
            <c:numRef>
              <c:f>'Determination cell count GOOD'!$R$4:$R$21</c:f>
              <c:numCache>
                <c:formatCode>0.00</c:formatCode>
                <c:ptCount val="18"/>
                <c:pt idx="0">
                  <c:v>7.511341225049294</c:v>
                </c:pt>
                <c:pt idx="1">
                  <c:v>7.804854586309618</c:v>
                </c:pt>
                <c:pt idx="2">
                  <c:v>8.020890422493936</c:v>
                </c:pt>
                <c:pt idx="3">
                  <c:v>8.167635681718273</c:v>
                </c:pt>
                <c:pt idx="4">
                  <c:v>8.123870144769569</c:v>
                </c:pt>
                <c:pt idx="5">
                  <c:v>8.531196106437015</c:v>
                </c:pt>
                <c:pt idx="6">
                  <c:v>8.666904849235015</c:v>
                </c:pt>
                <c:pt idx="7">
                  <c:v>8.817247570300287</c:v>
                </c:pt>
                <c:pt idx="8">
                  <c:v>9.047587866984745</c:v>
                </c:pt>
                <c:pt idx="9">
                  <c:v>9.246927553438891</c:v>
                </c:pt>
                <c:pt idx="10">
                  <c:v>9.32256741897116</c:v>
                </c:pt>
                <c:pt idx="11">
                  <c:v>9.387291548943698</c:v>
                </c:pt>
                <c:pt idx="12">
                  <c:v>9.379112547612896</c:v>
                </c:pt>
                <c:pt idx="13">
                  <c:v>9.310465146358174</c:v>
                </c:pt>
                <c:pt idx="14">
                  <c:v>9.239002730576011</c:v>
                </c:pt>
                <c:pt idx="15">
                  <c:v>9.221217683482941</c:v>
                </c:pt>
                <c:pt idx="16">
                  <c:v>9.341820766467192</c:v>
                </c:pt>
                <c:pt idx="17">
                  <c:v>9.709773009663916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058376"/>
        <c:axId val="-2122545240"/>
      </c:scatterChart>
      <c:valAx>
        <c:axId val="-2112753928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109672232"/>
        <c:crosses val="autoZero"/>
        <c:crossBetween val="midCat"/>
        <c:majorUnit val="6.0"/>
      </c:valAx>
      <c:valAx>
        <c:axId val="-2109672232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112753928"/>
        <c:crosses val="autoZero"/>
        <c:crossBetween val="midCat"/>
      </c:valAx>
      <c:valAx>
        <c:axId val="-2122545240"/>
        <c:scaling>
          <c:orientation val="minMax"/>
          <c:max val="11.0"/>
          <c:min val="6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Bacterial</a:t>
                </a:r>
                <a:r>
                  <a:rPr lang="nl-NL" sz="1050" baseline="0"/>
                  <a:t> growth </a:t>
                </a:r>
                <a:r>
                  <a:rPr lang="nl-NL" sz="1050"/>
                  <a:t>(log (events/ml))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2114058376"/>
        <c:crosses val="max"/>
        <c:crossBetween val="midCat"/>
        <c:majorUnit val="1.0"/>
        <c:minorUnit val="0.2"/>
      </c:valAx>
      <c:valAx>
        <c:axId val="2114058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122545240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436880</xdr:colOff>
      <xdr:row>21</xdr:row>
      <xdr:rowOff>0</xdr:rowOff>
    </xdr:from>
    <xdr:to>
      <xdr:col>20</xdr:col>
      <xdr:colOff>360680</xdr:colOff>
      <xdr:row>46</xdr:row>
      <xdr:rowOff>5080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99060</xdr:colOff>
      <xdr:row>8</xdr:row>
      <xdr:rowOff>152400</xdr:rowOff>
    </xdr:from>
    <xdr:to>
      <xdr:col>17</xdr:col>
      <xdr:colOff>403860</xdr:colOff>
      <xdr:row>23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8</xdr:row>
      <xdr:rowOff>0</xdr:rowOff>
    </xdr:from>
    <xdr:to>
      <xdr:col>18</xdr:col>
      <xdr:colOff>381000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8</xdr:row>
      <xdr:rowOff>152400</xdr:rowOff>
    </xdr:from>
    <xdr:to>
      <xdr:col>18</xdr:col>
      <xdr:colOff>381000</xdr:colOff>
      <xdr:row>23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8</xdr:row>
      <xdr:rowOff>152400</xdr:rowOff>
    </xdr:from>
    <xdr:to>
      <xdr:col>18</xdr:col>
      <xdr:colOff>381000</xdr:colOff>
      <xdr:row>23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8</xdr:row>
      <xdr:rowOff>152400</xdr:rowOff>
    </xdr:from>
    <xdr:to>
      <xdr:col>18</xdr:col>
      <xdr:colOff>381000</xdr:colOff>
      <xdr:row>23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8</xdr:row>
      <xdr:rowOff>152400</xdr:rowOff>
    </xdr:from>
    <xdr:to>
      <xdr:col>18</xdr:col>
      <xdr:colOff>381000</xdr:colOff>
      <xdr:row>23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8</xdr:row>
      <xdr:rowOff>152400</xdr:rowOff>
    </xdr:from>
    <xdr:to>
      <xdr:col>18</xdr:col>
      <xdr:colOff>381000</xdr:colOff>
      <xdr:row>23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2012_06_08_BIF_REC_OLI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_05_10_FPRAU_fruc1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2_06_08_BIF_REC_OLI_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C6" sqref="C6"/>
    </sheetView>
  </sheetViews>
  <sheetFormatPr baseColWidth="10" defaultColWidth="8.83203125" defaultRowHeight="14" x14ac:dyDescent="0"/>
  <cols>
    <col min="1" max="1" width="23.33203125" style="2" customWidth="1"/>
    <col min="2" max="2" width="13.6640625" style="2" bestFit="1" customWidth="1"/>
    <col min="3" max="3" width="75.6640625" style="2" customWidth="1"/>
    <col min="4" max="16384" width="8.83203125" style="2"/>
  </cols>
  <sheetData>
    <row r="1" spans="1:3">
      <c r="A1" s="135" t="s">
        <v>0</v>
      </c>
      <c r="B1" s="136"/>
      <c r="C1" s="34">
        <v>42333</v>
      </c>
    </row>
    <row r="2" spans="1:3" ht="16">
      <c r="A2" s="135" t="s">
        <v>1</v>
      </c>
      <c r="B2" s="137"/>
      <c r="C2" s="32" t="s">
        <v>181</v>
      </c>
    </row>
    <row r="3" spans="1:3">
      <c r="A3" s="11"/>
      <c r="B3" s="11"/>
      <c r="C3" s="10"/>
    </row>
    <row r="4" spans="1:3">
      <c r="A4" s="138" t="s">
        <v>49</v>
      </c>
      <c r="B4" s="138"/>
      <c r="C4" s="7" t="s">
        <v>106</v>
      </c>
    </row>
    <row r="6" spans="1:3">
      <c r="A6" s="41" t="s">
        <v>82</v>
      </c>
      <c r="B6" s="41" t="s">
        <v>83</v>
      </c>
      <c r="C6" s="41" t="s">
        <v>69</v>
      </c>
    </row>
    <row r="7" spans="1:3">
      <c r="A7" s="32" t="s">
        <v>84</v>
      </c>
      <c r="B7" s="37" t="s">
        <v>85</v>
      </c>
      <c r="C7" s="37" t="s">
        <v>100</v>
      </c>
    </row>
    <row r="8" spans="1:3">
      <c r="A8" s="32" t="s">
        <v>86</v>
      </c>
      <c r="B8" s="37" t="s">
        <v>87</v>
      </c>
      <c r="C8" s="37" t="s">
        <v>100</v>
      </c>
    </row>
    <row r="9" spans="1:3">
      <c r="A9" s="32" t="s">
        <v>88</v>
      </c>
      <c r="B9" s="37" t="s">
        <v>89</v>
      </c>
      <c r="C9" s="37" t="s">
        <v>100</v>
      </c>
    </row>
    <row r="10" spans="1:3">
      <c r="A10" s="32" t="s">
        <v>90</v>
      </c>
      <c r="B10" s="37" t="s">
        <v>91</v>
      </c>
      <c r="C10" s="37" t="s">
        <v>100</v>
      </c>
    </row>
    <row r="11" spans="1:3">
      <c r="A11" s="32" t="s">
        <v>174</v>
      </c>
      <c r="B11" s="37" t="s">
        <v>175</v>
      </c>
      <c r="C11" s="37" t="s">
        <v>100</v>
      </c>
    </row>
    <row r="12" spans="1:3">
      <c r="A12" s="32" t="s">
        <v>73</v>
      </c>
      <c r="B12" s="37" t="s">
        <v>92</v>
      </c>
      <c r="C12" s="37" t="s">
        <v>100</v>
      </c>
    </row>
    <row r="13" spans="1:3" ht="16">
      <c r="A13" s="69" t="s">
        <v>77</v>
      </c>
      <c r="B13" s="37" t="s">
        <v>93</v>
      </c>
      <c r="C13" s="37" t="s">
        <v>100</v>
      </c>
    </row>
    <row r="14" spans="1:3" ht="16">
      <c r="A14" s="69" t="s">
        <v>76</v>
      </c>
      <c r="B14" s="37" t="s">
        <v>93</v>
      </c>
      <c r="C14" s="37" t="s">
        <v>100</v>
      </c>
    </row>
    <row r="15" spans="1:3" ht="16">
      <c r="A15" s="32" t="s">
        <v>108</v>
      </c>
      <c r="B15" s="37" t="s">
        <v>94</v>
      </c>
      <c r="C15" s="37" t="s">
        <v>100</v>
      </c>
    </row>
    <row r="16" spans="1:3" ht="16">
      <c r="A16" s="32" t="s">
        <v>107</v>
      </c>
      <c r="B16" s="37" t="s">
        <v>93</v>
      </c>
      <c r="C16" s="37" t="s">
        <v>100</v>
      </c>
    </row>
    <row r="17" spans="1:3" ht="16">
      <c r="A17" s="32" t="s">
        <v>109</v>
      </c>
      <c r="B17" s="37" t="s">
        <v>93</v>
      </c>
      <c r="C17" s="37" t="s">
        <v>100</v>
      </c>
    </row>
    <row r="18" spans="1:3" ht="16">
      <c r="A18" s="32" t="s">
        <v>110</v>
      </c>
      <c r="B18" s="37" t="s">
        <v>179</v>
      </c>
      <c r="C18" s="37" t="s">
        <v>100</v>
      </c>
    </row>
    <row r="19" spans="1:3" ht="16">
      <c r="A19" s="32" t="s">
        <v>75</v>
      </c>
      <c r="B19" s="37" t="s">
        <v>180</v>
      </c>
      <c r="C19" s="37" t="s">
        <v>100</v>
      </c>
    </row>
    <row r="20" spans="1:3" ht="16">
      <c r="A20" s="32" t="s">
        <v>111</v>
      </c>
      <c r="B20" s="37" t="s">
        <v>95</v>
      </c>
      <c r="C20" s="37" t="s">
        <v>100</v>
      </c>
    </row>
    <row r="21" spans="1:3" ht="16">
      <c r="A21" s="32" t="s">
        <v>112</v>
      </c>
      <c r="B21" s="37" t="s">
        <v>96</v>
      </c>
      <c r="C21" s="37" t="s">
        <v>100</v>
      </c>
    </row>
    <row r="22" spans="1:3" ht="16">
      <c r="A22" s="32" t="s">
        <v>113</v>
      </c>
      <c r="B22" s="37" t="s">
        <v>97</v>
      </c>
      <c r="C22" s="37" t="s">
        <v>100</v>
      </c>
    </row>
    <row r="23" spans="1:3" ht="16">
      <c r="A23" s="32" t="s">
        <v>114</v>
      </c>
      <c r="B23" s="37" t="s">
        <v>97</v>
      </c>
      <c r="C23" s="37" t="s">
        <v>100</v>
      </c>
    </row>
    <row r="24" spans="1:3">
      <c r="A24" s="32" t="s">
        <v>98</v>
      </c>
      <c r="B24" s="37" t="s">
        <v>97</v>
      </c>
      <c r="C24" s="37" t="s">
        <v>100</v>
      </c>
    </row>
    <row r="25" spans="1:3">
      <c r="A25" s="32" t="s">
        <v>99</v>
      </c>
      <c r="B25" s="37" t="s">
        <v>97</v>
      </c>
      <c r="C25" s="37" t="s">
        <v>100</v>
      </c>
    </row>
    <row r="26" spans="1:3">
      <c r="A26" s="32" t="s">
        <v>74</v>
      </c>
      <c r="B26" s="37" t="s">
        <v>101</v>
      </c>
      <c r="C26" s="37" t="s">
        <v>102</v>
      </c>
    </row>
    <row r="27" spans="1:3">
      <c r="A27" s="32" t="s">
        <v>103</v>
      </c>
      <c r="B27" s="37" t="s">
        <v>100</v>
      </c>
      <c r="C27" s="37" t="s">
        <v>105</v>
      </c>
    </row>
    <row r="28" spans="1:3">
      <c r="A28" s="32" t="s">
        <v>104</v>
      </c>
      <c r="B28" s="37" t="s">
        <v>100</v>
      </c>
      <c r="C28" s="37" t="s">
        <v>105</v>
      </c>
    </row>
    <row r="29" spans="1:3" ht="16">
      <c r="A29" s="29" t="s">
        <v>148</v>
      </c>
      <c r="B29" s="29" t="s">
        <v>149</v>
      </c>
      <c r="C29" s="29" t="s">
        <v>150</v>
      </c>
    </row>
    <row r="30" spans="1:3" ht="16">
      <c r="A30" s="29" t="s">
        <v>176</v>
      </c>
      <c r="B30" s="29" t="s">
        <v>177</v>
      </c>
      <c r="C30" s="29" t="s">
        <v>178</v>
      </c>
    </row>
  </sheetData>
  <mergeCells count="3">
    <mergeCell ref="A1:B1"/>
    <mergeCell ref="A2:B2"/>
    <mergeCell ref="A4:B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L152"/>
  <sheetViews>
    <sheetView zoomScale="98" zoomScaleNormal="98" zoomScalePageLayoutView="98" workbookViewId="0">
      <selection activeCell="B102" sqref="B102:B107"/>
    </sheetView>
  </sheetViews>
  <sheetFormatPr baseColWidth="10" defaultColWidth="8.83203125" defaultRowHeight="14" x14ac:dyDescent="0"/>
  <cols>
    <col min="1" max="1" width="8.5" style="2" bestFit="1" customWidth="1"/>
    <col min="2" max="2" width="10.5" style="2" bestFit="1" customWidth="1"/>
    <col min="3" max="3" width="7.83203125" style="2" bestFit="1" customWidth="1"/>
    <col min="4" max="4" width="9.33203125" style="2" bestFit="1" customWidth="1"/>
    <col min="5" max="5" width="22.33203125" style="2" bestFit="1" customWidth="1"/>
    <col min="6" max="6" width="13.6640625" style="2" bestFit="1" customWidth="1"/>
    <col min="7" max="7" width="8.5" style="2" bestFit="1" customWidth="1"/>
    <col min="8" max="8" width="8.83203125" style="2"/>
    <col min="9" max="9" width="8.6640625" style="2" customWidth="1"/>
    <col min="10" max="10" width="8.83203125" style="2"/>
    <col min="11" max="11" width="12.33203125" style="2" bestFit="1" customWidth="1"/>
    <col min="12" max="13" width="8.83203125" style="2"/>
    <col min="14" max="14" width="7.6640625" style="2" customWidth="1"/>
    <col min="15" max="16384" width="8.83203125" style="2"/>
  </cols>
  <sheetData>
    <row r="1" spans="1:12">
      <c r="A1" s="8" t="s">
        <v>50</v>
      </c>
      <c r="B1" s="12">
        <v>69.7</v>
      </c>
      <c r="C1" s="9" t="s">
        <v>51</v>
      </c>
    </row>
    <row r="3" spans="1:12">
      <c r="A3" s="138" t="s">
        <v>5</v>
      </c>
      <c r="B3" s="138" t="s">
        <v>36</v>
      </c>
      <c r="C3" s="138"/>
      <c r="D3" s="138" t="s">
        <v>52</v>
      </c>
      <c r="E3" s="138"/>
      <c r="F3" s="138"/>
      <c r="G3" s="8" t="s">
        <v>53</v>
      </c>
    </row>
    <row r="4" spans="1:12">
      <c r="A4" s="138"/>
      <c r="B4" s="8" t="s">
        <v>54</v>
      </c>
      <c r="C4" s="8" t="s">
        <v>55</v>
      </c>
      <c r="D4" s="8" t="s">
        <v>56</v>
      </c>
      <c r="E4" s="8" t="s">
        <v>57</v>
      </c>
      <c r="F4" s="8" t="s">
        <v>58</v>
      </c>
      <c r="G4" s="8" t="s">
        <v>59</v>
      </c>
    </row>
    <row r="5" spans="1:12">
      <c r="A5" s="35">
        <v>0</v>
      </c>
      <c r="B5" s="32">
        <v>217.39</v>
      </c>
      <c r="C5" s="36">
        <f>B5/1000</f>
        <v>0.21739</v>
      </c>
      <c r="D5" s="12">
        <f>C5/1000*$B$1</f>
        <v>1.5152083E-2</v>
      </c>
      <c r="E5" s="12">
        <f>D5/22.4</f>
        <v>6.7643227678571439E-4</v>
      </c>
      <c r="F5" s="12">
        <f>E5/Calculation!K$4*1000</f>
        <v>4.5735786124794756E-4</v>
      </c>
      <c r="G5" s="12">
        <f>(0+F5)/2*30</f>
        <v>6.8603679187192136E-3</v>
      </c>
    </row>
    <row r="6" spans="1:12">
      <c r="A6" s="35">
        <v>0.5</v>
      </c>
      <c r="B6" s="32">
        <v>418.21</v>
      </c>
      <c r="C6" s="36">
        <f t="shared" ref="C6:C69" si="0">B6/1000</f>
        <v>0.41820999999999997</v>
      </c>
      <c r="D6" s="12">
        <f>C6/1000*$B$1</f>
        <v>2.9149236999999998E-2</v>
      </c>
      <c r="E6" s="12">
        <f t="shared" ref="E6:E69" si="1">D6/22.4</f>
        <v>1.3013052232142858E-3</v>
      </c>
      <c r="F6" s="12">
        <f>E6/Calculation!K$4*1000</f>
        <v>8.7985478243021351E-4</v>
      </c>
      <c r="G6" s="12">
        <f>G5+(F6+F5)/2*30</f>
        <v>2.6918557573891631E-2</v>
      </c>
    </row>
    <row r="7" spans="1:12">
      <c r="A7" s="35">
        <v>1</v>
      </c>
      <c r="B7" s="32">
        <v>503.81</v>
      </c>
      <c r="C7" s="36">
        <f t="shared" si="0"/>
        <v>0.50380999999999998</v>
      </c>
      <c r="D7" s="12">
        <f t="shared" ref="D7:D69" si="2">C7/1000*$B$1</f>
        <v>3.5115556999999999E-2</v>
      </c>
      <c r="E7" s="12">
        <f t="shared" si="1"/>
        <v>1.5676587946428571E-3</v>
      </c>
      <c r="F7" s="12">
        <f>E7/Calculation!K$4*1000</f>
        <v>1.0599450944170773E-3</v>
      </c>
      <c r="G7" s="12">
        <f>G6+(F7+F6)/2*30</f>
        <v>5.6015555726600996E-2</v>
      </c>
    </row>
    <row r="8" spans="1:12">
      <c r="A8" s="35">
        <v>1.5</v>
      </c>
      <c r="B8" s="32">
        <v>576.55999999999995</v>
      </c>
      <c r="C8" s="36">
        <f t="shared" si="0"/>
        <v>0.57655999999999996</v>
      </c>
      <c r="D8" s="12">
        <f t="shared" si="2"/>
        <v>4.0186231999999995E-2</v>
      </c>
      <c r="E8" s="12">
        <f t="shared" si="1"/>
        <v>1.7940282142857142E-3</v>
      </c>
      <c r="F8" s="12">
        <f>E8/Calculation!K$4*1000</f>
        <v>1.2130008210180622E-3</v>
      </c>
      <c r="G8" s="12">
        <f t="shared" ref="G8:G70" si="3">G7+(F8+F7)/2*30</f>
        <v>9.0109744458128083E-2</v>
      </c>
      <c r="K8" s="2">
        <f>0.001977/44.01</f>
        <v>4.492160872528971E-5</v>
      </c>
      <c r="L8" s="2">
        <f>1/K8</f>
        <v>22261.001517450681</v>
      </c>
    </row>
    <row r="9" spans="1:12">
      <c r="A9" s="35">
        <v>2</v>
      </c>
      <c r="B9" s="32">
        <v>632.72</v>
      </c>
      <c r="C9" s="36">
        <f t="shared" si="0"/>
        <v>0.63272000000000006</v>
      </c>
      <c r="D9" s="12">
        <f t="shared" si="2"/>
        <v>4.4100584000000005E-2</v>
      </c>
      <c r="E9" s="12">
        <f t="shared" si="1"/>
        <v>1.9687760714285716E-3</v>
      </c>
      <c r="F9" s="12">
        <f>E9/Calculation!K$4*1000</f>
        <v>1.3311535303776683E-3</v>
      </c>
      <c r="G9" s="12">
        <f t="shared" si="3"/>
        <v>0.12827205972906403</v>
      </c>
    </row>
    <row r="10" spans="1:12">
      <c r="A10" s="35">
        <v>2.5</v>
      </c>
      <c r="B10" s="32">
        <v>686.86</v>
      </c>
      <c r="C10" s="36">
        <f t="shared" si="0"/>
        <v>0.68686000000000003</v>
      </c>
      <c r="D10" s="12">
        <f t="shared" si="2"/>
        <v>4.7874142000000008E-2</v>
      </c>
      <c r="E10" s="12">
        <f t="shared" si="1"/>
        <v>2.1372384821428578E-3</v>
      </c>
      <c r="F10" s="12">
        <f>E10/Calculation!K$4*1000</f>
        <v>1.4450564449917903E-3</v>
      </c>
      <c r="G10" s="12">
        <f t="shared" si="3"/>
        <v>0.16991520935960591</v>
      </c>
    </row>
    <row r="11" spans="1:12">
      <c r="A11" s="35">
        <v>3</v>
      </c>
      <c r="B11" s="32">
        <v>756.73</v>
      </c>
      <c r="C11" s="36">
        <f t="shared" si="0"/>
        <v>0.75673000000000001</v>
      </c>
      <c r="D11" s="12">
        <f t="shared" si="2"/>
        <v>5.2744081000000005E-2</v>
      </c>
      <c r="E11" s="12">
        <f t="shared" si="1"/>
        <v>2.3546464732142861E-3</v>
      </c>
      <c r="F11" s="12">
        <f>E11/Calculation!K$4*1000</f>
        <v>1.5920530582922826E-3</v>
      </c>
      <c r="G11" s="12">
        <f t="shared" si="3"/>
        <v>0.215471851908867</v>
      </c>
    </row>
    <row r="12" spans="1:12">
      <c r="A12" s="35">
        <v>3.5</v>
      </c>
      <c r="B12" s="32">
        <v>858.41</v>
      </c>
      <c r="C12" s="36">
        <f t="shared" si="0"/>
        <v>0.85841000000000001</v>
      </c>
      <c r="D12" s="12">
        <f t="shared" si="2"/>
        <v>5.9831176999999999E-2</v>
      </c>
      <c r="E12" s="12">
        <f t="shared" si="1"/>
        <v>2.6710346875000002E-3</v>
      </c>
      <c r="F12" s="12">
        <f>E12/Calculation!K$4*1000</f>
        <v>1.80597341954023E-3</v>
      </c>
      <c r="G12" s="12">
        <f t="shared" si="3"/>
        <v>0.26644224907635466</v>
      </c>
    </row>
    <row r="13" spans="1:12">
      <c r="A13" s="35">
        <v>4</v>
      </c>
      <c r="B13" s="32">
        <v>1014.05</v>
      </c>
      <c r="C13" s="36">
        <f t="shared" si="0"/>
        <v>1.0140499999999999</v>
      </c>
      <c r="D13" s="12">
        <f t="shared" si="2"/>
        <v>7.0679284999999994E-2</v>
      </c>
      <c r="E13" s="12">
        <f t="shared" si="1"/>
        <v>3.1553252232142857E-3</v>
      </c>
      <c r="F13" s="12">
        <f>E13/Calculation!K$4*1000</f>
        <v>2.1334180008210179E-3</v>
      </c>
      <c r="G13" s="12">
        <f t="shared" si="3"/>
        <v>0.3255331203817734</v>
      </c>
    </row>
    <row r="14" spans="1:12">
      <c r="A14" s="35">
        <v>4.5</v>
      </c>
      <c r="B14" s="32">
        <v>1203.7</v>
      </c>
      <c r="C14" s="36">
        <f t="shared" si="0"/>
        <v>1.2037</v>
      </c>
      <c r="D14" s="12">
        <f t="shared" si="2"/>
        <v>8.3897890000000003E-2</v>
      </c>
      <c r="E14" s="12">
        <f t="shared" si="1"/>
        <v>3.7454415178571434E-3</v>
      </c>
      <c r="F14" s="12">
        <f>E14/Calculation!K$4*1000</f>
        <v>2.5324148193760264E-3</v>
      </c>
      <c r="G14" s="12">
        <f t="shared" si="3"/>
        <v>0.39552061268472904</v>
      </c>
    </row>
    <row r="15" spans="1:12">
      <c r="A15" s="35">
        <v>5</v>
      </c>
      <c r="B15" s="32">
        <v>1376.43</v>
      </c>
      <c r="C15" s="36">
        <f t="shared" si="0"/>
        <v>1.37643</v>
      </c>
      <c r="D15" s="12">
        <f t="shared" si="2"/>
        <v>9.5937171000000016E-2</v>
      </c>
      <c r="E15" s="12">
        <f t="shared" si="1"/>
        <v>4.2829094196428583E-3</v>
      </c>
      <c r="F15" s="12">
        <f>E15/Calculation!K$4*1000</f>
        <v>2.8958143472906412E-3</v>
      </c>
      <c r="G15" s="12">
        <f t="shared" si="3"/>
        <v>0.47694405018472907</v>
      </c>
    </row>
    <row r="16" spans="1:12">
      <c r="A16" s="35">
        <v>5.5</v>
      </c>
      <c r="B16" s="32">
        <v>1540.87</v>
      </c>
      <c r="C16" s="36">
        <f t="shared" si="0"/>
        <v>1.54087</v>
      </c>
      <c r="D16" s="12">
        <f t="shared" si="2"/>
        <v>0.107398639</v>
      </c>
      <c r="E16" s="12">
        <f t="shared" si="1"/>
        <v>4.794582098214286E-3</v>
      </c>
      <c r="F16" s="12">
        <f>E16/Calculation!K$4*1000</f>
        <v>3.2417728858784895E-3</v>
      </c>
      <c r="G16" s="12">
        <f t="shared" si="3"/>
        <v>0.569007858682266</v>
      </c>
    </row>
    <row r="17" spans="1:7">
      <c r="A17" s="35">
        <v>6</v>
      </c>
      <c r="B17" s="32">
        <v>1756.74</v>
      </c>
      <c r="C17" s="36">
        <f t="shared" si="0"/>
        <v>1.75674</v>
      </c>
      <c r="D17" s="12">
        <f t="shared" si="2"/>
        <v>0.122444778</v>
      </c>
      <c r="E17" s="12">
        <f t="shared" si="1"/>
        <v>5.4662847321428577E-3</v>
      </c>
      <c r="F17" s="12">
        <f>E17/Calculation!K$4*1000</f>
        <v>3.6959328817733994E-3</v>
      </c>
      <c r="G17" s="12">
        <f t="shared" si="3"/>
        <v>0.67307344519704437</v>
      </c>
    </row>
    <row r="18" spans="1:7">
      <c r="A18" s="35">
        <v>6.5</v>
      </c>
      <c r="B18" s="32">
        <v>1946.55</v>
      </c>
      <c r="C18" s="36">
        <f t="shared" si="0"/>
        <v>1.94655</v>
      </c>
      <c r="D18" s="12">
        <f t="shared" si="2"/>
        <v>0.13567453500000001</v>
      </c>
      <c r="E18" s="12">
        <f t="shared" si="1"/>
        <v>6.0568988839285725E-3</v>
      </c>
      <c r="F18" s="12">
        <f>E18/Calculation!K$4*1000</f>
        <v>4.0952663177339903E-3</v>
      </c>
      <c r="G18" s="12">
        <f t="shared" si="3"/>
        <v>0.78994143318965526</v>
      </c>
    </row>
    <row r="19" spans="1:7">
      <c r="A19" s="35">
        <v>7</v>
      </c>
      <c r="B19" s="32">
        <v>2193.5500000000002</v>
      </c>
      <c r="C19" s="36">
        <f t="shared" si="0"/>
        <v>2.1935500000000001</v>
      </c>
      <c r="D19" s="12">
        <f t="shared" si="2"/>
        <v>0.15289043500000002</v>
      </c>
      <c r="E19" s="12">
        <f t="shared" si="1"/>
        <v>6.8254658482142872E-3</v>
      </c>
      <c r="F19" s="12">
        <f>E19/Calculation!K$4*1000</f>
        <v>4.6149194376026281E-3</v>
      </c>
      <c r="G19" s="12">
        <f t="shared" si="3"/>
        <v>0.92059421951970455</v>
      </c>
    </row>
    <row r="20" spans="1:7">
      <c r="A20" s="35">
        <v>7.5</v>
      </c>
      <c r="B20" s="32">
        <v>2416.5300000000002</v>
      </c>
      <c r="C20" s="36">
        <f t="shared" si="0"/>
        <v>2.4165300000000003</v>
      </c>
      <c r="D20" s="12">
        <f t="shared" si="2"/>
        <v>0.16843214100000004</v>
      </c>
      <c r="E20" s="12">
        <f t="shared" si="1"/>
        <v>7.5192920089285735E-3</v>
      </c>
      <c r="F20" s="12">
        <f>E20/Calculation!K$4*1000</f>
        <v>5.0840378694581292E-3</v>
      </c>
      <c r="G20" s="12">
        <f t="shared" si="3"/>
        <v>1.066078579125616</v>
      </c>
    </row>
    <row r="21" spans="1:7">
      <c r="A21" s="35">
        <v>8</v>
      </c>
      <c r="B21" s="32">
        <v>2757.42</v>
      </c>
      <c r="C21" s="36">
        <f t="shared" si="0"/>
        <v>2.7574200000000002</v>
      </c>
      <c r="D21" s="12">
        <f t="shared" si="2"/>
        <v>0.19219217400000002</v>
      </c>
      <c r="E21" s="12">
        <f t="shared" si="1"/>
        <v>8.5800077678571448E-3</v>
      </c>
      <c r="F21" s="12">
        <f>E21/Calculation!K$4*1000</f>
        <v>5.8012222906403954E-3</v>
      </c>
      <c r="G21" s="12">
        <f t="shared" si="3"/>
        <v>1.2293574815270938</v>
      </c>
    </row>
    <row r="22" spans="1:7">
      <c r="A22" s="35">
        <v>8.5</v>
      </c>
      <c r="B22" s="32">
        <v>3197.62</v>
      </c>
      <c r="C22" s="36">
        <f t="shared" si="0"/>
        <v>3.1976199999999997</v>
      </c>
      <c r="D22" s="12">
        <f t="shared" si="2"/>
        <v>0.22287411399999998</v>
      </c>
      <c r="E22" s="12">
        <f t="shared" si="1"/>
        <v>9.9497372321428572E-3</v>
      </c>
      <c r="F22" s="12">
        <f>E22/Calculation!K$4*1000</f>
        <v>6.7273409277504113E-3</v>
      </c>
      <c r="G22" s="12">
        <f t="shared" si="3"/>
        <v>1.4172859298029559</v>
      </c>
    </row>
    <row r="23" spans="1:7">
      <c r="A23" s="35">
        <v>9</v>
      </c>
      <c r="B23" s="32">
        <v>3759.12</v>
      </c>
      <c r="C23" s="36">
        <f t="shared" si="0"/>
        <v>3.7591199999999998</v>
      </c>
      <c r="D23" s="12">
        <f t="shared" si="2"/>
        <v>0.262010664</v>
      </c>
      <c r="E23" s="12">
        <f t="shared" si="1"/>
        <v>1.1696904642857144E-2</v>
      </c>
      <c r="F23" s="12">
        <f>E23/Calculation!K$4*1000</f>
        <v>7.9086576354679815E-3</v>
      </c>
      <c r="G23" s="12">
        <f t="shared" si="3"/>
        <v>1.6368259082512318</v>
      </c>
    </row>
    <row r="24" spans="1:7">
      <c r="A24" s="35">
        <v>9.5</v>
      </c>
      <c r="B24" s="32">
        <v>4431.9399999999996</v>
      </c>
      <c r="C24" s="36">
        <f t="shared" si="0"/>
        <v>4.43194</v>
      </c>
      <c r="D24" s="12">
        <f t="shared" si="2"/>
        <v>0.30890621800000001</v>
      </c>
      <c r="E24" s="12">
        <f t="shared" si="1"/>
        <v>1.3790456160714287E-2</v>
      </c>
      <c r="F24" s="12">
        <f>E24/Calculation!K$4*1000</f>
        <v>9.3241759031198693E-3</v>
      </c>
      <c r="G24" s="12">
        <f t="shared" si="3"/>
        <v>1.8953184113300496</v>
      </c>
    </row>
    <row r="25" spans="1:7">
      <c r="A25" s="35">
        <v>10</v>
      </c>
      <c r="B25" s="32">
        <v>5172.76</v>
      </c>
      <c r="C25" s="36">
        <f t="shared" si="0"/>
        <v>5.1727600000000002</v>
      </c>
      <c r="D25" s="12">
        <f t="shared" si="2"/>
        <v>0.36054137200000003</v>
      </c>
      <c r="E25" s="12">
        <f t="shared" si="1"/>
        <v>1.6095596964285717E-2</v>
      </c>
      <c r="F25" s="12">
        <f>E25/Calculation!K$4*1000</f>
        <v>1.0882756568144502E-2</v>
      </c>
      <c r="G25" s="12">
        <f t="shared" si="3"/>
        <v>2.198422398399015</v>
      </c>
    </row>
    <row r="26" spans="1:7">
      <c r="A26" s="35">
        <v>10.5</v>
      </c>
      <c r="B26" s="32">
        <v>6098.5</v>
      </c>
      <c r="C26" s="36">
        <f t="shared" si="0"/>
        <v>6.0984999999999996</v>
      </c>
      <c r="D26" s="12">
        <f t="shared" si="2"/>
        <v>0.42506545000000001</v>
      </c>
      <c r="E26" s="12">
        <f t="shared" si="1"/>
        <v>1.8976136160714287E-2</v>
      </c>
      <c r="F26" s="12">
        <f>E26/Calculation!K$4*1000</f>
        <v>1.2830382799671594E-2</v>
      </c>
      <c r="G26" s="12">
        <f t="shared" si="3"/>
        <v>2.5541194889162564</v>
      </c>
    </row>
    <row r="27" spans="1:7">
      <c r="A27" s="35">
        <v>11</v>
      </c>
      <c r="B27" s="32">
        <v>7158.06</v>
      </c>
      <c r="C27" s="36">
        <f t="shared" si="0"/>
        <v>7.1580600000000008</v>
      </c>
      <c r="D27" s="12">
        <f t="shared" si="2"/>
        <v>0.49891678200000006</v>
      </c>
      <c r="E27" s="12">
        <f t="shared" si="1"/>
        <v>2.2273070625000006E-2</v>
      </c>
      <c r="F27" s="12">
        <f>E27/Calculation!K$4*1000</f>
        <v>1.5059547413793107E-2</v>
      </c>
      <c r="G27" s="12">
        <f t="shared" si="3"/>
        <v>2.972468442118227</v>
      </c>
    </row>
    <row r="28" spans="1:7">
      <c r="A28" s="35">
        <v>11.5</v>
      </c>
      <c r="B28" s="32">
        <v>8358.7099999999991</v>
      </c>
      <c r="C28" s="36">
        <f t="shared" si="0"/>
        <v>8.3587099999999985</v>
      </c>
      <c r="D28" s="12">
        <f t="shared" si="2"/>
        <v>0.58260208699999994</v>
      </c>
      <c r="E28" s="12">
        <f t="shared" si="1"/>
        <v>2.6009021741071427E-2</v>
      </c>
      <c r="F28" s="12">
        <f>E28/Calculation!K$4*1000</f>
        <v>1.7585545463875203E-2</v>
      </c>
      <c r="G28" s="12">
        <f t="shared" si="3"/>
        <v>3.4621448352832518</v>
      </c>
    </row>
    <row r="29" spans="1:7">
      <c r="A29" s="35">
        <v>12</v>
      </c>
      <c r="B29" s="32">
        <v>9510.64</v>
      </c>
      <c r="C29" s="36">
        <f t="shared" si="0"/>
        <v>9.5106399999999987</v>
      </c>
      <c r="D29" s="12">
        <f t="shared" si="2"/>
        <v>0.66289160799999991</v>
      </c>
      <c r="E29" s="12">
        <f t="shared" si="1"/>
        <v>2.9593375357142855E-2</v>
      </c>
      <c r="F29" s="12">
        <f>E29/Calculation!K$4*1000</f>
        <v>2.0009043513957308E-2</v>
      </c>
      <c r="G29" s="12">
        <f t="shared" si="3"/>
        <v>4.0260636699507391</v>
      </c>
    </row>
    <row r="30" spans="1:7">
      <c r="A30" s="35">
        <v>12.5</v>
      </c>
      <c r="B30" s="32">
        <v>10577.81</v>
      </c>
      <c r="C30" s="36">
        <f t="shared" si="0"/>
        <v>10.577809999999999</v>
      </c>
      <c r="D30" s="12">
        <f t="shared" si="2"/>
        <v>0.73727335700000007</v>
      </c>
      <c r="E30" s="12">
        <f t="shared" si="1"/>
        <v>3.2913989151785721E-2</v>
      </c>
      <c r="F30" s="12">
        <f>E30/Calculation!K$4*1000</f>
        <v>2.2254218493431861E-2</v>
      </c>
      <c r="G30" s="12">
        <f t="shared" si="3"/>
        <v>4.6600126000615765</v>
      </c>
    </row>
    <row r="31" spans="1:7">
      <c r="A31" s="35">
        <v>13</v>
      </c>
      <c r="B31" s="32">
        <v>11628.74</v>
      </c>
      <c r="C31" s="36">
        <f t="shared" si="0"/>
        <v>11.628740000000001</v>
      </c>
      <c r="D31" s="12">
        <f t="shared" si="2"/>
        <v>0.81052317800000007</v>
      </c>
      <c r="E31" s="12">
        <f t="shared" si="1"/>
        <v>3.6184070446428573E-2</v>
      </c>
      <c r="F31" s="12">
        <f>E31/Calculation!K$4*1000</f>
        <v>2.4465226806239738E-2</v>
      </c>
      <c r="G31" s="12">
        <f t="shared" si="3"/>
        <v>5.3608042795566506</v>
      </c>
    </row>
    <row r="32" spans="1:7">
      <c r="A32" s="35">
        <v>13.5</v>
      </c>
      <c r="B32" s="32">
        <v>12455.34</v>
      </c>
      <c r="C32" s="36">
        <f t="shared" si="0"/>
        <v>12.45534</v>
      </c>
      <c r="D32" s="12">
        <f t="shared" si="2"/>
        <v>0.868137198</v>
      </c>
      <c r="E32" s="12">
        <f t="shared" si="1"/>
        <v>3.8756124910714285E-2</v>
      </c>
      <c r="F32" s="12">
        <f>E32/Calculation!K$4*1000</f>
        <v>2.6204276477832512E-2</v>
      </c>
      <c r="G32" s="12">
        <f t="shared" si="3"/>
        <v>6.1208468288177347</v>
      </c>
    </row>
    <row r="33" spans="1:7">
      <c r="A33" s="35">
        <v>14</v>
      </c>
      <c r="B33" s="32">
        <v>13115.97</v>
      </c>
      <c r="C33" s="36">
        <f t="shared" si="0"/>
        <v>13.115969999999999</v>
      </c>
      <c r="D33" s="12">
        <f t="shared" si="2"/>
        <v>0.91418310899999999</v>
      </c>
      <c r="E33" s="12">
        <f t="shared" si="1"/>
        <v>4.0811745937500005E-2</v>
      </c>
      <c r="F33" s="12">
        <f>E33/Calculation!K$4*1000</f>
        <v>2.7594148706896554E-2</v>
      </c>
      <c r="G33" s="12">
        <f t="shared" si="3"/>
        <v>6.9278232065886707</v>
      </c>
    </row>
    <row r="34" spans="1:7">
      <c r="A34" s="35">
        <v>14.5</v>
      </c>
      <c r="B34" s="32">
        <v>13374.82</v>
      </c>
      <c r="C34" s="36">
        <f t="shared" si="0"/>
        <v>13.37482</v>
      </c>
      <c r="D34" s="12">
        <f t="shared" si="2"/>
        <v>0.93222495399999994</v>
      </c>
      <c r="E34" s="12">
        <f t="shared" si="1"/>
        <v>4.1617185446428569E-2</v>
      </c>
      <c r="F34" s="12">
        <f>E34/Calculation!K$4*1000</f>
        <v>2.8138732553366172E-2</v>
      </c>
      <c r="G34" s="12">
        <f t="shared" si="3"/>
        <v>7.7638164254926112</v>
      </c>
    </row>
    <row r="35" spans="1:7">
      <c r="A35" s="35">
        <v>15</v>
      </c>
      <c r="B35" s="32">
        <v>13374.31</v>
      </c>
      <c r="C35" s="36">
        <f t="shared" si="0"/>
        <v>13.374309999999999</v>
      </c>
      <c r="D35" s="12">
        <f t="shared" si="2"/>
        <v>0.93218940699999997</v>
      </c>
      <c r="E35" s="12">
        <f t="shared" si="1"/>
        <v>4.1615598526785716E-2</v>
      </c>
      <c r="F35" s="12">
        <f>E35/Calculation!K$4*1000</f>
        <v>2.8137659585385881E-2</v>
      </c>
      <c r="G35" s="12">
        <f t="shared" si="3"/>
        <v>8.6079623075738922</v>
      </c>
    </row>
    <row r="36" spans="1:7">
      <c r="A36" s="35">
        <v>15.5</v>
      </c>
      <c r="B36" s="32">
        <v>13708.43</v>
      </c>
      <c r="C36" s="36">
        <f t="shared" si="0"/>
        <v>13.70843</v>
      </c>
      <c r="D36" s="12">
        <f t="shared" si="2"/>
        <v>0.95547757100000008</v>
      </c>
      <c r="E36" s="12">
        <f t="shared" si="1"/>
        <v>4.2655248705357147E-2</v>
      </c>
      <c r="F36" s="12">
        <f>E36/Calculation!K$4*1000</f>
        <v>2.8840600882594419E-2</v>
      </c>
      <c r="G36" s="12">
        <f t="shared" si="3"/>
        <v>9.4626362145935961</v>
      </c>
    </row>
    <row r="37" spans="1:7">
      <c r="A37" s="35">
        <v>16</v>
      </c>
      <c r="B37" s="32">
        <v>13400.02</v>
      </c>
      <c r="C37" s="36">
        <f t="shared" si="0"/>
        <v>13.40002</v>
      </c>
      <c r="D37" s="12">
        <f t="shared" si="2"/>
        <v>0.93398139400000002</v>
      </c>
      <c r="E37" s="12">
        <f t="shared" si="1"/>
        <v>4.1695597946428575E-2</v>
      </c>
      <c r="F37" s="12">
        <f>E37/Calculation!K$4*1000</f>
        <v>2.8191749794745487E-2</v>
      </c>
      <c r="G37" s="12">
        <f t="shared" si="3"/>
        <v>10.318121474753694</v>
      </c>
    </row>
    <row r="38" spans="1:7">
      <c r="A38" s="35">
        <v>16.5</v>
      </c>
      <c r="B38" s="32">
        <v>13328.46</v>
      </c>
      <c r="C38" s="36">
        <f t="shared" si="0"/>
        <v>13.32846</v>
      </c>
      <c r="D38" s="12">
        <f t="shared" si="2"/>
        <v>0.92899366200000011</v>
      </c>
      <c r="E38" s="12">
        <f t="shared" si="1"/>
        <v>4.1472931339285722E-2</v>
      </c>
      <c r="F38" s="12">
        <f>E38/Calculation!K$4*1000</f>
        <v>2.8041197660098528E-2</v>
      </c>
      <c r="G38" s="12">
        <f t="shared" si="3"/>
        <v>11.161615686576354</v>
      </c>
    </row>
    <row r="39" spans="1:7">
      <c r="A39" s="35">
        <v>17</v>
      </c>
      <c r="B39" s="32">
        <v>13226.28</v>
      </c>
      <c r="C39" s="36">
        <f t="shared" si="0"/>
        <v>13.226280000000001</v>
      </c>
      <c r="D39" s="12">
        <f t="shared" si="2"/>
        <v>0.92187171600000017</v>
      </c>
      <c r="E39" s="12">
        <f t="shared" si="1"/>
        <v>4.1154987321428582E-2</v>
      </c>
      <c r="F39" s="12">
        <f>E39/Calculation!K$4*1000</f>
        <v>2.7826225369458137E-2</v>
      </c>
      <c r="G39" s="12">
        <f>G38+(F39+F38)/2*30</f>
        <v>11.999627032019704</v>
      </c>
    </row>
    <row r="40" spans="1:7">
      <c r="A40" s="35">
        <v>17.5</v>
      </c>
      <c r="B40" s="32">
        <v>12587.3</v>
      </c>
      <c r="C40" s="36">
        <f t="shared" si="0"/>
        <v>12.587299999999999</v>
      </c>
      <c r="D40" s="12">
        <f t="shared" si="2"/>
        <v>0.87733481000000002</v>
      </c>
      <c r="E40" s="12">
        <f t="shared" si="1"/>
        <v>3.916673258928572E-2</v>
      </c>
      <c r="F40" s="12">
        <f>E40/Calculation!K$4*1000</f>
        <v>2.648190168308703E-2</v>
      </c>
      <c r="G40" s="12">
        <f t="shared" si="3"/>
        <v>12.814248937807882</v>
      </c>
    </row>
    <row r="41" spans="1:7">
      <c r="A41" s="35">
        <v>18</v>
      </c>
      <c r="B41" s="32">
        <v>11946.11</v>
      </c>
      <c r="C41" s="36">
        <f t="shared" si="0"/>
        <v>11.946110000000001</v>
      </c>
      <c r="D41" s="12">
        <f t="shared" si="2"/>
        <v>0.83264386700000015</v>
      </c>
      <c r="E41" s="12">
        <f t="shared" si="1"/>
        <v>3.7171601205357153E-2</v>
      </c>
      <c r="F41" s="12">
        <f>E41/Calculation!K$4*1000</f>
        <v>2.513292846880132E-2</v>
      </c>
      <c r="G41" s="12">
        <f t="shared" si="3"/>
        <v>13.588471390086207</v>
      </c>
    </row>
    <row r="42" spans="1:7">
      <c r="A42" s="35">
        <v>18.5</v>
      </c>
      <c r="B42" s="32">
        <v>11230.83</v>
      </c>
      <c r="C42" s="36">
        <f t="shared" si="0"/>
        <v>11.230829999999999</v>
      </c>
      <c r="D42" s="12">
        <f t="shared" si="2"/>
        <v>0.78278885099999995</v>
      </c>
      <c r="E42" s="12">
        <f t="shared" si="1"/>
        <v>3.4945930848214284E-2</v>
      </c>
      <c r="F42" s="12">
        <f>E42/Calculation!K$4*1000</f>
        <v>2.3628080357142856E-2</v>
      </c>
      <c r="G42" s="12">
        <f t="shared" si="3"/>
        <v>14.31988652247537</v>
      </c>
    </row>
    <row r="43" spans="1:7">
      <c r="A43" s="35">
        <v>19</v>
      </c>
      <c r="B43" s="32">
        <v>10301.540000000001</v>
      </c>
      <c r="C43" s="36">
        <f t="shared" si="0"/>
        <v>10.301540000000001</v>
      </c>
      <c r="D43" s="12">
        <f t="shared" si="2"/>
        <v>0.71801733800000012</v>
      </c>
      <c r="E43" s="12">
        <f t="shared" si="1"/>
        <v>3.205434544642858E-2</v>
      </c>
      <c r="F43" s="12">
        <f>E43/Calculation!K$4*1000</f>
        <v>2.16729854269294E-2</v>
      </c>
      <c r="G43" s="12">
        <f t="shared" si="3"/>
        <v>14.999402509236454</v>
      </c>
    </row>
    <row r="44" spans="1:7">
      <c r="A44" s="35">
        <v>19.5</v>
      </c>
      <c r="B44" s="32">
        <v>9809.24</v>
      </c>
      <c r="C44" s="36">
        <f t="shared" si="0"/>
        <v>9.8092399999999991</v>
      </c>
      <c r="D44" s="12">
        <f t="shared" si="2"/>
        <v>0.68370402799999996</v>
      </c>
      <c r="E44" s="12">
        <f t="shared" si="1"/>
        <v>3.052250125E-2</v>
      </c>
      <c r="F44" s="12">
        <f>E44/Calculation!K$4*1000</f>
        <v>2.0637255747126437E-2</v>
      </c>
      <c r="G44" s="12">
        <f t="shared" si="3"/>
        <v>15.634056126847291</v>
      </c>
    </row>
    <row r="45" spans="1:7">
      <c r="A45" s="35">
        <v>20</v>
      </c>
      <c r="B45" s="32">
        <v>8900.25</v>
      </c>
      <c r="C45" s="36">
        <f t="shared" si="0"/>
        <v>8.9002499999999998</v>
      </c>
      <c r="D45" s="12">
        <f t="shared" si="2"/>
        <v>0.62034742500000006</v>
      </c>
      <c r="E45" s="12">
        <f t="shared" si="1"/>
        <v>2.769408147321429E-2</v>
      </c>
      <c r="F45" s="12">
        <f>E45/Calculation!K$4*1000</f>
        <v>1.8724869150246307E-2</v>
      </c>
      <c r="G45" s="12">
        <f t="shared" si="3"/>
        <v>16.224488000307883</v>
      </c>
    </row>
    <row r="46" spans="1:7">
      <c r="A46" s="35">
        <v>20.5</v>
      </c>
      <c r="B46" s="32">
        <v>8226.08</v>
      </c>
      <c r="C46" s="36">
        <f t="shared" si="0"/>
        <v>8.2260799999999996</v>
      </c>
      <c r="D46" s="12">
        <f t="shared" si="2"/>
        <v>0.57335777600000004</v>
      </c>
      <c r="E46" s="12">
        <f t="shared" si="1"/>
        <v>2.559632928571429E-2</v>
      </c>
      <c r="F46" s="12">
        <f>E46/Calculation!K$4*1000</f>
        <v>1.7306510673234816E-2</v>
      </c>
      <c r="G46" s="12">
        <f t="shared" si="3"/>
        <v>16.764958697660099</v>
      </c>
    </row>
    <row r="47" spans="1:7">
      <c r="A47" s="35">
        <v>21</v>
      </c>
      <c r="B47" s="32">
        <v>7623.97</v>
      </c>
      <c r="C47" s="36">
        <f t="shared" si="0"/>
        <v>7.6239699999999999</v>
      </c>
      <c r="D47" s="12">
        <f t="shared" si="2"/>
        <v>0.53139070899999996</v>
      </c>
      <c r="E47" s="12">
        <f t="shared" si="1"/>
        <v>2.3722799508928572E-2</v>
      </c>
      <c r="F47" s="12">
        <f>E47/Calculation!K$4*1000</f>
        <v>1.6039756260262727E-2</v>
      </c>
      <c r="G47" s="12">
        <f t="shared" si="3"/>
        <v>17.265152701662561</v>
      </c>
    </row>
    <row r="48" spans="1:7">
      <c r="A48" s="35">
        <v>21.5</v>
      </c>
      <c r="B48" s="32">
        <v>6976.19</v>
      </c>
      <c r="C48" s="36">
        <f t="shared" si="0"/>
        <v>6.9761899999999999</v>
      </c>
      <c r="D48" s="12">
        <f t="shared" si="2"/>
        <v>0.48624044300000002</v>
      </c>
      <c r="E48" s="12">
        <f t="shared" si="1"/>
        <v>2.1707162633928575E-2</v>
      </c>
      <c r="F48" s="12">
        <f>E48/Calculation!K$4*1000</f>
        <v>1.4676918616584567E-2</v>
      </c>
      <c r="G48" s="12">
        <f t="shared" si="3"/>
        <v>17.725902824815272</v>
      </c>
    </row>
    <row r="49" spans="1:7">
      <c r="A49" s="35">
        <v>22</v>
      </c>
      <c r="B49" s="32">
        <v>6446.5</v>
      </c>
      <c r="C49" s="36">
        <f t="shared" si="0"/>
        <v>6.4465000000000003</v>
      </c>
      <c r="D49" s="12">
        <f t="shared" si="2"/>
        <v>0.44932105</v>
      </c>
      <c r="E49" s="12">
        <f t="shared" si="1"/>
        <v>2.0058975446428574E-2</v>
      </c>
      <c r="F49" s="12">
        <f>E49/Calculation!K$4*1000</f>
        <v>1.3562525656814452E-2</v>
      </c>
      <c r="G49" s="12">
        <f t="shared" si="3"/>
        <v>18.149494488916257</v>
      </c>
    </row>
    <row r="50" spans="1:7">
      <c r="A50" s="35">
        <v>22.5</v>
      </c>
      <c r="B50" s="32">
        <v>6083.28</v>
      </c>
      <c r="C50" s="36">
        <f t="shared" si="0"/>
        <v>6.0832799999999994</v>
      </c>
      <c r="D50" s="12">
        <f t="shared" si="2"/>
        <v>0.42400461599999995</v>
      </c>
      <c r="E50" s="12">
        <f t="shared" si="1"/>
        <v>1.8928777499999997E-2</v>
      </c>
      <c r="F50" s="12">
        <f>E50/Calculation!K$4*1000</f>
        <v>1.2798362068965514E-2</v>
      </c>
      <c r="G50" s="12">
        <f t="shared" si="3"/>
        <v>18.544907804802957</v>
      </c>
    </row>
    <row r="51" spans="1:7">
      <c r="A51" s="35">
        <v>23</v>
      </c>
      <c r="B51" s="32">
        <v>5779.77</v>
      </c>
      <c r="C51" s="36">
        <f t="shared" si="0"/>
        <v>5.7797700000000001</v>
      </c>
      <c r="D51" s="12">
        <f t="shared" si="2"/>
        <v>0.40284996900000003</v>
      </c>
      <c r="E51" s="12">
        <f t="shared" si="1"/>
        <v>1.7984373616071431E-2</v>
      </c>
      <c r="F51" s="12">
        <f>E51/Calculation!K$4*1000</f>
        <v>1.2159819889162564E-2</v>
      </c>
      <c r="G51" s="12">
        <f t="shared" si="3"/>
        <v>18.919280534174877</v>
      </c>
    </row>
    <row r="52" spans="1:7">
      <c r="A52" s="35">
        <v>23.5</v>
      </c>
      <c r="B52" s="32">
        <v>5467.3</v>
      </c>
      <c r="C52" s="36">
        <f t="shared" si="0"/>
        <v>5.4672999999999998</v>
      </c>
      <c r="D52" s="12">
        <f t="shared" si="2"/>
        <v>0.38107080999999998</v>
      </c>
      <c r="E52" s="12">
        <f t="shared" si="1"/>
        <v>1.7012089732142858E-2</v>
      </c>
      <c r="F52" s="12">
        <f>E52/Calculation!K$4*1000</f>
        <v>1.1502427134646963E-2</v>
      </c>
      <c r="G52" s="12">
        <f t="shared" si="3"/>
        <v>19.274214239532022</v>
      </c>
    </row>
    <row r="53" spans="1:7">
      <c r="A53" s="35">
        <v>24</v>
      </c>
      <c r="B53" s="32">
        <v>5310.98</v>
      </c>
      <c r="C53" s="36">
        <f t="shared" si="0"/>
        <v>5.3109799999999998</v>
      </c>
      <c r="D53" s="12">
        <f t="shared" si="2"/>
        <v>0.37017530599999998</v>
      </c>
      <c r="E53" s="12">
        <f t="shared" si="1"/>
        <v>1.6525683303571428E-2</v>
      </c>
      <c r="F53" s="12">
        <f>E53/Calculation!K$4*1000</f>
        <v>1.1173551929392445E-2</v>
      </c>
      <c r="G53" s="12">
        <f t="shared" si="3"/>
        <v>19.614353925492612</v>
      </c>
    </row>
    <row r="54" spans="1:7">
      <c r="A54" s="35">
        <v>24.5</v>
      </c>
      <c r="B54" s="32">
        <v>5231.8100000000004</v>
      </c>
      <c r="C54" s="36">
        <f t="shared" si="0"/>
        <v>5.2318100000000003</v>
      </c>
      <c r="D54" s="12">
        <f t="shared" si="2"/>
        <v>0.36465715700000001</v>
      </c>
      <c r="E54" s="12">
        <f t="shared" si="1"/>
        <v>1.6279337366071431E-2</v>
      </c>
      <c r="F54" s="12">
        <f>E54/Calculation!K$4*1000</f>
        <v>1.1006989429392449E-2</v>
      </c>
      <c r="G54" s="12">
        <f t="shared" si="3"/>
        <v>19.947062045874386</v>
      </c>
    </row>
    <row r="55" spans="1:7">
      <c r="A55" s="35">
        <v>25</v>
      </c>
      <c r="B55" s="32">
        <v>4954.3599999999997</v>
      </c>
      <c r="C55" s="36">
        <f t="shared" si="0"/>
        <v>4.9543599999999994</v>
      </c>
      <c r="D55" s="12">
        <f t="shared" si="2"/>
        <v>0.34531889199999999</v>
      </c>
      <c r="E55" s="12">
        <f t="shared" si="1"/>
        <v>1.5416021964285714E-2</v>
      </c>
      <c r="F55" s="12">
        <f>E55/Calculation!K$4*1000</f>
        <v>1.0423273809523809E-2</v>
      </c>
      <c r="G55" s="12">
        <f t="shared" si="3"/>
        <v>20.268515994458131</v>
      </c>
    </row>
    <row r="56" spans="1:7">
      <c r="A56" s="35">
        <v>25.5</v>
      </c>
      <c r="B56" s="32">
        <v>4693.99</v>
      </c>
      <c r="C56" s="36">
        <f t="shared" si="0"/>
        <v>4.6939899999999994</v>
      </c>
      <c r="D56" s="12">
        <f t="shared" si="2"/>
        <v>0.32717110299999996</v>
      </c>
      <c r="E56" s="12">
        <f t="shared" si="1"/>
        <v>1.4605852812499999E-2</v>
      </c>
      <c r="F56" s="12">
        <f>E56/Calculation!K$4*1000</f>
        <v>9.8754920977011471E-3</v>
      </c>
      <c r="G56" s="12">
        <f t="shared" si="3"/>
        <v>20.572997483066505</v>
      </c>
    </row>
    <row r="57" spans="1:7">
      <c r="A57" s="35">
        <v>26</v>
      </c>
      <c r="B57" s="32">
        <v>4461.37</v>
      </c>
      <c r="C57" s="36">
        <f t="shared" si="0"/>
        <v>4.4613699999999996</v>
      </c>
      <c r="D57" s="12">
        <f t="shared" si="2"/>
        <v>0.31095748899999998</v>
      </c>
      <c r="E57" s="12">
        <f t="shared" si="1"/>
        <v>1.3882030758928571E-2</v>
      </c>
      <c r="F57" s="12">
        <f>E57/Calculation!K$4*1000</f>
        <v>9.3860924671592769E-3</v>
      </c>
      <c r="G57" s="12">
        <f t="shared" si="3"/>
        <v>20.86192125153941</v>
      </c>
    </row>
    <row r="58" spans="1:7">
      <c r="A58" s="35">
        <v>26.5</v>
      </c>
      <c r="B58" s="32">
        <v>5825.28</v>
      </c>
      <c r="C58" s="36">
        <f t="shared" si="0"/>
        <v>5.8252799999999993</v>
      </c>
      <c r="D58" s="12">
        <f t="shared" si="2"/>
        <v>0.40602201599999999</v>
      </c>
      <c r="E58" s="12">
        <f t="shared" si="1"/>
        <v>1.8125982857142859E-2</v>
      </c>
      <c r="F58" s="12">
        <f>E58/Calculation!K$4*1000</f>
        <v>1.2255566502463055E-2</v>
      </c>
      <c r="G58" s="12">
        <f t="shared" si="3"/>
        <v>21.186546136083745</v>
      </c>
    </row>
    <row r="59" spans="1:7">
      <c r="A59" s="35">
        <v>27</v>
      </c>
      <c r="B59" s="32">
        <v>5563.39</v>
      </c>
      <c r="C59" s="36">
        <f t="shared" si="0"/>
        <v>5.5633900000000001</v>
      </c>
      <c r="D59" s="12">
        <f t="shared" si="2"/>
        <v>0.38776828299999999</v>
      </c>
      <c r="E59" s="12">
        <f t="shared" si="1"/>
        <v>1.7311084062499999E-2</v>
      </c>
      <c r="F59" s="12">
        <f>E59/Calculation!K$4*1000</f>
        <v>1.1704586925287357E-2</v>
      </c>
      <c r="G59" s="12">
        <f t="shared" si="3"/>
        <v>21.545948437500002</v>
      </c>
    </row>
    <row r="60" spans="1:7">
      <c r="A60" s="35">
        <v>27.5</v>
      </c>
      <c r="B60" s="32">
        <v>4930.5</v>
      </c>
      <c r="C60" s="36">
        <f t="shared" si="0"/>
        <v>4.9305000000000003</v>
      </c>
      <c r="D60" s="12">
        <f t="shared" si="2"/>
        <v>0.34365585000000004</v>
      </c>
      <c r="E60" s="12">
        <f t="shared" si="1"/>
        <v>1.5341779017857146E-2</v>
      </c>
      <c r="F60" s="12">
        <f>E60/Calculation!K$4*1000</f>
        <v>1.0373075738916259E-2</v>
      </c>
      <c r="G60" s="12">
        <f t="shared" si="3"/>
        <v>21.877113377463054</v>
      </c>
    </row>
    <row r="61" spans="1:7">
      <c r="A61" s="35">
        <v>28</v>
      </c>
      <c r="B61" s="32">
        <v>4534.12</v>
      </c>
      <c r="C61" s="36">
        <f t="shared" si="0"/>
        <v>4.5341199999999997</v>
      </c>
      <c r="D61" s="12">
        <f t="shared" si="2"/>
        <v>0.316028164</v>
      </c>
      <c r="E61" s="12">
        <f t="shared" si="1"/>
        <v>1.410840017857143E-2</v>
      </c>
      <c r="F61" s="12">
        <f>E61/Calculation!K$4*1000</f>
        <v>9.5391481937602638E-3</v>
      </c>
      <c r="G61" s="12">
        <f t="shared" si="3"/>
        <v>22.175796736453201</v>
      </c>
    </row>
    <row r="62" spans="1:7">
      <c r="A62" s="35">
        <v>28.5</v>
      </c>
      <c r="B62" s="32">
        <v>4294.5600000000004</v>
      </c>
      <c r="C62" s="36">
        <f t="shared" si="0"/>
        <v>4.2945600000000006</v>
      </c>
      <c r="D62" s="12">
        <f t="shared" si="2"/>
        <v>0.29933083200000005</v>
      </c>
      <c r="E62" s="12">
        <f t="shared" si="1"/>
        <v>1.3362983571428575E-2</v>
      </c>
      <c r="F62" s="12">
        <f>E62/Calculation!K$4*1000</f>
        <v>9.0351477832512333E-3</v>
      </c>
      <c r="G62" s="12">
        <f t="shared" si="3"/>
        <v>22.454411176108373</v>
      </c>
    </row>
    <row r="63" spans="1:7">
      <c r="A63" s="35">
        <v>29</v>
      </c>
      <c r="B63" s="32">
        <v>4167.51</v>
      </c>
      <c r="C63" s="36">
        <f t="shared" si="0"/>
        <v>4.16751</v>
      </c>
      <c r="D63" s="12">
        <f t="shared" si="2"/>
        <v>0.290475447</v>
      </c>
      <c r="E63" s="12">
        <f t="shared" si="1"/>
        <v>1.2967653883928572E-2</v>
      </c>
      <c r="F63" s="12">
        <f>E63/Calculation!K$4*1000</f>
        <v>8.7678525246305417E-3</v>
      </c>
      <c r="G63" s="12">
        <f t="shared" si="3"/>
        <v>22.721456180726598</v>
      </c>
    </row>
    <row r="64" spans="1:7">
      <c r="A64" s="35">
        <v>29.5</v>
      </c>
      <c r="B64" s="32">
        <v>3992.75</v>
      </c>
      <c r="C64" s="36">
        <f t="shared" si="0"/>
        <v>3.99275</v>
      </c>
      <c r="D64" s="12">
        <f t="shared" si="2"/>
        <v>0.27829467499999999</v>
      </c>
      <c r="E64" s="12">
        <f t="shared" si="1"/>
        <v>1.2423869419642858E-2</v>
      </c>
      <c r="F64" s="12">
        <f>E64/Calculation!K$4*1000</f>
        <v>8.4001821633825947E-3</v>
      </c>
      <c r="G64" s="12">
        <f t="shared" si="3"/>
        <v>22.978976701046793</v>
      </c>
    </row>
    <row r="65" spans="1:7">
      <c r="A65" s="35">
        <v>30</v>
      </c>
      <c r="B65" s="32">
        <v>4022.36</v>
      </c>
      <c r="C65" s="36">
        <f t="shared" si="0"/>
        <v>4.0223599999999999</v>
      </c>
      <c r="D65" s="12">
        <f t="shared" si="2"/>
        <v>0.28035849200000001</v>
      </c>
      <c r="E65" s="12">
        <f t="shared" si="1"/>
        <v>1.2516004107142858E-2</v>
      </c>
      <c r="F65" s="12">
        <f>E65/Calculation!K$4*1000</f>
        <v>8.4624774220032842E-3</v>
      </c>
      <c r="G65" s="12">
        <f t="shared" si="3"/>
        <v>23.231916594827581</v>
      </c>
    </row>
    <row r="66" spans="1:7">
      <c r="A66" s="35">
        <v>30.5</v>
      </c>
      <c r="B66" s="32">
        <v>4610.08</v>
      </c>
      <c r="C66" s="36">
        <f t="shared" si="0"/>
        <v>4.61008</v>
      </c>
      <c r="D66" s="12">
        <f t="shared" si="2"/>
        <v>0.32132257600000003</v>
      </c>
      <c r="E66" s="12">
        <f t="shared" si="1"/>
        <v>1.434475785714286E-2</v>
      </c>
      <c r="F66" s="12">
        <f>E66/Calculation!K$4*1000</f>
        <v>9.6989573070607564E-3</v>
      </c>
      <c r="G66" s="12">
        <f t="shared" si="3"/>
        <v>23.504338115763542</v>
      </c>
    </row>
    <row r="67" spans="1:7">
      <c r="A67" s="35">
        <v>31</v>
      </c>
      <c r="B67" s="32">
        <v>4349.21</v>
      </c>
      <c r="C67" s="36">
        <f t="shared" si="0"/>
        <v>4.3492100000000002</v>
      </c>
      <c r="D67" s="12">
        <f t="shared" si="2"/>
        <v>0.30313993700000003</v>
      </c>
      <c r="E67" s="12">
        <f t="shared" si="1"/>
        <v>1.3533032901785716E-2</v>
      </c>
      <c r="F67" s="12">
        <f>E67/Calculation!K$4*1000</f>
        <v>9.150123665845649E-3</v>
      </c>
      <c r="G67" s="12">
        <f t="shared" si="3"/>
        <v>23.787074330357136</v>
      </c>
    </row>
    <row r="68" spans="1:7">
      <c r="A68" s="35">
        <v>31.5</v>
      </c>
      <c r="B68" s="32">
        <v>4061.78</v>
      </c>
      <c r="C68" s="36">
        <f t="shared" si="0"/>
        <v>4.0617800000000006</v>
      </c>
      <c r="D68" s="12">
        <f t="shared" si="2"/>
        <v>0.2831060660000001</v>
      </c>
      <c r="E68" s="12">
        <f t="shared" si="1"/>
        <v>1.263866366071429E-2</v>
      </c>
      <c r="F68" s="12">
        <f>E68/Calculation!K$4*1000</f>
        <v>8.5454115353037798E-3</v>
      </c>
      <c r="G68" s="12">
        <f t="shared" si="3"/>
        <v>24.052507358374378</v>
      </c>
    </row>
    <row r="69" spans="1:7">
      <c r="A69" s="35">
        <v>32</v>
      </c>
      <c r="B69" s="32">
        <v>3865.02</v>
      </c>
      <c r="C69" s="36">
        <f t="shared" si="0"/>
        <v>3.8650199999999999</v>
      </c>
      <c r="D69" s="12">
        <f t="shared" si="2"/>
        <v>0.26939189400000002</v>
      </c>
      <c r="E69" s="12">
        <f t="shared" si="1"/>
        <v>1.2026423839285715E-2</v>
      </c>
      <c r="F69" s="12">
        <f>E69/Calculation!K$4*1000</f>
        <v>8.1314562807881779E-3</v>
      </c>
      <c r="G69" s="12">
        <f t="shared" si="3"/>
        <v>24.302660375615758</v>
      </c>
    </row>
    <row r="70" spans="1:7">
      <c r="A70" s="35">
        <v>32.5</v>
      </c>
      <c r="B70" s="32">
        <v>3738.14</v>
      </c>
      <c r="C70" s="36">
        <f t="shared" ref="C70:C101" si="4">B70/1000</f>
        <v>3.73814</v>
      </c>
      <c r="D70" s="12">
        <f t="shared" ref="D70:D101" si="5">C70/1000*$B$1</f>
        <v>0.26054835800000004</v>
      </c>
      <c r="E70" s="12">
        <f t="shared" ref="E70:E101" si="6">D70/22.4</f>
        <v>1.1631623125000002E-2</v>
      </c>
      <c r="F70" s="12">
        <f>E70/Calculation!K$4*1000</f>
        <v>7.8645186781609224E-3</v>
      </c>
      <c r="G70" s="12">
        <f t="shared" si="3"/>
        <v>24.542599999999997</v>
      </c>
    </row>
    <row r="71" spans="1:7">
      <c r="A71" s="35">
        <v>33</v>
      </c>
      <c r="B71" s="32">
        <v>3662.35</v>
      </c>
      <c r="C71" s="36">
        <f t="shared" si="4"/>
        <v>3.66235</v>
      </c>
      <c r="D71" s="12">
        <f t="shared" si="5"/>
        <v>0.25526579500000002</v>
      </c>
      <c r="E71" s="12">
        <f t="shared" si="6"/>
        <v>1.1395794419642859E-2</v>
      </c>
      <c r="F71" s="12">
        <f>E71/Calculation!K$4*1000</f>
        <v>7.7050672208538607E-3</v>
      </c>
      <c r="G71" s="12">
        <f t="shared" ref="G71:G101" si="7">G70+(F71+F70)/2*30</f>
        <v>24.776143788485218</v>
      </c>
    </row>
    <row r="72" spans="1:7">
      <c r="A72" s="35">
        <v>33.5</v>
      </c>
      <c r="B72" s="32">
        <v>3626.31</v>
      </c>
      <c r="C72" s="36">
        <f t="shared" si="4"/>
        <v>3.6263100000000001</v>
      </c>
      <c r="D72" s="12">
        <f t="shared" si="5"/>
        <v>0.25275380700000005</v>
      </c>
      <c r="E72" s="12">
        <f t="shared" si="6"/>
        <v>1.1283652098214289E-2</v>
      </c>
      <c r="F72" s="12">
        <f>E72/Calculation!K$4*1000</f>
        <v>7.6292441502463079E-3</v>
      </c>
      <c r="G72" s="12">
        <f t="shared" si="7"/>
        <v>25.006158459051722</v>
      </c>
    </row>
    <row r="73" spans="1:7">
      <c r="A73" s="35">
        <v>34</v>
      </c>
      <c r="B73" s="32">
        <v>3554.25</v>
      </c>
      <c r="C73" s="36">
        <f t="shared" si="4"/>
        <v>3.5542500000000001</v>
      </c>
      <c r="D73" s="12">
        <f t="shared" si="5"/>
        <v>0.24773122500000003</v>
      </c>
      <c r="E73" s="12">
        <f t="shared" si="6"/>
        <v>1.1059429687500002E-2</v>
      </c>
      <c r="F73" s="12">
        <f>E73/Calculation!K$4*1000</f>
        <v>7.4776400862068982E-3</v>
      </c>
      <c r="G73" s="12">
        <f t="shared" si="7"/>
        <v>25.232761722598521</v>
      </c>
    </row>
    <row r="74" spans="1:7">
      <c r="A74" s="35">
        <v>34.5</v>
      </c>
      <c r="B74" s="32">
        <v>3488.6</v>
      </c>
      <c r="C74" s="36">
        <f t="shared" si="4"/>
        <v>3.4885999999999999</v>
      </c>
      <c r="D74" s="12">
        <f t="shared" si="5"/>
        <v>0.24315542000000001</v>
      </c>
      <c r="E74" s="12">
        <f t="shared" si="6"/>
        <v>1.085515267857143E-2</v>
      </c>
      <c r="F74" s="12">
        <f>E74/Calculation!K$4*1000</f>
        <v>7.339521756978655E-3</v>
      </c>
      <c r="G74" s="12">
        <f t="shared" si="7"/>
        <v>25.455019150246304</v>
      </c>
    </row>
    <row r="75" spans="1:7">
      <c r="A75" s="35">
        <v>35</v>
      </c>
      <c r="B75" s="32">
        <v>3471.18</v>
      </c>
      <c r="C75" s="36">
        <f t="shared" si="4"/>
        <v>3.4711799999999999</v>
      </c>
      <c r="D75" s="12">
        <f t="shared" si="5"/>
        <v>0.241941246</v>
      </c>
      <c r="E75" s="12">
        <f t="shared" si="6"/>
        <v>1.0800948482142858E-2</v>
      </c>
      <c r="F75" s="12">
        <f>E75/Calculation!K$4*1000</f>
        <v>7.3028725369458135E-3</v>
      </c>
      <c r="G75" s="12">
        <f t="shared" si="7"/>
        <v>25.67465506465517</v>
      </c>
    </row>
    <row r="76" spans="1:7">
      <c r="A76" s="35">
        <v>35.5</v>
      </c>
      <c r="B76" s="32">
        <v>3444.79</v>
      </c>
      <c r="C76" s="36">
        <f t="shared" si="4"/>
        <v>3.4447899999999998</v>
      </c>
      <c r="D76" s="12">
        <f t="shared" si="5"/>
        <v>0.240101863</v>
      </c>
      <c r="E76" s="12">
        <f t="shared" si="6"/>
        <v>1.0718833169642858E-2</v>
      </c>
      <c r="F76" s="12">
        <f>E76/Calculation!K$4*1000</f>
        <v>7.2473517036124799E-3</v>
      </c>
      <c r="G76" s="12">
        <f t="shared" si="7"/>
        <v>25.892908428263546</v>
      </c>
    </row>
    <row r="77" spans="1:7">
      <c r="A77" s="35">
        <v>36</v>
      </c>
      <c r="B77" s="32">
        <v>3345.82</v>
      </c>
      <c r="C77" s="36">
        <f t="shared" si="4"/>
        <v>3.3458200000000002</v>
      </c>
      <c r="D77" s="12">
        <f t="shared" si="5"/>
        <v>0.23320365400000004</v>
      </c>
      <c r="E77" s="12">
        <f t="shared" si="6"/>
        <v>1.0410877410714288E-2</v>
      </c>
      <c r="F77" s="12">
        <f>E77/Calculation!K$4*1000</f>
        <v>7.0391327996715937E-3</v>
      </c>
      <c r="G77" s="12">
        <f t="shared" si="7"/>
        <v>26.107205695812805</v>
      </c>
    </row>
    <row r="78" spans="1:7">
      <c r="A78" s="35">
        <v>36.5</v>
      </c>
      <c r="B78" s="32">
        <v>3307.42</v>
      </c>
      <c r="C78" s="36">
        <f t="shared" si="4"/>
        <v>3.30742</v>
      </c>
      <c r="D78" s="12">
        <f t="shared" si="5"/>
        <v>0.23052717400000003</v>
      </c>
      <c r="E78" s="12">
        <f t="shared" si="6"/>
        <v>1.0291391696428573E-2</v>
      </c>
      <c r="F78" s="12">
        <f>E78/Calculation!K$4*1000</f>
        <v>6.9583446223316922E-3</v>
      </c>
      <c r="G78" s="12">
        <f t="shared" si="7"/>
        <v>26.317167857142856</v>
      </c>
    </row>
    <row r="79" spans="1:7">
      <c r="A79" s="35">
        <v>37</v>
      </c>
      <c r="B79" s="32">
        <v>3231.96</v>
      </c>
      <c r="C79" s="36">
        <f t="shared" si="4"/>
        <v>3.2319599999999999</v>
      </c>
      <c r="D79" s="12">
        <f t="shared" si="5"/>
        <v>0.22526761200000001</v>
      </c>
      <c r="E79" s="12">
        <f t="shared" si="6"/>
        <v>1.0056589821428572E-2</v>
      </c>
      <c r="F79" s="12">
        <f>E79/Calculation!K$4*1000</f>
        <v>6.7995874384236456E-3</v>
      </c>
      <c r="G79" s="12">
        <f t="shared" si="7"/>
        <v>26.523536838054184</v>
      </c>
    </row>
    <row r="80" spans="1:7">
      <c r="A80" s="35">
        <v>37.5</v>
      </c>
      <c r="B80" s="32">
        <v>3143.65</v>
      </c>
      <c r="C80" s="36">
        <f t="shared" si="4"/>
        <v>3.1436500000000001</v>
      </c>
      <c r="D80" s="12">
        <f t="shared" si="5"/>
        <v>0.21911240500000001</v>
      </c>
      <c r="E80" s="12">
        <f t="shared" si="6"/>
        <v>9.7818037946428588E-3</v>
      </c>
      <c r="F80" s="12">
        <f>E80/Calculation!K$4*1000</f>
        <v>6.6137956691297217E-3</v>
      </c>
      <c r="G80" s="12">
        <f t="shared" si="7"/>
        <v>26.724737584667484</v>
      </c>
    </row>
    <row r="81" spans="1:7">
      <c r="A81" s="35">
        <v>38</v>
      </c>
      <c r="B81" s="32">
        <v>3090.19</v>
      </c>
      <c r="C81" s="36">
        <f t="shared" si="4"/>
        <v>3.0901900000000002</v>
      </c>
      <c r="D81" s="12">
        <f t="shared" si="5"/>
        <v>0.215386243</v>
      </c>
      <c r="E81" s="12">
        <f t="shared" si="6"/>
        <v>9.615457276785715E-3</v>
      </c>
      <c r="F81" s="12">
        <f>E81/Calculation!K$4*1000</f>
        <v>6.5013233784893274E-3</v>
      </c>
      <c r="G81" s="12">
        <f t="shared" si="7"/>
        <v>26.92146437038177</v>
      </c>
    </row>
    <row r="82" spans="1:7">
      <c r="A82" s="35">
        <v>38.5</v>
      </c>
      <c r="B82" s="32">
        <v>3071.24</v>
      </c>
      <c r="C82" s="36">
        <f t="shared" si="4"/>
        <v>3.07124</v>
      </c>
      <c r="D82" s="12">
        <f t="shared" si="5"/>
        <v>0.214065428</v>
      </c>
      <c r="E82" s="12">
        <f t="shared" si="6"/>
        <v>9.5564923214285728E-3</v>
      </c>
      <c r="F82" s="12">
        <f>E82/Calculation!K$4*1000</f>
        <v>6.4614552545156001E-3</v>
      </c>
      <c r="G82" s="12">
        <f t="shared" si="7"/>
        <v>27.115906049876845</v>
      </c>
    </row>
    <row r="83" spans="1:7">
      <c r="A83" s="35">
        <v>39</v>
      </c>
      <c r="B83" s="32">
        <v>2966.18</v>
      </c>
      <c r="C83" s="36">
        <f t="shared" si="4"/>
        <v>2.96618</v>
      </c>
      <c r="D83" s="12">
        <f t="shared" si="5"/>
        <v>0.20674274600000001</v>
      </c>
      <c r="E83" s="12">
        <f t="shared" si="6"/>
        <v>9.229586875000001E-3</v>
      </c>
      <c r="F83" s="12">
        <f>E83/Calculation!K$4*1000</f>
        <v>6.2404238505747132E-3</v>
      </c>
      <c r="G83" s="12">
        <f t="shared" si="7"/>
        <v>27.3064342364532</v>
      </c>
    </row>
    <row r="84" spans="1:7">
      <c r="A84" s="35">
        <v>39.5</v>
      </c>
      <c r="B84" s="32">
        <v>2915.09</v>
      </c>
      <c r="C84" s="36">
        <f t="shared" si="4"/>
        <v>2.9150900000000002</v>
      </c>
      <c r="D84" s="12">
        <f t="shared" si="5"/>
        <v>0.20318177300000004</v>
      </c>
      <c r="E84" s="12">
        <f t="shared" si="6"/>
        <v>9.070614866071431E-3</v>
      </c>
      <c r="F84" s="12">
        <f>E84/Calculation!K$4*1000</f>
        <v>6.1329377052545177E-3</v>
      </c>
      <c r="G84" s="12">
        <f t="shared" si="7"/>
        <v>27.492034659790637</v>
      </c>
    </row>
    <row r="85" spans="1:7">
      <c r="A85" s="35">
        <v>40</v>
      </c>
      <c r="B85" s="32">
        <v>2877.71</v>
      </c>
      <c r="C85" s="36">
        <f t="shared" si="4"/>
        <v>2.87771</v>
      </c>
      <c r="D85" s="12">
        <f t="shared" si="5"/>
        <v>0.20057638699999999</v>
      </c>
      <c r="E85" s="12">
        <f t="shared" si="6"/>
        <v>8.9543029910714288E-3</v>
      </c>
      <c r="F85" s="12">
        <f>E85/Calculation!K$4*1000</f>
        <v>6.0542954638752051E-3</v>
      </c>
      <c r="G85" s="12">
        <f t="shared" si="7"/>
        <v>27.674843157327583</v>
      </c>
    </row>
    <row r="86" spans="1:7">
      <c r="A86" s="35">
        <v>40.5</v>
      </c>
      <c r="B86" s="32">
        <v>2796.16</v>
      </c>
      <c r="C86" s="36">
        <f t="shared" si="4"/>
        <v>2.79616</v>
      </c>
      <c r="D86" s="12">
        <f t="shared" si="5"/>
        <v>0.19489235199999999</v>
      </c>
      <c r="E86" s="12">
        <f t="shared" si="6"/>
        <v>8.7005514285714292E-3</v>
      </c>
      <c r="F86" s="12">
        <f>E86/Calculation!K$4*1000</f>
        <v>5.8827257799671604E-3</v>
      </c>
      <c r="G86" s="12">
        <f t="shared" si="7"/>
        <v>27.853898475985218</v>
      </c>
    </row>
    <row r="87" spans="1:7">
      <c r="A87" s="35">
        <v>41</v>
      </c>
      <c r="B87" s="32">
        <v>2731.54</v>
      </c>
      <c r="C87" s="36">
        <f t="shared" si="4"/>
        <v>2.7315399999999999</v>
      </c>
      <c r="D87" s="12">
        <f t="shared" si="5"/>
        <v>0.19038833799999999</v>
      </c>
      <c r="E87" s="12">
        <f t="shared" si="6"/>
        <v>8.4994793750000006E-3</v>
      </c>
      <c r="F87" s="12">
        <f>E87/Calculation!K$4*1000</f>
        <v>5.7467744252873562E-3</v>
      </c>
      <c r="G87" s="12">
        <f t="shared" si="7"/>
        <v>28.028340979064037</v>
      </c>
    </row>
    <row r="88" spans="1:7">
      <c r="A88" s="35">
        <v>41.5</v>
      </c>
      <c r="B88" s="32">
        <v>2670.46</v>
      </c>
      <c r="C88" s="36">
        <f t="shared" si="4"/>
        <v>2.6704599999999998</v>
      </c>
      <c r="D88" s="12">
        <f t="shared" si="5"/>
        <v>0.18613106200000001</v>
      </c>
      <c r="E88" s="12">
        <f t="shared" si="6"/>
        <v>8.3094224107142876E-3</v>
      </c>
      <c r="F88" s="12">
        <f>E88/Calculation!K$4*1000</f>
        <v>5.6182707307060771E-3</v>
      </c>
      <c r="G88" s="12">
        <f t="shared" si="7"/>
        <v>28.198816656403938</v>
      </c>
    </row>
    <row r="89" spans="1:7">
      <c r="A89" s="35">
        <v>42</v>
      </c>
      <c r="B89" s="32">
        <v>2596.36</v>
      </c>
      <c r="C89" s="36">
        <f t="shared" si="4"/>
        <v>2.5963600000000002</v>
      </c>
      <c r="D89" s="12">
        <f t="shared" si="5"/>
        <v>0.18096629200000003</v>
      </c>
      <c r="E89" s="12">
        <f t="shared" si="6"/>
        <v>8.0788523214285739E-3</v>
      </c>
      <c r="F89" s="12">
        <f>E89/Calculation!K$4*1000</f>
        <v>5.4623747947454854E-3</v>
      </c>
      <c r="G89" s="12">
        <f t="shared" si="7"/>
        <v>28.365026339285713</v>
      </c>
    </row>
    <row r="90" spans="1:7">
      <c r="A90" s="35">
        <v>42.5</v>
      </c>
      <c r="B90" s="32">
        <v>2496.5500000000002</v>
      </c>
      <c r="C90" s="36">
        <f t="shared" si="4"/>
        <v>2.49655</v>
      </c>
      <c r="D90" s="12">
        <f t="shared" si="5"/>
        <v>0.17400953500000002</v>
      </c>
      <c r="E90" s="12">
        <f t="shared" si="6"/>
        <v>7.7682828125000018E-3</v>
      </c>
      <c r="F90" s="12">
        <f>E90/Calculation!K$4*1000</f>
        <v>5.252388649425288E-3</v>
      </c>
      <c r="G90" s="12">
        <f t="shared" si="7"/>
        <v>28.525747790948273</v>
      </c>
    </row>
    <row r="91" spans="1:7">
      <c r="A91" s="35">
        <v>43</v>
      </c>
      <c r="B91" s="32">
        <v>2443.6</v>
      </c>
      <c r="C91" s="36">
        <f t="shared" si="4"/>
        <v>2.4436</v>
      </c>
      <c r="D91" s="12">
        <f t="shared" si="5"/>
        <v>0.17031892000000001</v>
      </c>
      <c r="E91" s="12">
        <f t="shared" si="6"/>
        <v>7.6035232142857151E-3</v>
      </c>
      <c r="F91" s="12">
        <f>E91/Calculation!K$4*1000</f>
        <v>5.140989326765189E-3</v>
      </c>
      <c r="G91" s="12">
        <f t="shared" si="7"/>
        <v>28.681648460591131</v>
      </c>
    </row>
    <row r="92" spans="1:7">
      <c r="A92" s="35">
        <v>43.5</v>
      </c>
      <c r="B92" s="32">
        <v>2339.04</v>
      </c>
      <c r="C92" s="36">
        <f t="shared" si="4"/>
        <v>2.3390399999999998</v>
      </c>
      <c r="D92" s="12">
        <f t="shared" si="5"/>
        <v>0.16303108799999999</v>
      </c>
      <c r="E92" s="12">
        <f t="shared" si="6"/>
        <v>7.2781735714285718E-3</v>
      </c>
      <c r="F92" s="12">
        <f>E92/Calculation!K$4*1000</f>
        <v>4.9210098522167491E-3</v>
      </c>
      <c r="G92" s="12">
        <f t="shared" si="7"/>
        <v>28.832578448275861</v>
      </c>
    </row>
    <row r="93" spans="1:7">
      <c r="A93" s="35">
        <v>44</v>
      </c>
      <c r="B93" s="32">
        <v>2261.39</v>
      </c>
      <c r="C93" s="36">
        <f t="shared" si="4"/>
        <v>2.26139</v>
      </c>
      <c r="D93" s="12">
        <f t="shared" si="5"/>
        <v>0.15761888299999999</v>
      </c>
      <c r="E93" s="12">
        <f t="shared" si="6"/>
        <v>7.0365572767857138E-3</v>
      </c>
      <c r="F93" s="12">
        <f>E93/Calculation!K$4*1000</f>
        <v>4.7576452175697864E-3</v>
      </c>
      <c r="G93" s="12">
        <f t="shared" si="7"/>
        <v>28.97775827432266</v>
      </c>
    </row>
    <row r="94" spans="1:7">
      <c r="A94" s="35">
        <v>44.5</v>
      </c>
      <c r="B94" s="32">
        <v>2185.4299999999998</v>
      </c>
      <c r="C94" s="36">
        <f t="shared" si="4"/>
        <v>2.1854299999999998</v>
      </c>
      <c r="D94" s="12">
        <f t="shared" si="5"/>
        <v>0.15232447099999999</v>
      </c>
      <c r="E94" s="12">
        <f t="shared" si="6"/>
        <v>6.8001995982142852E-3</v>
      </c>
      <c r="F94" s="12">
        <f>E94/Calculation!K$4*1000</f>
        <v>4.5978361042692938E-3</v>
      </c>
      <c r="G94" s="12">
        <f t="shared" si="7"/>
        <v>29.118090494150245</v>
      </c>
    </row>
    <row r="95" spans="1:7">
      <c r="A95" s="35">
        <v>45</v>
      </c>
      <c r="B95" s="32">
        <v>2073.94</v>
      </c>
      <c r="C95" s="36">
        <f t="shared" si="4"/>
        <v>2.0739399999999999</v>
      </c>
      <c r="D95" s="12">
        <f t="shared" si="5"/>
        <v>0.14455361799999999</v>
      </c>
      <c r="E95" s="12">
        <f t="shared" si="6"/>
        <v>6.4532865178571434E-3</v>
      </c>
      <c r="F95" s="12">
        <f>E95/Calculation!K$4*1000</f>
        <v>4.3632768883415446E-3</v>
      </c>
      <c r="G95" s="12">
        <f t="shared" si="7"/>
        <v>29.252507189039406</v>
      </c>
    </row>
    <row r="96" spans="1:7">
      <c r="A96" s="35">
        <v>45.5</v>
      </c>
      <c r="B96" s="32">
        <v>1939.11</v>
      </c>
      <c r="C96" s="36">
        <f t="shared" si="4"/>
        <v>1.9391099999999999</v>
      </c>
      <c r="D96" s="12">
        <f t="shared" si="5"/>
        <v>0.13515596700000002</v>
      </c>
      <c r="E96" s="12">
        <f t="shared" si="6"/>
        <v>6.0337485267857151E-3</v>
      </c>
      <c r="F96" s="12">
        <f>E96/Calculation!K$4*1000</f>
        <v>4.079613608374384E-3</v>
      </c>
      <c r="G96" s="12">
        <f t="shared" si="7"/>
        <v>29.379150546490145</v>
      </c>
    </row>
    <row r="97" spans="1:7">
      <c r="A97" s="35">
        <v>46</v>
      </c>
      <c r="B97" s="32">
        <v>1838.45</v>
      </c>
      <c r="C97" s="36">
        <f t="shared" si="4"/>
        <v>1.8384500000000001</v>
      </c>
      <c r="D97" s="12">
        <f t="shared" si="5"/>
        <v>0.12813996500000002</v>
      </c>
      <c r="E97" s="12">
        <f t="shared" si="6"/>
        <v>5.7205341517857153E-3</v>
      </c>
      <c r="F97" s="12">
        <f>E97/Calculation!K$4*1000</f>
        <v>3.8678391830870283E-3</v>
      </c>
      <c r="G97" s="12">
        <f t="shared" si="7"/>
        <v>29.498362338362067</v>
      </c>
    </row>
    <row r="98" spans="1:7">
      <c r="A98" s="35">
        <v>46.5</v>
      </c>
      <c r="B98" s="32">
        <v>1687.71</v>
      </c>
      <c r="C98" s="36">
        <f t="shared" si="4"/>
        <v>1.68771</v>
      </c>
      <c r="D98" s="12">
        <f t="shared" si="5"/>
        <v>0.11763338700000001</v>
      </c>
      <c r="E98" s="12">
        <f t="shared" si="6"/>
        <v>5.2514904910714293E-3</v>
      </c>
      <c r="F98" s="12">
        <f>E98/Calculation!K$4*1000</f>
        <v>3.5507035098522174E-3</v>
      </c>
      <c r="G98" s="12">
        <f t="shared" si="7"/>
        <v>29.609640478756155</v>
      </c>
    </row>
    <row r="99" spans="1:7">
      <c r="A99" s="35">
        <v>47</v>
      </c>
      <c r="B99" s="32">
        <v>1573.35</v>
      </c>
      <c r="C99" s="36">
        <f t="shared" si="4"/>
        <v>1.5733499999999998</v>
      </c>
      <c r="D99" s="12">
        <f t="shared" si="5"/>
        <v>0.109662495</v>
      </c>
      <c r="E99" s="12">
        <f t="shared" si="6"/>
        <v>4.895647098214286E-3</v>
      </c>
      <c r="F99" s="12">
        <f>E99/Calculation!K$4*1000</f>
        <v>3.3101062192118229E-3</v>
      </c>
      <c r="G99" s="12">
        <f t="shared" si="7"/>
        <v>29.712552624692115</v>
      </c>
    </row>
    <row r="100" spans="1:7">
      <c r="A100" s="35">
        <v>47.5</v>
      </c>
      <c r="B100" s="32">
        <v>1425.49</v>
      </c>
      <c r="C100" s="36">
        <f t="shared" si="4"/>
        <v>1.4254899999999999</v>
      </c>
      <c r="D100" s="12">
        <f t="shared" si="5"/>
        <v>9.9356653000000003E-2</v>
      </c>
      <c r="E100" s="12">
        <f t="shared" si="6"/>
        <v>4.4355648660714293E-3</v>
      </c>
      <c r="F100" s="12">
        <f>E100/Calculation!K$4*1000</f>
        <v>2.9990296592775048E-3</v>
      </c>
      <c r="G100" s="12">
        <f t="shared" si="7"/>
        <v>29.807189662869455</v>
      </c>
    </row>
    <row r="101" spans="1:7">
      <c r="A101" s="35">
        <v>48</v>
      </c>
      <c r="B101" s="32">
        <v>1336.33</v>
      </c>
      <c r="C101" s="36">
        <f t="shared" si="4"/>
        <v>1.33633</v>
      </c>
      <c r="D101" s="12">
        <f t="shared" si="5"/>
        <v>9.3142200999999994E-2</v>
      </c>
      <c r="E101" s="12">
        <f t="shared" si="6"/>
        <v>4.1581339732142857E-3</v>
      </c>
      <c r="F101" s="12">
        <f>E101/Calculation!K$4*1000</f>
        <v>2.8114496100164203E-3</v>
      </c>
      <c r="G101" s="12">
        <f t="shared" si="7"/>
        <v>29.894346851908864</v>
      </c>
    </row>
    <row r="102" spans="1:7">
      <c r="B102" s="10"/>
    </row>
    <row r="103" spans="1:7">
      <c r="B103" s="10"/>
    </row>
    <row r="104" spans="1:7">
      <c r="B104" s="10"/>
    </row>
    <row r="105" spans="1:7">
      <c r="B105" s="10"/>
    </row>
    <row r="106" spans="1:7">
      <c r="B106" s="10"/>
    </row>
    <row r="107" spans="1:7">
      <c r="B107" s="10"/>
    </row>
    <row r="108" spans="1:7">
      <c r="B108" s="10"/>
    </row>
    <row r="109" spans="1:7">
      <c r="B109" s="10"/>
    </row>
    <row r="110" spans="1:7">
      <c r="B110" s="10"/>
    </row>
    <row r="111" spans="1:7">
      <c r="B111" s="10"/>
    </row>
    <row r="112" spans="1:7">
      <c r="B112" s="10"/>
    </row>
    <row r="113" spans="2:2">
      <c r="B113" s="10"/>
    </row>
    <row r="114" spans="2:2">
      <c r="B114" s="10"/>
    </row>
    <row r="115" spans="2:2">
      <c r="B115" s="10"/>
    </row>
    <row r="116" spans="2:2">
      <c r="B116" s="10"/>
    </row>
    <row r="117" spans="2:2">
      <c r="B117" s="10"/>
    </row>
    <row r="118" spans="2:2">
      <c r="B118" s="10"/>
    </row>
    <row r="119" spans="2:2">
      <c r="B119" s="10"/>
    </row>
    <row r="120" spans="2:2">
      <c r="B120" s="10"/>
    </row>
    <row r="121" spans="2:2">
      <c r="B121" s="10"/>
    </row>
    <row r="122" spans="2:2">
      <c r="B122" s="10"/>
    </row>
    <row r="123" spans="2:2">
      <c r="B123" s="10"/>
    </row>
    <row r="124" spans="2:2">
      <c r="B124" s="10"/>
    </row>
    <row r="125" spans="2:2">
      <c r="B125" s="10"/>
    </row>
    <row r="126" spans="2:2">
      <c r="B126" s="10"/>
    </row>
    <row r="127" spans="2:2">
      <c r="B127" s="10"/>
    </row>
    <row r="128" spans="2:2">
      <c r="B128" s="10"/>
    </row>
    <row r="129" spans="2:2">
      <c r="B129" s="10"/>
    </row>
    <row r="130" spans="2:2">
      <c r="B130" s="10"/>
    </row>
    <row r="131" spans="2:2">
      <c r="B131" s="10"/>
    </row>
    <row r="132" spans="2:2">
      <c r="B132" s="10"/>
    </row>
    <row r="133" spans="2:2">
      <c r="B133" s="10"/>
    </row>
    <row r="134" spans="2:2">
      <c r="B134" s="10"/>
    </row>
    <row r="135" spans="2:2">
      <c r="B135" s="10"/>
    </row>
    <row r="136" spans="2:2">
      <c r="B136" s="10"/>
    </row>
    <row r="137" spans="2:2">
      <c r="B137" s="10"/>
    </row>
    <row r="138" spans="2:2">
      <c r="B138" s="10"/>
    </row>
    <row r="139" spans="2:2">
      <c r="B139" s="10"/>
    </row>
    <row r="140" spans="2:2">
      <c r="B140" s="10"/>
    </row>
    <row r="141" spans="2:2">
      <c r="B141" s="10"/>
    </row>
    <row r="142" spans="2:2">
      <c r="B142" s="10"/>
    </row>
    <row r="143" spans="2:2">
      <c r="B143" s="10"/>
    </row>
    <row r="144" spans="2:2">
      <c r="B144" s="10"/>
    </row>
    <row r="145" spans="2:2">
      <c r="B145" s="10"/>
    </row>
    <row r="146" spans="2:2">
      <c r="B146" s="10"/>
    </row>
    <row r="147" spans="2:2">
      <c r="B147" s="10"/>
    </row>
    <row r="148" spans="2:2">
      <c r="B148" s="10"/>
    </row>
    <row r="149" spans="2:2">
      <c r="B149" s="10"/>
    </row>
    <row r="150" spans="2:2">
      <c r="B150" s="10"/>
    </row>
    <row r="151" spans="2:2">
      <c r="B151" s="10"/>
    </row>
    <row r="152" spans="2:2">
      <c r="B152" s="10"/>
    </row>
  </sheetData>
  <mergeCells count="3">
    <mergeCell ref="A3:A4"/>
    <mergeCell ref="B3:C3"/>
    <mergeCell ref="D3:F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topLeftCell="A6" workbookViewId="0">
      <selection activeCell="J3" sqref="J3:K21"/>
    </sheetView>
  </sheetViews>
  <sheetFormatPr baseColWidth="10" defaultColWidth="8.83203125" defaultRowHeight="14" x14ac:dyDescent="0"/>
  <cols>
    <col min="1" max="1" width="16.83203125" style="2" bestFit="1" customWidth="1"/>
    <col min="2" max="16384" width="8.83203125" style="2"/>
  </cols>
  <sheetData>
    <row r="1" spans="1:21">
      <c r="A1" s="138" t="s">
        <v>41</v>
      </c>
      <c r="B1" s="138"/>
      <c r="D1" s="159" t="s">
        <v>4</v>
      </c>
      <c r="E1" s="159" t="s">
        <v>5</v>
      </c>
      <c r="F1" s="138" t="s">
        <v>145</v>
      </c>
      <c r="G1" s="138"/>
      <c r="H1" s="138"/>
      <c r="I1" s="138"/>
      <c r="J1" s="138" t="s">
        <v>42</v>
      </c>
      <c r="K1" s="138"/>
      <c r="L1" s="138"/>
      <c r="M1" s="138"/>
      <c r="N1" s="160" t="s">
        <v>43</v>
      </c>
      <c r="O1" s="136"/>
      <c r="P1" s="136"/>
      <c r="Q1" s="161"/>
      <c r="R1" s="138" t="s">
        <v>65</v>
      </c>
      <c r="S1" s="138"/>
      <c r="T1" s="138"/>
      <c r="U1" s="138"/>
    </row>
    <row r="2" spans="1:21">
      <c r="A2" s="138" t="s">
        <v>34</v>
      </c>
      <c r="B2" s="138"/>
      <c r="D2" s="159"/>
      <c r="E2" s="159"/>
      <c r="F2" s="14" t="s">
        <v>48</v>
      </c>
      <c r="G2" s="14" t="s">
        <v>23</v>
      </c>
      <c r="H2" s="14" t="s">
        <v>48</v>
      </c>
      <c r="I2" s="14" t="s">
        <v>23</v>
      </c>
      <c r="J2" s="14" t="s">
        <v>48</v>
      </c>
      <c r="K2" s="14" t="s">
        <v>23</v>
      </c>
      <c r="L2" s="14" t="s">
        <v>48</v>
      </c>
      <c r="M2" s="14" t="s">
        <v>23</v>
      </c>
      <c r="N2" s="14" t="s">
        <v>48</v>
      </c>
      <c r="O2" s="14" t="s">
        <v>23</v>
      </c>
      <c r="P2" s="14" t="s">
        <v>48</v>
      </c>
      <c r="Q2" s="14" t="s">
        <v>23</v>
      </c>
      <c r="R2" s="14" t="s">
        <v>48</v>
      </c>
      <c r="S2" s="14" t="s">
        <v>23</v>
      </c>
      <c r="T2" s="14" t="s">
        <v>48</v>
      </c>
      <c r="U2" s="14" t="s">
        <v>23</v>
      </c>
    </row>
    <row r="3" spans="1:21">
      <c r="A3" s="138" t="s">
        <v>35</v>
      </c>
      <c r="B3" s="14" t="s">
        <v>38</v>
      </c>
      <c r="D3" s="16">
        <v>0</v>
      </c>
      <c r="E3" s="127">
        <v>-0.16666666666666666</v>
      </c>
      <c r="F3" s="52">
        <v>50.382992895204261</v>
      </c>
      <c r="G3" s="52">
        <v>0.27027595079795314</v>
      </c>
      <c r="H3" s="13">
        <f>F3*Calculation!I3/Calculation!F23</f>
        <v>50.382992895204261</v>
      </c>
      <c r="I3" s="13">
        <f>G3*Calculation!I3/Calculation!F23</f>
        <v>0.27027595079795314</v>
      </c>
      <c r="J3" s="13">
        <v>1.8391059798697453</v>
      </c>
      <c r="K3" s="13">
        <v>6.7829717213674423E-2</v>
      </c>
      <c r="L3" s="13">
        <f>J3*Calculation!I3/Calculation!F23</f>
        <v>1.8391059798697456</v>
      </c>
      <c r="M3" s="13">
        <f>K3*Calculation!I3/Calculation!F23</f>
        <v>6.7829717213674423E-2</v>
      </c>
      <c r="N3" s="13">
        <v>0.54954204829308917</v>
      </c>
      <c r="O3" s="13">
        <v>2.8843477228457603E-2</v>
      </c>
      <c r="P3" s="13">
        <f>N3*Calculation!I3/Calculation!F23</f>
        <v>0.54954204829308917</v>
      </c>
      <c r="Q3" s="13">
        <f>O3*Calculation!I3/Calculation!F23</f>
        <v>2.8843477228457603E-2</v>
      </c>
      <c r="R3" s="13">
        <v>48.968064305887467</v>
      </c>
      <c r="S3" s="13">
        <v>0.78960598937155257</v>
      </c>
      <c r="T3" s="13">
        <f>R3*Calculation!I3/Calculation!F23</f>
        <v>48.968064305887474</v>
      </c>
      <c r="U3" s="13">
        <f>S3*Calculation!I3/Calculation!F23</f>
        <v>0.78960598937155257</v>
      </c>
    </row>
    <row r="4" spans="1:21">
      <c r="A4" s="138"/>
      <c r="B4" s="14" t="s">
        <v>39</v>
      </c>
      <c r="D4" s="16">
        <v>0</v>
      </c>
      <c r="E4" s="128">
        <v>0.16666666666666666</v>
      </c>
      <c r="F4" s="52">
        <v>50.62537004144464</v>
      </c>
      <c r="G4" s="52">
        <v>0.14111393550672394</v>
      </c>
      <c r="H4" s="13">
        <f>F4*Calculation!I4/Calculation!K3</f>
        <v>50.62537004144464</v>
      </c>
      <c r="I4" s="13">
        <f>G4*Calculation!I4/Calculation!K3</f>
        <v>0.14111393550672394</v>
      </c>
      <c r="J4" s="13">
        <v>1.8132030787448195</v>
      </c>
      <c r="K4" s="13">
        <v>2.3109080811124939E-2</v>
      </c>
      <c r="L4" s="13">
        <f>J4*Calculation!I4/Calculation!K3</f>
        <v>1.8132030787448195</v>
      </c>
      <c r="M4" s="13">
        <f>K4*Calculation!I4/Calculation!K3</f>
        <v>2.3109080811124935E-2</v>
      </c>
      <c r="N4" s="13">
        <v>0.79378295864557313</v>
      </c>
      <c r="O4" s="13">
        <v>5.8482674176257222E-2</v>
      </c>
      <c r="P4" s="13">
        <f>N4*Calculation!I4/Calculation!K3</f>
        <v>0.79378295864557313</v>
      </c>
      <c r="Q4" s="13">
        <f>O4*Calculation!I4/Calculation!K3</f>
        <v>5.8482674176257222E-2</v>
      </c>
      <c r="R4" s="13">
        <v>49.069447461800273</v>
      </c>
      <c r="S4" s="13">
        <v>0.98946012797162908</v>
      </c>
      <c r="T4" s="13">
        <f>R4*Calculation!I4/Calculation!K3</f>
        <v>49.06944746180028</v>
      </c>
      <c r="U4" s="13">
        <f>S4*Calculation!I4/Calculation!K3</f>
        <v>0.98946012797162908</v>
      </c>
    </row>
    <row r="5" spans="1:21">
      <c r="A5" s="15" t="s">
        <v>37</v>
      </c>
      <c r="B5" s="15">
        <v>180.16</v>
      </c>
      <c r="D5" s="16">
        <v>1</v>
      </c>
      <c r="E5" s="128">
        <v>2</v>
      </c>
      <c r="F5" s="52">
        <v>50.299733570159859</v>
      </c>
      <c r="G5" s="52">
        <v>0.42783016590903855</v>
      </c>
      <c r="H5" s="13">
        <f>F5*Calculation!I5/Calculation!K4</f>
        <v>50.299733570159852</v>
      </c>
      <c r="I5" s="13">
        <f>G5*Calculation!I5/Calculation!K4</f>
        <v>0.42783016590903855</v>
      </c>
      <c r="J5" s="13">
        <v>1.7910005920663112</v>
      </c>
      <c r="K5" s="13">
        <v>7.3915720675837016E-2</v>
      </c>
      <c r="L5" s="13">
        <f>J5*Calculation!I5/Calculation!K4</f>
        <v>1.7910005920663112</v>
      </c>
      <c r="M5" s="13">
        <f>K5*Calculation!I5/Calculation!K4</f>
        <v>7.3915720675837016E-2</v>
      </c>
      <c r="N5" s="13">
        <v>0.88814876491812389</v>
      </c>
      <c r="O5" s="13">
        <v>0.17649861887965182</v>
      </c>
      <c r="P5" s="13">
        <f>N5*Calculation!I5/Calculation!K4</f>
        <v>0.88814876491812389</v>
      </c>
      <c r="Q5" s="13">
        <f>O5*Calculation!I5/Calculation!K4</f>
        <v>0.17649861887965182</v>
      </c>
      <c r="R5" s="13">
        <v>49.15634730972554</v>
      </c>
      <c r="S5" s="13">
        <v>1.5627381934999682</v>
      </c>
      <c r="T5" s="13">
        <f>R5*Calculation!I5/Calculation!K4</f>
        <v>49.15634730972554</v>
      </c>
      <c r="U5" s="13">
        <f>S5*Calculation!I5/Calculation!K4</f>
        <v>1.562738193499968</v>
      </c>
    </row>
    <row r="6" spans="1:21">
      <c r="A6" s="15" t="s">
        <v>40</v>
      </c>
      <c r="B6" s="15">
        <v>180.16</v>
      </c>
      <c r="D6" s="16">
        <v>2</v>
      </c>
      <c r="E6" s="128">
        <v>3.3333333333333335</v>
      </c>
      <c r="F6" s="52">
        <v>50.192421551213741</v>
      </c>
      <c r="G6" s="52">
        <v>0.27442384307336398</v>
      </c>
      <c r="H6" s="13">
        <f>F6*Calculation!I6/Calculation!K5</f>
        <v>50.192421551213748</v>
      </c>
      <c r="I6" s="13">
        <f>G6*Calculation!I6/Calculation!K5</f>
        <v>0.27442384307336398</v>
      </c>
      <c r="J6" s="13">
        <v>1.7910005920663112</v>
      </c>
      <c r="K6" s="13">
        <v>1.6957429303418606E-2</v>
      </c>
      <c r="L6" s="13">
        <f>J6*Calculation!I6/Calculation!K5</f>
        <v>1.7910005920663115</v>
      </c>
      <c r="M6" s="13">
        <f>K6*Calculation!I6/Calculation!K5</f>
        <v>1.6957429303418606E-2</v>
      </c>
      <c r="N6" s="13">
        <v>1.054676658340272</v>
      </c>
      <c r="O6" s="13">
        <v>6.7301446866401063E-2</v>
      </c>
      <c r="P6" s="13">
        <f>N6*Calculation!I6/Calculation!K5</f>
        <v>1.054676658340272</v>
      </c>
      <c r="Q6" s="13">
        <f>O6*Calculation!I6/Calculation!K5</f>
        <v>6.7301446866401063E-2</v>
      </c>
      <c r="R6" s="13">
        <v>48.330798754435506</v>
      </c>
      <c r="S6" s="13">
        <v>0.31656880287340322</v>
      </c>
      <c r="T6" s="13">
        <f>R6*Calculation!I6/Calculation!K5</f>
        <v>48.330798754435499</v>
      </c>
      <c r="U6" s="13">
        <f>S6*Calculation!I6/Calculation!K5</f>
        <v>0.31656880287340322</v>
      </c>
    </row>
    <row r="7" spans="1:21">
      <c r="A7" s="32" t="s">
        <v>115</v>
      </c>
      <c r="B7" s="32">
        <v>46.03</v>
      </c>
      <c r="D7" s="16">
        <v>3</v>
      </c>
      <c r="E7" s="128">
        <v>4.666666666666667</v>
      </c>
      <c r="F7" s="52">
        <v>50.828892835997635</v>
      </c>
      <c r="G7" s="52">
        <v>0.36331493685056482</v>
      </c>
      <c r="H7" s="13">
        <f>F7*Calculation!I7/Calculation!K6</f>
        <v>50.828892835997642</v>
      </c>
      <c r="I7" s="13">
        <f>G7*Calculation!I7/Calculation!K6</f>
        <v>0.36331493685056482</v>
      </c>
      <c r="J7" s="13">
        <v>1.8206039076376554</v>
      </c>
      <c r="K7" s="13">
        <v>7.7708703374778046E-2</v>
      </c>
      <c r="L7" s="13">
        <f>J7*Calculation!I7/Calculation!K6</f>
        <v>1.8206039076376554</v>
      </c>
      <c r="M7" s="13">
        <f>K7*Calculation!I7/Calculation!K6</f>
        <v>7.7708703374778046E-2</v>
      </c>
      <c r="N7" s="13">
        <v>1.2989175686927561</v>
      </c>
      <c r="O7" s="13">
        <v>8.3263946711074177E-2</v>
      </c>
      <c r="P7" s="13">
        <f>N7*Calculation!I7/Calculation!K6</f>
        <v>1.2989175686927561</v>
      </c>
      <c r="Q7" s="13">
        <f>O7*Calculation!I7/Calculation!K6</f>
        <v>8.3263946711074177E-2</v>
      </c>
      <c r="R7" s="13">
        <v>48.801506264030714</v>
      </c>
      <c r="S7" s="13">
        <v>1.2207289452215511</v>
      </c>
      <c r="T7" s="13">
        <f>R7*Calculation!I7/Calculation!K6</f>
        <v>48.801506264030714</v>
      </c>
      <c r="U7" s="13">
        <f>S7*Calculation!I7/Calculation!K6</f>
        <v>1.2207289452215511</v>
      </c>
    </row>
    <row r="8" spans="1:21">
      <c r="A8" s="15" t="s">
        <v>43</v>
      </c>
      <c r="B8" s="15">
        <v>60.05</v>
      </c>
      <c r="D8" s="16">
        <v>4</v>
      </c>
      <c r="E8" s="128">
        <v>6</v>
      </c>
      <c r="F8" s="52">
        <v>50.906601539372417</v>
      </c>
      <c r="G8" s="52">
        <v>0.42112846198278592</v>
      </c>
      <c r="H8" s="13">
        <f>F8*Calculation!I8/Calculation!K7</f>
        <v>50.906601539372417</v>
      </c>
      <c r="I8" s="13">
        <f>G8*Calculation!I8/Calculation!K7</f>
        <v>0.42112846198278592</v>
      </c>
      <c r="J8" s="13">
        <v>1.7947010065127293</v>
      </c>
      <c r="K8" s="13">
        <v>2.7937516412339984E-2</v>
      </c>
      <c r="L8" s="13">
        <f>J8*Calculation!I8/Calculation!K7</f>
        <v>1.7947010065127296</v>
      </c>
      <c r="M8" s="13">
        <f>K8*Calculation!I8/Calculation!K7</f>
        <v>2.7937516412339981E-2</v>
      </c>
      <c r="N8" s="13">
        <v>1.5154038301415491</v>
      </c>
      <c r="O8" s="13">
        <v>0.1012949630357738</v>
      </c>
      <c r="P8" s="13">
        <f>N8*Calculation!I8/Calculation!K7</f>
        <v>1.5154038301415491</v>
      </c>
      <c r="Q8" s="13">
        <f>O8*Calculation!I8/Calculation!K7</f>
        <v>0.10129496303577382</v>
      </c>
      <c r="R8" s="13">
        <v>47.751466434933739</v>
      </c>
      <c r="S8" s="13">
        <v>0.95293122743694847</v>
      </c>
      <c r="T8" s="13">
        <f>R8*Calculation!I8/Calculation!K7</f>
        <v>47.751466434933739</v>
      </c>
      <c r="U8" s="13">
        <f>S8*Calculation!I8/Calculation!K7</f>
        <v>0.95293122743694858</v>
      </c>
    </row>
    <row r="9" spans="1:21">
      <c r="A9" s="32" t="s">
        <v>67</v>
      </c>
      <c r="B9" s="32">
        <v>74.08</v>
      </c>
      <c r="D9" s="16">
        <v>5</v>
      </c>
      <c r="E9" s="128">
        <v>7.333333333333333</v>
      </c>
      <c r="F9" s="52">
        <v>50.799289520426292</v>
      </c>
      <c r="G9" s="52">
        <v>0.38555850325959751</v>
      </c>
      <c r="H9" s="13">
        <f>F9*Calculation!I9/Calculation!K8</f>
        <v>50.838699364895206</v>
      </c>
      <c r="I9" s="13">
        <f>G9*Calculation!I9/Calculation!K8</f>
        <v>0.38585761769191684</v>
      </c>
      <c r="J9" s="13">
        <v>1.8095026642984016</v>
      </c>
      <c r="K9" s="13">
        <v>3.3303730017762018E-2</v>
      </c>
      <c r="L9" s="13">
        <f>J9*Calculation!I9/Calculation!K8</f>
        <v>1.810906467761783</v>
      </c>
      <c r="M9" s="13">
        <f>K9*Calculation!I9/Calculation!K8</f>
        <v>3.3329566891321181E-2</v>
      </c>
      <c r="N9" s="13">
        <v>2.1149042464612822</v>
      </c>
      <c r="O9" s="13">
        <v>9.9916736053289018E-2</v>
      </c>
      <c r="P9" s="13">
        <f>N9*Calculation!I9/Calculation!K8</f>
        <v>2.116544979003145</v>
      </c>
      <c r="Q9" s="13">
        <f>O9*Calculation!I9/Calculation!K8</f>
        <v>9.9994250976526644E-2</v>
      </c>
      <c r="R9" s="13">
        <v>46.9041929176624</v>
      </c>
      <c r="S9" s="13">
        <v>0.35895528224762469</v>
      </c>
      <c r="T9" s="13">
        <f>R9*Calculation!I9/Calculation!K8</f>
        <v>46.940580964922034</v>
      </c>
      <c r="U9" s="13">
        <f>S9*Calculation!I9/Calculation!K8</f>
        <v>0.3592337580290425</v>
      </c>
    </row>
    <row r="10" spans="1:21">
      <c r="A10" s="32" t="s">
        <v>66</v>
      </c>
      <c r="B10" s="32">
        <v>88.11</v>
      </c>
      <c r="D10" s="16">
        <v>6</v>
      </c>
      <c r="E10" s="128">
        <v>8.6666666666666661</v>
      </c>
      <c r="F10" s="52">
        <v>50.037004144464184</v>
      </c>
      <c r="G10" s="52">
        <v>0.25870502236542858</v>
      </c>
      <c r="H10" s="13">
        <f>F10*Calculation!I10/Calculation!K9</f>
        <v>50.116238933325384</v>
      </c>
      <c r="I10" s="13">
        <f>G10*Calculation!I10/Calculation!K9</f>
        <v>0.25911468793543901</v>
      </c>
      <c r="J10" s="13">
        <v>1.8169034931912373</v>
      </c>
      <c r="K10" s="13">
        <v>4.4865140811804878E-2</v>
      </c>
      <c r="L10" s="13">
        <f>J10*Calculation!I10/Calculation!K9</f>
        <v>1.8197806031846444</v>
      </c>
      <c r="M10" s="13">
        <f>K10*Calculation!I10/Calculation!K9</f>
        <v>4.4936185831790244E-2</v>
      </c>
      <c r="N10" s="13">
        <v>3.2028864834859836</v>
      </c>
      <c r="O10" s="13">
        <v>0.16763440322555107</v>
      </c>
      <c r="P10" s="13">
        <f>N10*Calculation!I10/Calculation!K9</f>
        <v>3.2079583305840371</v>
      </c>
      <c r="Q10" s="13">
        <f>O10*Calculation!I10/Calculation!K9</f>
        <v>0.16789985629918236</v>
      </c>
      <c r="R10" s="13">
        <v>45.072054457238039</v>
      </c>
      <c r="S10" s="13">
        <v>0.40078482444845398</v>
      </c>
      <c r="T10" s="13">
        <f>R10*Calculation!I10/Calculation!K9</f>
        <v>45.14342712991342</v>
      </c>
      <c r="U10" s="13">
        <f>S10*Calculation!I10/Calculation!K9</f>
        <v>0.40141947677200762</v>
      </c>
    </row>
    <row r="11" spans="1:21">
      <c r="A11" s="15" t="s">
        <v>42</v>
      </c>
      <c r="B11" s="15">
        <v>90.08</v>
      </c>
      <c r="D11" s="16">
        <v>7</v>
      </c>
      <c r="E11" s="128">
        <v>10</v>
      </c>
      <c r="F11" s="52">
        <v>48.743709295441086</v>
      </c>
      <c r="G11" s="52">
        <v>0.17937470379094311</v>
      </c>
      <c r="H11" s="13">
        <f>F11*Calculation!I11/Calculation!K10</f>
        <v>48.943870670502243</v>
      </c>
      <c r="I11" s="13">
        <f>G11*Calculation!I11/Calculation!K10</f>
        <v>0.18011128883711522</v>
      </c>
      <c r="J11" s="13">
        <v>1.8280047365304914</v>
      </c>
      <c r="K11" s="13">
        <v>2.7937516412339984E-2</v>
      </c>
      <c r="L11" s="13">
        <f>J11*Calculation!I11/Calculation!K10</f>
        <v>1.8355112629514601</v>
      </c>
      <c r="M11" s="13">
        <f>K11*Calculation!I11/Calculation!K10</f>
        <v>2.8052239148498484E-2</v>
      </c>
      <c r="N11" s="13">
        <v>5.5120732722731063</v>
      </c>
      <c r="O11" s="13">
        <v>9.9916736053289018E-2</v>
      </c>
      <c r="P11" s="13">
        <f>N11*Calculation!I11/Calculation!K10</f>
        <v>5.5347080733902887</v>
      </c>
      <c r="Q11" s="13">
        <f>O11*Calculation!I11/Calculation!K10</f>
        <v>0.10032703456296603</v>
      </c>
      <c r="R11" s="13">
        <v>43.305090882757625</v>
      </c>
      <c r="S11" s="13">
        <v>0.33398081128540041</v>
      </c>
      <c r="T11" s="13">
        <f>R11*Calculation!I11/Calculation!K10</f>
        <v>43.482919092049279</v>
      </c>
      <c r="U11" s="13">
        <f>S11*Calculation!I11/Calculation!K10</f>
        <v>0.33535227150862101</v>
      </c>
    </row>
    <row r="12" spans="1:21">
      <c r="A12" s="15" t="s">
        <v>44</v>
      </c>
      <c r="B12" s="15">
        <v>46.07</v>
      </c>
      <c r="D12" s="16">
        <v>8</v>
      </c>
      <c r="E12" s="128">
        <v>11.333333333333334</v>
      </c>
      <c r="F12" s="52">
        <v>46.477205447010078</v>
      </c>
      <c r="G12" s="52">
        <v>0.12612660573678411</v>
      </c>
      <c r="H12" s="13">
        <f>F12*Calculation!I12/Calculation!K11</f>
        <v>46.790440916315518</v>
      </c>
      <c r="I12" s="13">
        <f>G12*Calculation!I12/Calculation!K11</f>
        <v>0.12697664235494754</v>
      </c>
      <c r="J12" s="13">
        <v>1.9612196566015394</v>
      </c>
      <c r="K12" s="13">
        <v>2.3109080811124942E-2</v>
      </c>
      <c r="L12" s="13">
        <f>J12*Calculation!I12/Calculation!K11</f>
        <v>1.9744373953540779</v>
      </c>
      <c r="M12" s="13">
        <f>K12*Calculation!I12/Calculation!K11</f>
        <v>2.3264825626319197E-2</v>
      </c>
      <c r="N12" s="13">
        <v>9.7196780460727172</v>
      </c>
      <c r="O12" s="13">
        <v>0.16680520900712442</v>
      </c>
      <c r="P12" s="13">
        <f>N12*Calculation!I12/Calculation!K11</f>
        <v>9.7851843062916224</v>
      </c>
      <c r="Q12" s="13">
        <f>O12*Calculation!I12/Calculation!K11</f>
        <v>0.16792940112288124</v>
      </c>
      <c r="R12" s="13">
        <v>40.205662973423138</v>
      </c>
      <c r="S12" s="13">
        <v>0.36503970341454217</v>
      </c>
      <c r="T12" s="13">
        <f>R12*Calculation!I12/Calculation!K11</f>
        <v>40.476631066041683</v>
      </c>
      <c r="U12" s="13">
        <f>S12*Calculation!I12/Calculation!K11</f>
        <v>0.36749990689955031</v>
      </c>
    </row>
    <row r="13" spans="1:21">
      <c r="D13" s="16">
        <v>9</v>
      </c>
      <c r="E13" s="128">
        <v>12.666666666666666</v>
      </c>
      <c r="F13" s="52">
        <v>43.011767317939608</v>
      </c>
      <c r="G13" s="52">
        <v>0.34139707625847804</v>
      </c>
      <c r="H13" s="13">
        <f>F13*Calculation!I13/Calculation!K12</f>
        <v>43.458112142458482</v>
      </c>
      <c r="I13" s="13">
        <f>G13*Calculation!I13/Calculation!K12</f>
        <v>0.34493984670470174</v>
      </c>
      <c r="J13" s="13">
        <v>2.0500296033155716</v>
      </c>
      <c r="K13" s="13">
        <v>1.6957429303418606E-2</v>
      </c>
      <c r="L13" s="13">
        <f>J13*Calculation!I13/Calculation!K12</f>
        <v>2.0713033188731451</v>
      </c>
      <c r="M13" s="13">
        <f>K13*Calculation!I13/Calculation!K12</f>
        <v>1.7133401165973731E-2</v>
      </c>
      <c r="N13" s="13">
        <v>15.964474049403275</v>
      </c>
      <c r="O13" s="13">
        <v>0.21477149178077293</v>
      </c>
      <c r="P13" s="13">
        <f>N13*Calculation!I13/Calculation!K12</f>
        <v>16.13014174483752</v>
      </c>
      <c r="Q13" s="13">
        <f>O13*Calculation!I13/Calculation!K12</f>
        <v>0.21700023404802135</v>
      </c>
      <c r="R13" s="13">
        <v>35.418929683539723</v>
      </c>
      <c r="S13" s="13">
        <v>0.27934392819155518</v>
      </c>
      <c r="T13" s="13">
        <f>R13*Calculation!I13/Calculation!K12</f>
        <v>35.786481563874851</v>
      </c>
      <c r="U13" s="13">
        <f>S13*Calculation!I13/Calculation!K12</f>
        <v>0.28224275621895106</v>
      </c>
    </row>
    <row r="14" spans="1:21">
      <c r="D14" s="16">
        <v>10</v>
      </c>
      <c r="E14" s="128">
        <v>14</v>
      </c>
      <c r="F14" s="52">
        <v>38.493561278863233</v>
      </c>
      <c r="G14" s="52">
        <v>0.10369417013915046</v>
      </c>
      <c r="H14" s="13">
        <f>F14*Calculation!I14/Calculation!K13</f>
        <v>38.966126628111397</v>
      </c>
      <c r="I14" s="13">
        <f>G14*Calculation!I14/Calculation!K13</f>
        <v>0.10496716931352701</v>
      </c>
      <c r="J14" s="13">
        <v>2.3978685612788633</v>
      </c>
      <c r="K14" s="13">
        <v>5.0872287910255824E-2</v>
      </c>
      <c r="L14" s="13">
        <f>J14*Calculation!I14/Calculation!K13</f>
        <v>2.4273059413618059</v>
      </c>
      <c r="M14" s="13">
        <f>K14*Calculation!I14/Calculation!K13</f>
        <v>5.1496820421789477E-2</v>
      </c>
      <c r="N14" s="13">
        <v>22.198168193172361</v>
      </c>
      <c r="O14" s="13">
        <v>0.15885748566477101</v>
      </c>
      <c r="P14" s="13">
        <f>N14*Calculation!I14/Calculation!K13</f>
        <v>22.470683511484467</v>
      </c>
      <c r="Q14" s="13">
        <f>O14*Calculation!I14/Calculation!K13</f>
        <v>0.16080769605580278</v>
      </c>
      <c r="R14" s="13">
        <v>30.646679701643851</v>
      </c>
      <c r="S14" s="13">
        <v>0.125429126480475</v>
      </c>
      <c r="T14" s="13">
        <f>R14*Calculation!I14/Calculation!K13</f>
        <v>31.022912983661751</v>
      </c>
      <c r="U14" s="13">
        <f>S14*Calculation!I14/Calculation!K13</f>
        <v>0.12696895436316261</v>
      </c>
    </row>
    <row r="15" spans="1:21">
      <c r="D15" s="16">
        <v>11</v>
      </c>
      <c r="E15" s="128">
        <v>15.333333333333334</v>
      </c>
      <c r="F15" s="52">
        <v>35.34820899940793</v>
      </c>
      <c r="G15" s="52">
        <v>0.26598619195570078</v>
      </c>
      <c r="H15" s="13">
        <f>F15*Calculation!I15/Calculation!K14</f>
        <v>35.816968050450875</v>
      </c>
      <c r="I15" s="13">
        <f>G15*Calculation!I15/Calculation!K14</f>
        <v>0.26951348339311898</v>
      </c>
      <c r="J15" s="13">
        <v>3.0121373593842513</v>
      </c>
      <c r="K15" s="13">
        <v>6.4093058302578405E-3</v>
      </c>
      <c r="L15" s="13">
        <f>J15*Calculation!I15/Calculation!K14</f>
        <v>3.0520818626607715</v>
      </c>
      <c r="M15" s="13">
        <f>K15*Calculation!I15/Calculation!K14</f>
        <v>6.4943008046534599E-3</v>
      </c>
      <c r="N15" s="13">
        <v>26.93866222592284</v>
      </c>
      <c r="O15" s="13">
        <v>0.41476256104851761</v>
      </c>
      <c r="P15" s="13">
        <f>N15*Calculation!I15/Calculation!K14</f>
        <v>27.295900742352384</v>
      </c>
      <c r="Q15" s="13">
        <f>O15*Calculation!I15/Calculation!K14</f>
        <v>0.42026280307007241</v>
      </c>
      <c r="R15" s="13">
        <v>27.988992685929464</v>
      </c>
      <c r="S15" s="13">
        <v>0.19471836714821808</v>
      </c>
      <c r="T15" s="13">
        <f>R15*Calculation!I15/Calculation!K14</f>
        <v>28.360159826287944</v>
      </c>
      <c r="U15" s="13">
        <f>S15*Calculation!I15/Calculation!K14</f>
        <v>0.1973005629535716</v>
      </c>
    </row>
    <row r="16" spans="1:21">
      <c r="D16" s="16">
        <v>12</v>
      </c>
      <c r="E16" s="128">
        <v>16.666666666666668</v>
      </c>
      <c r="F16" s="52">
        <v>33.164964476021318</v>
      </c>
      <c r="G16" s="52">
        <v>0.28589743027699566</v>
      </c>
      <c r="H16" s="13">
        <f>F16*Calculation!I16/Calculation!K15</f>
        <v>33.604771122969488</v>
      </c>
      <c r="I16" s="13">
        <f>G16*Calculation!I16/Calculation!K15</f>
        <v>0.28968876827984913</v>
      </c>
      <c r="J16" s="13">
        <v>3.8447306098283014</v>
      </c>
      <c r="K16" s="13">
        <v>4.2028628965365834E-2</v>
      </c>
      <c r="L16" s="13">
        <f>J16*Calculation!I16/Calculation!K15</f>
        <v>3.8957162841579134</v>
      </c>
      <c r="M16" s="13">
        <f>K16*Calculation!I16/Calculation!K15</f>
        <v>4.2585978284839725E-2</v>
      </c>
      <c r="N16" s="13">
        <v>28.615043019705805</v>
      </c>
      <c r="O16" s="13">
        <v>0.23687580675383765</v>
      </c>
      <c r="P16" s="13">
        <f>N16*Calculation!I16/Calculation!K15</f>
        <v>28.994512327802717</v>
      </c>
      <c r="Q16" s="13">
        <f>O16*Calculation!I16/Calculation!K15</f>
        <v>0.24001706006007503</v>
      </c>
      <c r="R16" s="13">
        <v>26.055471069592294</v>
      </c>
      <c r="S16" s="13">
        <v>0.30749328330164549</v>
      </c>
      <c r="T16" s="13">
        <f>R16*Calculation!I16/Calculation!K15</f>
        <v>26.400997426904016</v>
      </c>
      <c r="U16" s="13">
        <f>S16*Calculation!I16/Calculation!K15</f>
        <v>0.31157100785297914</v>
      </c>
    </row>
    <row r="17" spans="4:21">
      <c r="D17" s="16">
        <v>13</v>
      </c>
      <c r="E17" s="128">
        <v>18</v>
      </c>
      <c r="F17" s="52">
        <v>30.696788040260515</v>
      </c>
      <c r="G17" s="52">
        <v>0.46041171588624691</v>
      </c>
      <c r="H17" s="13">
        <f>F17*Calculation!I17/Calculation!K16</f>
        <v>31.103863749020185</v>
      </c>
      <c r="I17" s="13">
        <f>G17*Calculation!I17/Calculation!K16</f>
        <v>0.46651731968166144</v>
      </c>
      <c r="J17" s="13">
        <v>5.1102723505032559</v>
      </c>
      <c r="K17" s="13">
        <v>4.4865140811804878E-2</v>
      </c>
      <c r="L17" s="13">
        <f>J17*Calculation!I17/Calculation!K16</f>
        <v>5.1780406048335683</v>
      </c>
      <c r="M17" s="13">
        <f>K17*Calculation!I17/Calculation!K16</f>
        <v>4.5460105632574216E-2</v>
      </c>
      <c r="N17" s="13">
        <v>29.708576186511241</v>
      </c>
      <c r="O17" s="13">
        <v>0.3343024129872571</v>
      </c>
      <c r="P17" s="13">
        <f>N17*Calculation!I17/Calculation!K16</f>
        <v>30.102547037516999</v>
      </c>
      <c r="Q17" s="13">
        <f>O17*Calculation!I17/Calculation!K16</f>
        <v>0.33873565830036184</v>
      </c>
      <c r="R17" s="13">
        <v>24.411615613006006</v>
      </c>
      <c r="S17" s="13">
        <v>0.67534004965076322</v>
      </c>
      <c r="T17" s="13">
        <f>R17*Calculation!I17/Calculation!K16</f>
        <v>24.735342503083224</v>
      </c>
      <c r="U17" s="13">
        <f>S17*Calculation!I17/Calculation!K16</f>
        <v>0.68429585730740827</v>
      </c>
    </row>
    <row r="18" spans="4:21">
      <c r="D18" s="16">
        <v>14</v>
      </c>
      <c r="E18" s="128">
        <v>19.333333333333332</v>
      </c>
      <c r="F18" s="52">
        <v>29.127812314979273</v>
      </c>
      <c r="G18" s="52">
        <v>8.5330465938425137E-2</v>
      </c>
      <c r="H18" s="13">
        <f>F18*Calculation!I18/Calculation!K17</f>
        <v>29.514081550287781</v>
      </c>
      <c r="I18" s="13">
        <f>G18*Calculation!I18/Calculation!K17</f>
        <v>8.6462048821139753E-2</v>
      </c>
      <c r="J18" s="13">
        <v>6.2092954410894023</v>
      </c>
      <c r="K18" s="13">
        <v>2.3109080811124939E-2</v>
      </c>
      <c r="L18" s="13">
        <f>J18*Calculation!I18/Calculation!K17</f>
        <v>6.2916380412097963</v>
      </c>
      <c r="M18" s="13">
        <f>K18*Calculation!I18/Calculation!K17</f>
        <v>2.3415534549465093E-2</v>
      </c>
      <c r="N18" s="13">
        <v>30.163752428531783</v>
      </c>
      <c r="O18" s="13">
        <v>0.10706245640847033</v>
      </c>
      <c r="P18" s="13">
        <f>N18*Calculation!I18/Calculation!K17</f>
        <v>30.563759454758479</v>
      </c>
      <c r="Q18" s="13">
        <f>O18*Calculation!I18/Calculation!K17</f>
        <v>0.10848223118317538</v>
      </c>
      <c r="R18" s="13">
        <v>22.340502570787166</v>
      </c>
      <c r="S18" s="13">
        <v>0.23831534031290105</v>
      </c>
      <c r="T18" s="13">
        <f>R18*Calculation!I18/Calculation!K17</f>
        <v>22.636764052806811</v>
      </c>
      <c r="U18" s="13">
        <f>S18*Calculation!I18/Calculation!K17</f>
        <v>0.24147568353639853</v>
      </c>
    </row>
    <row r="19" spans="4:21">
      <c r="D19" s="16">
        <v>15</v>
      </c>
      <c r="E19" s="128">
        <v>24.166666666666668</v>
      </c>
      <c r="F19" s="52">
        <v>27.127738306690347</v>
      </c>
      <c r="G19" s="52">
        <v>0.1989983667813606</v>
      </c>
      <c r="H19" s="13">
        <f>F19*Calculation!I19/Calculation!K18</f>
        <v>27.583482394123198</v>
      </c>
      <c r="I19" s="13">
        <f>G19*Calculation!I19/Calculation!K18</f>
        <v>0.20234152528739174</v>
      </c>
      <c r="J19" s="13">
        <v>8.2889283599763175</v>
      </c>
      <c r="K19" s="13">
        <v>6.5047349878800176E-2</v>
      </c>
      <c r="L19" s="13">
        <f>J19*Calculation!I19/Calculation!K18</f>
        <v>8.4281817709502072</v>
      </c>
      <c r="M19" s="13">
        <f>K19*Calculation!I19/Calculation!K18</f>
        <v>6.6140140762260158E-2</v>
      </c>
      <c r="N19" s="13">
        <v>31.917846239245076</v>
      </c>
      <c r="O19" s="13">
        <v>0.2173385728609703</v>
      </c>
      <c r="P19" s="13">
        <f>N19*Calculation!I19/Calculation!K18</f>
        <v>32.454063801604093</v>
      </c>
      <c r="Q19" s="13">
        <f>O19*Calculation!I19/Calculation!K18</f>
        <v>0.22098984553371107</v>
      </c>
      <c r="R19" s="13">
        <v>17.597219204866391</v>
      </c>
      <c r="S19" s="13">
        <v>0</v>
      </c>
      <c r="T19" s="13">
        <f>R19*Calculation!I19/Calculation!K18</f>
        <v>17.892851244559868</v>
      </c>
      <c r="U19" s="13">
        <f>S19*Calculation!I19/Calculation!K18</f>
        <v>0</v>
      </c>
    </row>
    <row r="20" spans="4:21">
      <c r="D20" s="16">
        <v>16</v>
      </c>
      <c r="E20" s="128">
        <v>30.166666666666668</v>
      </c>
      <c r="F20" s="52">
        <v>25.960257548845473</v>
      </c>
      <c r="G20" s="52">
        <v>0.45362538370358224</v>
      </c>
      <c r="H20" s="13">
        <f>F20*Calculation!I21/Calculation!K19</f>
        <v>25.153435445235775</v>
      </c>
      <c r="I20" s="13">
        <f>G20*Calculation!I21/Calculation!K19</f>
        <v>0.43952710345186125</v>
      </c>
      <c r="J20" s="13">
        <v>9.2584369449378325</v>
      </c>
      <c r="K20" s="13">
        <v>0.13909818035237212</v>
      </c>
      <c r="L20" s="13">
        <f>J20*Calculation!I21/Calculation!K19</f>
        <v>8.9706928207511805</v>
      </c>
      <c r="M20" s="13">
        <f>K20*Calculation!I21/Calculation!K19</f>
        <v>0.13477513054175216</v>
      </c>
      <c r="N20" s="13">
        <v>32.461837357757425</v>
      </c>
      <c r="O20" s="13">
        <v>0.67053761290220426</v>
      </c>
      <c r="P20" s="13">
        <f>N20*Calculation!I21/Calculation!K19</f>
        <v>31.452951839008534</v>
      </c>
      <c r="Q20" s="13">
        <f>O20*Calculation!I21/Calculation!K19</f>
        <v>0.64969789024640034</v>
      </c>
      <c r="R20" s="13">
        <v>11.615613006010575</v>
      </c>
      <c r="S20" s="13">
        <v>0.19712734577183302</v>
      </c>
      <c r="T20" s="13">
        <f>R20*Calculation!I21/Calculation!K19</f>
        <v>11.254609911083946</v>
      </c>
      <c r="U20" s="13">
        <f>S20*Calculation!I21/Calculation!K19</f>
        <v>0.19100080024371674</v>
      </c>
    </row>
    <row r="21" spans="4:21">
      <c r="D21" s="16">
        <v>17</v>
      </c>
      <c r="E21" s="128">
        <v>48.166666666666664</v>
      </c>
      <c r="F21" s="52">
        <v>23.839920071047953</v>
      </c>
      <c r="G21" s="52">
        <v>0.1588486680867475</v>
      </c>
      <c r="H21" s="13">
        <f>F21*Calculation!I21/Calculation!K20</f>
        <v>24.39398555894709</v>
      </c>
      <c r="I21" s="13">
        <f>G21*Calculation!I21/Calculation!K20</f>
        <v>0.16254048267854629</v>
      </c>
      <c r="J21" s="13">
        <v>10.731201894612196</v>
      </c>
      <c r="K21" s="13">
        <v>0.10314801557701574</v>
      </c>
      <c r="L21" s="13">
        <f>J21*Calculation!I21/Calculation!K20</f>
        <v>10.980606615591242</v>
      </c>
      <c r="M21" s="13">
        <f>K21*Calculation!I21/Calculation!K20</f>
        <v>0.10554528685167547</v>
      </c>
      <c r="N21" s="13">
        <v>32.91701359977796</v>
      </c>
      <c r="O21" s="13">
        <v>0.48187697838935617</v>
      </c>
      <c r="P21" s="13">
        <f>N21*Calculation!I21/Calculation!K20</f>
        <v>33.682040543911576</v>
      </c>
      <c r="Q21" s="13">
        <f>O21*Calculation!I21/Calculation!K20</f>
        <v>0.4930763197605928</v>
      </c>
      <c r="R21" s="13">
        <v>1.4990223767108408</v>
      </c>
      <c r="S21" s="13">
        <v>2.172496198131655E-2</v>
      </c>
      <c r="T21" s="13">
        <f>R21*Calculation!I21/Calculation!K20</f>
        <v>1.5338612755850309</v>
      </c>
      <c r="U21" s="13">
        <f>S21*Calculation!I21/Calculation!K20</f>
        <v>2.2229873559203361E-2</v>
      </c>
    </row>
    <row r="24" spans="4:21">
      <c r="D24" s="159" t="s">
        <v>4</v>
      </c>
      <c r="E24" s="159" t="s">
        <v>60</v>
      </c>
      <c r="F24" s="138" t="s">
        <v>44</v>
      </c>
      <c r="G24" s="138"/>
      <c r="H24" s="138"/>
      <c r="I24" s="138"/>
      <c r="J24" s="138" t="s">
        <v>66</v>
      </c>
      <c r="K24" s="138"/>
      <c r="L24" s="138"/>
      <c r="M24" s="138"/>
      <c r="N24" s="160" t="s">
        <v>67</v>
      </c>
      <c r="O24" s="136"/>
      <c r="P24" s="136"/>
      <c r="Q24" s="161"/>
    </row>
    <row r="25" spans="4:21">
      <c r="D25" s="159"/>
      <c r="E25" s="159"/>
      <c r="F25" s="20" t="s">
        <v>48</v>
      </c>
      <c r="G25" s="20" t="s">
        <v>23</v>
      </c>
      <c r="H25" s="20" t="s">
        <v>48</v>
      </c>
      <c r="I25" s="20" t="s">
        <v>23</v>
      </c>
      <c r="J25" s="20" t="s">
        <v>48</v>
      </c>
      <c r="K25" s="20" t="s">
        <v>23</v>
      </c>
      <c r="L25" s="20" t="s">
        <v>48</v>
      </c>
      <c r="M25" s="20" t="s">
        <v>23</v>
      </c>
      <c r="N25" s="20" t="s">
        <v>48</v>
      </c>
      <c r="O25" s="20" t="s">
        <v>23</v>
      </c>
      <c r="P25" s="20" t="s">
        <v>48</v>
      </c>
      <c r="Q25" s="20" t="s">
        <v>23</v>
      </c>
    </row>
    <row r="26" spans="4:21">
      <c r="D26" s="16">
        <v>0</v>
      </c>
      <c r="E26" s="127">
        <v>-0.16666666666666666</v>
      </c>
      <c r="F26" s="13">
        <v>0</v>
      </c>
      <c r="G26" s="13">
        <v>0</v>
      </c>
      <c r="H26" s="13">
        <f>F26*Calculation!I3/Calculation!F23</f>
        <v>0</v>
      </c>
      <c r="I26" s="13">
        <f>G26*Calculation!I3/Calculation!F23</f>
        <v>0</v>
      </c>
      <c r="J26" s="13">
        <v>0</v>
      </c>
      <c r="K26" s="13">
        <v>0</v>
      </c>
      <c r="L26" s="13">
        <f>J26*Calculation!I3/Calculation!F23</f>
        <v>0</v>
      </c>
      <c r="M26" s="13">
        <f>K26*Calculation!I3/Calculation!F23</f>
        <v>0</v>
      </c>
      <c r="N26" s="13">
        <v>0</v>
      </c>
      <c r="O26" s="13">
        <v>0</v>
      </c>
      <c r="P26" s="13">
        <f>N26*Calculation!I3/Calculation!F23</f>
        <v>0</v>
      </c>
      <c r="Q26" s="13">
        <f>O26*Calculation!I3/Calculation!F23</f>
        <v>0</v>
      </c>
    </row>
    <row r="27" spans="4:21">
      <c r="D27" s="16">
        <v>0</v>
      </c>
      <c r="E27" s="128">
        <v>0.16666666666666666</v>
      </c>
      <c r="F27" s="13">
        <v>0</v>
      </c>
      <c r="G27" s="13">
        <v>0</v>
      </c>
      <c r="H27" s="13">
        <f>F27*Calculation!I4/Calculation!K3</f>
        <v>0</v>
      </c>
      <c r="I27" s="13">
        <f>G27*Calculation!I4/Calculation!K3</f>
        <v>0</v>
      </c>
      <c r="J27" s="13">
        <v>0</v>
      </c>
      <c r="K27" s="13">
        <v>0</v>
      </c>
      <c r="L27" s="13">
        <f>J27*Calculation!I4/Calculation!K3</f>
        <v>0</v>
      </c>
      <c r="M27" s="13">
        <f>K27*Calculation!I4/Calculation!K3</f>
        <v>0</v>
      </c>
      <c r="N27" s="13">
        <v>0</v>
      </c>
      <c r="O27" s="13">
        <v>0</v>
      </c>
      <c r="P27" s="13">
        <f>N27*Calculation!I4/Calculation!K3</f>
        <v>0</v>
      </c>
      <c r="Q27" s="13">
        <f>O27*Calculation!I4/Calculation!K3</f>
        <v>0</v>
      </c>
    </row>
    <row r="28" spans="4:21">
      <c r="D28" s="16">
        <v>1</v>
      </c>
      <c r="E28" s="128">
        <v>2</v>
      </c>
      <c r="F28" s="13">
        <v>0</v>
      </c>
      <c r="G28" s="13">
        <v>0</v>
      </c>
      <c r="H28" s="13">
        <f>F28*Calculation!I5/Calculation!K4</f>
        <v>0</v>
      </c>
      <c r="I28" s="13">
        <f>G28*Calculation!I5/Calculation!K4</f>
        <v>0</v>
      </c>
      <c r="J28" s="13">
        <v>0</v>
      </c>
      <c r="K28" s="13">
        <v>0</v>
      </c>
      <c r="L28" s="13">
        <f>J28*Calculation!I5/Calculation!K4</f>
        <v>0</v>
      </c>
      <c r="M28" s="13">
        <f>K28*Calculation!I5/Calculation!K4</f>
        <v>0</v>
      </c>
      <c r="N28" s="13">
        <v>0</v>
      </c>
      <c r="O28" s="13">
        <v>0</v>
      </c>
      <c r="P28" s="13">
        <f>N28*Calculation!I5/Calculation!K4</f>
        <v>0</v>
      </c>
      <c r="Q28" s="13">
        <f>O28*Calculation!I5/Calculation!K4</f>
        <v>0</v>
      </c>
    </row>
    <row r="29" spans="4:21">
      <c r="D29" s="16">
        <v>2</v>
      </c>
      <c r="E29" s="128">
        <v>3.3333333333333335</v>
      </c>
      <c r="F29" s="13">
        <v>0</v>
      </c>
      <c r="G29" s="13">
        <v>0</v>
      </c>
      <c r="H29" s="13">
        <f>F29*Calculation!I6/Calculation!K5</f>
        <v>0</v>
      </c>
      <c r="I29" s="13">
        <f>G29*Calculation!I6/Calculation!K5</f>
        <v>0</v>
      </c>
      <c r="J29" s="13">
        <v>0</v>
      </c>
      <c r="K29" s="13">
        <v>0</v>
      </c>
      <c r="L29" s="13">
        <f>J29*Calculation!I6/Calculation!K5</f>
        <v>0</v>
      </c>
      <c r="M29" s="13">
        <f>K29*Calculation!I6/Calculation!K5</f>
        <v>0</v>
      </c>
      <c r="N29" s="13">
        <v>0</v>
      </c>
      <c r="O29" s="13">
        <v>0</v>
      </c>
      <c r="P29" s="13">
        <f>N29*Calculation!I6/Calculation!K5</f>
        <v>0</v>
      </c>
      <c r="Q29" s="13">
        <f>O29*Calculation!I6/Calculation!K5</f>
        <v>0</v>
      </c>
    </row>
    <row r="30" spans="4:21">
      <c r="D30" s="16">
        <v>3</v>
      </c>
      <c r="E30" s="128">
        <v>4.666666666666667</v>
      </c>
      <c r="F30" s="13">
        <v>0</v>
      </c>
      <c r="G30" s="13">
        <v>0</v>
      </c>
      <c r="H30" s="13">
        <f>F30*Calculation!I7/Calculation!K6</f>
        <v>0</v>
      </c>
      <c r="I30" s="13">
        <f>G30*Calculation!I7/Calculation!K6</f>
        <v>0</v>
      </c>
      <c r="J30" s="13">
        <v>0</v>
      </c>
      <c r="K30" s="13">
        <v>0</v>
      </c>
      <c r="L30" s="13">
        <f>J30*Calculation!I7/Calculation!K6</f>
        <v>0</v>
      </c>
      <c r="M30" s="13">
        <f>K30*Calculation!I7/Calculation!K6</f>
        <v>0</v>
      </c>
      <c r="N30" s="13">
        <v>0</v>
      </c>
      <c r="O30" s="13">
        <v>0</v>
      </c>
      <c r="P30" s="13">
        <f>N30*Calculation!I7/Calculation!K6</f>
        <v>0</v>
      </c>
      <c r="Q30" s="13">
        <f>O30*Calculation!I7/Calculation!K6</f>
        <v>0</v>
      </c>
    </row>
    <row r="31" spans="4:21">
      <c r="D31" s="16">
        <v>4</v>
      </c>
      <c r="E31" s="128">
        <v>6</v>
      </c>
      <c r="F31" s="13">
        <v>0</v>
      </c>
      <c r="G31" s="13">
        <v>0</v>
      </c>
      <c r="H31" s="13">
        <f>F31*Calculation!I8/Calculation!K7</f>
        <v>0</v>
      </c>
      <c r="I31" s="13">
        <f>G31*Calculation!I8/Calculation!K7</f>
        <v>0</v>
      </c>
      <c r="J31" s="13">
        <v>0</v>
      </c>
      <c r="K31" s="13">
        <v>0</v>
      </c>
      <c r="L31" s="13">
        <f>J31*Calculation!I8/Calculation!K7</f>
        <v>0</v>
      </c>
      <c r="M31" s="13">
        <f>K31*Calculation!I8/Calculation!K7</f>
        <v>0</v>
      </c>
      <c r="N31" s="13">
        <v>0</v>
      </c>
      <c r="O31" s="13">
        <v>0</v>
      </c>
      <c r="P31" s="13">
        <f>N31*Calculation!I8/Calculation!K7</f>
        <v>0</v>
      </c>
      <c r="Q31" s="13">
        <f>O31*Calculation!I8/Calculation!K7</f>
        <v>0</v>
      </c>
    </row>
    <row r="32" spans="4:21">
      <c r="D32" s="16">
        <v>5</v>
      </c>
      <c r="E32" s="128">
        <v>7.333333333333333</v>
      </c>
      <c r="F32" s="13">
        <v>0</v>
      </c>
      <c r="G32" s="13">
        <v>0</v>
      </c>
      <c r="H32" s="13">
        <f>F32*Calculation!I9/Calculation!K8</f>
        <v>0</v>
      </c>
      <c r="I32" s="13">
        <f>G32*Calculation!I9/Calculation!K8</f>
        <v>0</v>
      </c>
      <c r="J32" s="13">
        <v>0</v>
      </c>
      <c r="K32" s="13">
        <v>0</v>
      </c>
      <c r="L32" s="13">
        <f>J32*Calculation!I9/Calculation!K8</f>
        <v>0</v>
      </c>
      <c r="M32" s="13">
        <f>K32*Calculation!I9/Calculation!K8</f>
        <v>0</v>
      </c>
      <c r="N32" s="13">
        <v>0</v>
      </c>
      <c r="O32" s="13">
        <v>0</v>
      </c>
      <c r="P32" s="13">
        <f>N32*Calculation!I9/Calculation!K8</f>
        <v>0</v>
      </c>
      <c r="Q32" s="13">
        <f>O32*Calculation!I9/Calculation!K8</f>
        <v>0</v>
      </c>
    </row>
    <row r="33" spans="4:17">
      <c r="D33" s="16">
        <v>6</v>
      </c>
      <c r="E33" s="128">
        <v>8.6666666666666661</v>
      </c>
      <c r="F33" s="13">
        <v>0</v>
      </c>
      <c r="G33" s="13">
        <v>0</v>
      </c>
      <c r="H33" s="13">
        <f>F33*Calculation!I10/Calculation!K9</f>
        <v>0</v>
      </c>
      <c r="I33" s="13">
        <f>G33*Calculation!I10/Calculation!K9</f>
        <v>0</v>
      </c>
      <c r="J33" s="13">
        <v>0</v>
      </c>
      <c r="K33" s="13">
        <v>0</v>
      </c>
      <c r="L33" s="13">
        <f>J33*Calculation!I10/Calculation!K9</f>
        <v>0</v>
      </c>
      <c r="M33" s="13">
        <f>K33*Calculation!I10/Calculation!K9</f>
        <v>0</v>
      </c>
      <c r="N33" s="13">
        <v>0</v>
      </c>
      <c r="O33" s="13">
        <v>0</v>
      </c>
      <c r="P33" s="13">
        <f>N33*Calculation!I10/Calculation!K9</f>
        <v>0</v>
      </c>
      <c r="Q33" s="13">
        <f>O33*Calculation!I10/Calculation!K9</f>
        <v>0</v>
      </c>
    </row>
    <row r="34" spans="4:17">
      <c r="D34" s="16">
        <v>7</v>
      </c>
      <c r="E34" s="128">
        <v>10</v>
      </c>
      <c r="F34" s="13">
        <v>0</v>
      </c>
      <c r="G34" s="13">
        <v>0</v>
      </c>
      <c r="H34" s="13">
        <f>F34*Calculation!I11/Calculation!K10</f>
        <v>0</v>
      </c>
      <c r="I34" s="13">
        <f>G34*Calculation!I11/Calculation!K10</f>
        <v>0</v>
      </c>
      <c r="J34" s="13">
        <v>0</v>
      </c>
      <c r="K34" s="13">
        <v>0</v>
      </c>
      <c r="L34" s="13">
        <f>J34*Calculation!I11/Calculation!K10</f>
        <v>0</v>
      </c>
      <c r="M34" s="13">
        <f>K34*Calculation!I11/Calculation!K10</f>
        <v>0</v>
      </c>
      <c r="N34" s="13">
        <v>0</v>
      </c>
      <c r="O34" s="13">
        <v>0</v>
      </c>
      <c r="P34" s="13">
        <f>N34*Calculation!I11/Calculation!K10</f>
        <v>0</v>
      </c>
      <c r="Q34" s="13">
        <f>O34*Calculation!I11/Calculation!K10</f>
        <v>0</v>
      </c>
    </row>
    <row r="35" spans="4:17">
      <c r="D35" s="16">
        <v>8</v>
      </c>
      <c r="E35" s="128">
        <v>11.333333333333334</v>
      </c>
      <c r="F35" s="13">
        <v>0</v>
      </c>
      <c r="G35" s="13">
        <v>0</v>
      </c>
      <c r="H35" s="13">
        <f>F35*Calculation!I12/Calculation!K11</f>
        <v>0</v>
      </c>
      <c r="I35" s="13">
        <f>G35*Calculation!I12/Calculation!K11</f>
        <v>0</v>
      </c>
      <c r="J35" s="13">
        <v>0</v>
      </c>
      <c r="K35" s="13">
        <v>0</v>
      </c>
      <c r="L35" s="13">
        <f>J35*Calculation!I12/Calculation!K11</f>
        <v>0</v>
      </c>
      <c r="M35" s="13">
        <f>K35*Calculation!I12/Calculation!K11</f>
        <v>0</v>
      </c>
      <c r="N35" s="13">
        <v>0</v>
      </c>
      <c r="O35" s="13">
        <v>0</v>
      </c>
      <c r="P35" s="13">
        <f>N35*Calculation!I12/Calculation!K11</f>
        <v>0</v>
      </c>
      <c r="Q35" s="13">
        <f>O35*Calculation!I12/Calculation!K11</f>
        <v>0</v>
      </c>
    </row>
    <row r="36" spans="4:17">
      <c r="D36" s="16">
        <v>9</v>
      </c>
      <c r="E36" s="128">
        <v>12.666666666666666</v>
      </c>
      <c r="F36" s="13">
        <v>0</v>
      </c>
      <c r="G36" s="13">
        <v>0</v>
      </c>
      <c r="H36" s="13">
        <f>F36*Calculation!I13/Calculation!K12</f>
        <v>0</v>
      </c>
      <c r="I36" s="13">
        <f>G36*Calculation!I13/Calculation!K12</f>
        <v>0</v>
      </c>
      <c r="J36" s="13">
        <v>0</v>
      </c>
      <c r="K36" s="13">
        <v>0</v>
      </c>
      <c r="L36" s="13">
        <f>J36*Calculation!I13/Calculation!K12</f>
        <v>0</v>
      </c>
      <c r="M36" s="13">
        <f>K36*Calculation!I13/Calculation!K12</f>
        <v>0</v>
      </c>
      <c r="N36" s="13">
        <v>0</v>
      </c>
      <c r="O36" s="13">
        <v>0</v>
      </c>
      <c r="P36" s="13">
        <f>N36*Calculation!I13/Calculation!K12</f>
        <v>0</v>
      </c>
      <c r="Q36" s="13">
        <f>O36*Calculation!I13/Calculation!K12</f>
        <v>0</v>
      </c>
    </row>
    <row r="37" spans="4:17">
      <c r="D37" s="16">
        <v>10</v>
      </c>
      <c r="E37" s="128">
        <v>14</v>
      </c>
      <c r="F37" s="13">
        <v>0</v>
      </c>
      <c r="G37" s="13">
        <v>0</v>
      </c>
      <c r="H37" s="13">
        <f>F37*Calculation!I14/Calculation!K13</f>
        <v>0</v>
      </c>
      <c r="I37" s="13">
        <f>G37*Calculation!I14/Calculation!K13</f>
        <v>0</v>
      </c>
      <c r="J37" s="13">
        <v>0</v>
      </c>
      <c r="K37" s="13">
        <v>0</v>
      </c>
      <c r="L37" s="13">
        <f>J37*Calculation!I14/Calculation!K13</f>
        <v>0</v>
      </c>
      <c r="M37" s="13">
        <f>K37*Calculation!I14/Calculation!K13</f>
        <v>0</v>
      </c>
      <c r="N37" s="13">
        <v>0</v>
      </c>
      <c r="O37" s="13">
        <v>0</v>
      </c>
      <c r="P37" s="13">
        <f>N37*Calculation!I14/Calculation!K13</f>
        <v>0</v>
      </c>
      <c r="Q37" s="13">
        <f>O37*Calculation!I14/Calculation!K13</f>
        <v>0</v>
      </c>
    </row>
    <row r="38" spans="4:17">
      <c r="D38" s="16">
        <v>11</v>
      </c>
      <c r="E38" s="128">
        <v>15.333333333333334</v>
      </c>
      <c r="F38" s="13">
        <v>0</v>
      </c>
      <c r="G38" s="13">
        <v>0</v>
      </c>
      <c r="H38" s="13">
        <f>F38*Calculation!I15/Calculation!K14</f>
        <v>0</v>
      </c>
      <c r="I38" s="13">
        <f>G38*Calculation!I15/Calculation!K14</f>
        <v>0</v>
      </c>
      <c r="J38" s="13">
        <v>0</v>
      </c>
      <c r="K38" s="13">
        <v>0</v>
      </c>
      <c r="L38" s="13">
        <f>J38*Calculation!I15/Calculation!K14</f>
        <v>0</v>
      </c>
      <c r="M38" s="13">
        <f>K38*Calculation!I15/Calculation!K14</f>
        <v>0</v>
      </c>
      <c r="N38" s="13">
        <v>0</v>
      </c>
      <c r="O38" s="13">
        <v>0</v>
      </c>
      <c r="P38" s="13">
        <f>N38*Calculation!I15/Calculation!K14</f>
        <v>0</v>
      </c>
      <c r="Q38" s="13">
        <f>O38*Calculation!I15/Calculation!K14</f>
        <v>0</v>
      </c>
    </row>
    <row r="39" spans="4:17">
      <c r="D39" s="16">
        <v>12</v>
      </c>
      <c r="E39" s="128">
        <v>16.666666666666668</v>
      </c>
      <c r="F39" s="13">
        <v>0</v>
      </c>
      <c r="G39" s="13">
        <v>0</v>
      </c>
      <c r="H39" s="13">
        <f>F39*Calculation!I16/Calculation!K15</f>
        <v>0</v>
      </c>
      <c r="I39" s="13">
        <f>G39*Calculation!I16/Calculation!K15</f>
        <v>0</v>
      </c>
      <c r="J39" s="13">
        <v>0</v>
      </c>
      <c r="K39" s="13">
        <v>0</v>
      </c>
      <c r="L39" s="13">
        <f>J39*Calculation!I16/Calculation!K15</f>
        <v>0</v>
      </c>
      <c r="M39" s="13">
        <f>K39*Calculation!I16/Calculation!K15</f>
        <v>0</v>
      </c>
      <c r="N39" s="13">
        <v>0</v>
      </c>
      <c r="O39" s="13">
        <v>0</v>
      </c>
      <c r="P39" s="13">
        <f>N39*Calculation!I16/Calculation!K15</f>
        <v>0</v>
      </c>
      <c r="Q39" s="13">
        <f>O39*Calculation!I16/Calculation!K15</f>
        <v>0</v>
      </c>
    </row>
    <row r="40" spans="4:17">
      <c r="D40" s="16">
        <v>13</v>
      </c>
      <c r="E40" s="128">
        <v>18</v>
      </c>
      <c r="F40" s="13">
        <v>0</v>
      </c>
      <c r="G40" s="13">
        <v>0</v>
      </c>
      <c r="H40" s="13">
        <f>F40*Calculation!I17/Calculation!K16</f>
        <v>0</v>
      </c>
      <c r="I40" s="13">
        <f>G40*Calculation!I17/Calculation!K16</f>
        <v>0</v>
      </c>
      <c r="J40" s="13">
        <v>0</v>
      </c>
      <c r="K40" s="13">
        <v>0</v>
      </c>
      <c r="L40" s="13">
        <f>J40*Calculation!I17/Calculation!K16</f>
        <v>0</v>
      </c>
      <c r="M40" s="13">
        <f>K40*Calculation!I17/Calculation!K16</f>
        <v>0</v>
      </c>
      <c r="N40" s="13">
        <v>0</v>
      </c>
      <c r="O40" s="13">
        <v>0</v>
      </c>
      <c r="P40" s="13">
        <f>N40*Calculation!I17/Calculation!K16</f>
        <v>0</v>
      </c>
      <c r="Q40" s="13">
        <f>O40*Calculation!I17/Calculation!K16</f>
        <v>0</v>
      </c>
    </row>
    <row r="41" spans="4:17">
      <c r="D41" s="16">
        <v>14</v>
      </c>
      <c r="E41" s="128">
        <v>19.333333333333332</v>
      </c>
      <c r="F41" s="13">
        <v>0</v>
      </c>
      <c r="G41" s="13">
        <v>0</v>
      </c>
      <c r="H41" s="13">
        <f>F41*Calculation!I18/Calculation!K17</f>
        <v>0</v>
      </c>
      <c r="I41" s="13">
        <f>G41*Calculation!I18/Calculation!K17</f>
        <v>0</v>
      </c>
      <c r="J41" s="13">
        <v>0</v>
      </c>
      <c r="K41" s="13">
        <v>0</v>
      </c>
      <c r="L41" s="13">
        <f>J41*Calculation!I18/Calculation!K17</f>
        <v>0</v>
      </c>
      <c r="M41" s="13">
        <f>K41*Calculation!I18/Calculation!K17</f>
        <v>0</v>
      </c>
      <c r="N41" s="13">
        <v>0</v>
      </c>
      <c r="O41" s="13">
        <v>0</v>
      </c>
      <c r="P41" s="13">
        <f>N41*Calculation!I18/Calculation!K17</f>
        <v>0</v>
      </c>
      <c r="Q41" s="13">
        <f>O41*Calculation!I18/Calculation!K17</f>
        <v>0</v>
      </c>
    </row>
    <row r="42" spans="4:17">
      <c r="D42" s="16">
        <v>15</v>
      </c>
      <c r="E42" s="128">
        <v>24.166666666666668</v>
      </c>
      <c r="F42" s="13">
        <v>0</v>
      </c>
      <c r="G42" s="13">
        <v>0</v>
      </c>
      <c r="H42" s="13">
        <f>F42*Calculation!I19/Calculation!K18</f>
        <v>0</v>
      </c>
      <c r="I42" s="13">
        <f>G42*Calculation!I19/Calculation!K18</f>
        <v>0</v>
      </c>
      <c r="J42" s="13">
        <v>0</v>
      </c>
      <c r="K42" s="13">
        <v>0</v>
      </c>
      <c r="L42" s="13">
        <f>J42*Calculation!I19/Calculation!K18</f>
        <v>0</v>
      </c>
      <c r="M42" s="13">
        <f>K42*Calculation!I19/Calculation!K18</f>
        <v>0</v>
      </c>
      <c r="N42" s="13">
        <v>0</v>
      </c>
      <c r="O42" s="13">
        <v>0</v>
      </c>
      <c r="P42" s="13">
        <f>N42*Calculation!I19/Calculation!K18</f>
        <v>0</v>
      </c>
      <c r="Q42" s="13">
        <f>O42*Calculation!I19/Calculation!K18</f>
        <v>0</v>
      </c>
    </row>
    <row r="43" spans="4:17">
      <c r="D43" s="16">
        <v>16</v>
      </c>
      <c r="E43" s="128">
        <v>30.166666666666668</v>
      </c>
      <c r="F43" s="13">
        <v>0</v>
      </c>
      <c r="G43" s="13">
        <v>0</v>
      </c>
      <c r="H43" s="13">
        <f>F43*Calculation!I21/Calculation!K19</f>
        <v>0</v>
      </c>
      <c r="I43" s="13">
        <f>G43*Calculation!I21/Calculation!K19</f>
        <v>0</v>
      </c>
      <c r="J43" s="13">
        <v>0</v>
      </c>
      <c r="K43" s="13">
        <v>0</v>
      </c>
      <c r="L43" s="13">
        <f>J43*Calculation!I21/Calculation!K19</f>
        <v>0</v>
      </c>
      <c r="M43" s="13">
        <f>K43*Calculation!I21/Calculation!K19</f>
        <v>0</v>
      </c>
      <c r="N43" s="13">
        <v>0</v>
      </c>
      <c r="O43" s="13">
        <v>0</v>
      </c>
      <c r="P43" s="13">
        <f>N43*Calculation!I21/Calculation!K19</f>
        <v>0</v>
      </c>
      <c r="Q43" s="13">
        <f>O43*Calculation!I21/Calculation!K19</f>
        <v>0</v>
      </c>
    </row>
    <row r="44" spans="4:17">
      <c r="D44" s="16">
        <v>17</v>
      </c>
      <c r="E44" s="128">
        <v>48.166666666666664</v>
      </c>
      <c r="F44" s="13">
        <v>0</v>
      </c>
      <c r="G44" s="13">
        <v>0</v>
      </c>
      <c r="H44" s="13">
        <f>F44*Calculation!I22/Calculation!K20</f>
        <v>0</v>
      </c>
      <c r="I44" s="13">
        <f>G44*Calculation!I22/Calculation!K20</f>
        <v>0</v>
      </c>
      <c r="J44" s="13">
        <v>0</v>
      </c>
      <c r="K44" s="13">
        <v>0</v>
      </c>
      <c r="L44" s="13">
        <f>J44*Calculation!I22/Calculation!K20</f>
        <v>0</v>
      </c>
      <c r="M44" s="13">
        <f>K44*Calculation!I22/Calculation!K20</f>
        <v>0</v>
      </c>
      <c r="N44" s="13">
        <v>0</v>
      </c>
      <c r="O44" s="13">
        <v>0</v>
      </c>
      <c r="P44" s="13">
        <f>N44*Calculation!I22/Calculation!K20</f>
        <v>0</v>
      </c>
      <c r="Q44" s="13">
        <f>O44*Calculation!I22/Calculation!K20</f>
        <v>0</v>
      </c>
    </row>
  </sheetData>
  <mergeCells count="14">
    <mergeCell ref="F24:I24"/>
    <mergeCell ref="J24:M24"/>
    <mergeCell ref="N24:Q24"/>
    <mergeCell ref="N1:Q1"/>
    <mergeCell ref="A1:B1"/>
    <mergeCell ref="A2:B2"/>
    <mergeCell ref="A3:A4"/>
    <mergeCell ref="D24:D25"/>
    <mergeCell ref="E24:E25"/>
    <mergeCell ref="R1:U1"/>
    <mergeCell ref="D1:D2"/>
    <mergeCell ref="E1:E2"/>
    <mergeCell ref="F1:I1"/>
    <mergeCell ref="J1:M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5"/>
  <sheetViews>
    <sheetView topLeftCell="A2" workbookViewId="0">
      <selection activeCell="G7" sqref="G7:H25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145</v>
      </c>
      <c r="B2" s="17">
        <v>180.16</v>
      </c>
    </row>
    <row r="4" spans="1:8">
      <c r="A4" s="162" t="s">
        <v>146</v>
      </c>
      <c r="B4" s="163"/>
      <c r="C4" s="163"/>
      <c r="D4" s="163"/>
      <c r="E4" s="163"/>
      <c r="F4" s="163"/>
      <c r="G4" s="163"/>
      <c r="H4" s="164"/>
    </row>
    <row r="5" spans="1:8">
      <c r="A5" s="165" t="s">
        <v>62</v>
      </c>
      <c r="B5" s="163"/>
      <c r="C5" s="164"/>
      <c r="D5" s="166" t="s">
        <v>45</v>
      </c>
      <c r="E5" s="166" t="s">
        <v>46</v>
      </c>
      <c r="F5" s="166" t="s">
        <v>47</v>
      </c>
      <c r="G5" s="168" t="s">
        <v>63</v>
      </c>
      <c r="H5" s="168" t="s">
        <v>64</v>
      </c>
    </row>
    <row r="6" spans="1:8">
      <c r="A6" s="28" t="s">
        <v>4</v>
      </c>
      <c r="B6" s="28" t="s">
        <v>5</v>
      </c>
      <c r="C6" s="28" t="s">
        <v>19</v>
      </c>
      <c r="D6" s="167"/>
      <c r="E6" s="167"/>
      <c r="F6" s="167"/>
      <c r="G6" s="169"/>
      <c r="H6" s="169"/>
    </row>
    <row r="7" spans="1:8">
      <c r="A7" s="16">
        <v>0</v>
      </c>
      <c r="B7" s="127">
        <v>-0.16666666666666666</v>
      </c>
      <c r="C7" s="16">
        <v>1</v>
      </c>
      <c r="D7" s="19">
        <v>9.0310000000000006</v>
      </c>
      <c r="E7" s="19">
        <v>9.1280000000000001</v>
      </c>
      <c r="F7" s="19">
        <v>9.0719999999999992</v>
      </c>
      <c r="G7" s="19">
        <f>(C7*1000*AVERAGE(D7:F7)/$B$2)</f>
        <v>50.382992895204261</v>
      </c>
      <c r="H7" s="19">
        <f>(C7*1000*STDEV(D7:F7))/$B$2</f>
        <v>0.27027595079795314</v>
      </c>
    </row>
    <row r="8" spans="1:8">
      <c r="A8" s="16">
        <v>0</v>
      </c>
      <c r="B8" s="128">
        <v>0.16666666666666666</v>
      </c>
      <c r="C8" s="16">
        <v>1</v>
      </c>
      <c r="D8" s="19">
        <v>9.1050000000000004</v>
      </c>
      <c r="E8" s="19">
        <v>9.15</v>
      </c>
      <c r="F8" s="19">
        <v>9.1069999999999993</v>
      </c>
      <c r="G8" s="19">
        <f t="shared" ref="G8:G24" si="0">(C8*1000*AVERAGE(D8:F8)/$B$2)</f>
        <v>50.62537004144464</v>
      </c>
      <c r="H8" s="19">
        <f t="shared" ref="H8:H24" si="1">(C8*1000*STDEV(D8:F8))/$B$2</f>
        <v>0.14111393550672394</v>
      </c>
    </row>
    <row r="9" spans="1:8">
      <c r="A9" s="16">
        <v>1</v>
      </c>
      <c r="B9" s="128">
        <v>2</v>
      </c>
      <c r="C9" s="16">
        <v>1</v>
      </c>
      <c r="D9" s="19">
        <v>9.0180000000000007</v>
      </c>
      <c r="E9" s="19">
        <v>9.1509999999999998</v>
      </c>
      <c r="F9" s="19">
        <v>9.0169999999999995</v>
      </c>
      <c r="G9" s="19">
        <f t="shared" si="0"/>
        <v>50.299733570159859</v>
      </c>
      <c r="H9" s="19">
        <f t="shared" si="1"/>
        <v>0.42783016590903855</v>
      </c>
    </row>
    <row r="10" spans="1:8">
      <c r="A10" s="16">
        <v>2</v>
      </c>
      <c r="B10" s="128">
        <v>3.3333333333333335</v>
      </c>
      <c r="C10" s="16">
        <v>1</v>
      </c>
      <c r="D10" s="19">
        <v>9.0649999999999995</v>
      </c>
      <c r="E10" s="19">
        <v>9.077</v>
      </c>
      <c r="F10" s="19">
        <v>8.9860000000000007</v>
      </c>
      <c r="G10" s="19">
        <f t="shared" si="0"/>
        <v>50.192421551213741</v>
      </c>
      <c r="H10" s="19">
        <f t="shared" si="1"/>
        <v>0.27442384307336398</v>
      </c>
    </row>
    <row r="11" spans="1:8">
      <c r="A11" s="16">
        <v>3</v>
      </c>
      <c r="B11" s="128">
        <v>4.666666666666667</v>
      </c>
      <c r="C11" s="16">
        <v>1</v>
      </c>
      <c r="D11" s="19">
        <v>9.1389999999999993</v>
      </c>
      <c r="E11" s="19">
        <v>9.23</v>
      </c>
      <c r="F11" s="19">
        <v>9.1029999999999998</v>
      </c>
      <c r="G11" s="19">
        <f t="shared" si="0"/>
        <v>50.828892835997635</v>
      </c>
      <c r="H11" s="19">
        <f t="shared" si="1"/>
        <v>0.36331493685056482</v>
      </c>
    </row>
    <row r="12" spans="1:8">
      <c r="A12" s="16">
        <v>4</v>
      </c>
      <c r="B12" s="128">
        <v>6</v>
      </c>
      <c r="C12" s="16">
        <v>1</v>
      </c>
      <c r="D12" s="19">
        <v>9.0839999999999996</v>
      </c>
      <c r="E12" s="19">
        <v>9.2089999999999996</v>
      </c>
      <c r="F12" s="19">
        <v>9.2210000000000001</v>
      </c>
      <c r="G12" s="19">
        <f t="shared" si="0"/>
        <v>50.906601539372417</v>
      </c>
      <c r="H12" s="19">
        <f t="shared" si="1"/>
        <v>0.42112846198278592</v>
      </c>
    </row>
    <row r="13" spans="1:8">
      <c r="A13" s="16">
        <v>5</v>
      </c>
      <c r="B13" s="128">
        <v>7.333333333333333</v>
      </c>
      <c r="C13" s="16">
        <v>1</v>
      </c>
      <c r="D13" s="19">
        <v>9.0719999999999992</v>
      </c>
      <c r="E13" s="19">
        <v>9.1969999999999992</v>
      </c>
      <c r="F13" s="19">
        <v>9.1869999999999994</v>
      </c>
      <c r="G13" s="19">
        <f t="shared" si="0"/>
        <v>50.799289520426292</v>
      </c>
      <c r="H13" s="19">
        <f t="shared" si="1"/>
        <v>0.38555850325959751</v>
      </c>
    </row>
    <row r="14" spans="1:8">
      <c r="A14" s="16">
        <v>6</v>
      </c>
      <c r="B14" s="128">
        <v>8.6666666666666661</v>
      </c>
      <c r="C14" s="16">
        <v>1</v>
      </c>
      <c r="D14" s="19">
        <v>8.9610000000000003</v>
      </c>
      <c r="E14" s="19">
        <v>9.0380000000000003</v>
      </c>
      <c r="F14" s="19">
        <v>9.0449999999999999</v>
      </c>
      <c r="G14" s="19">
        <f t="shared" si="0"/>
        <v>50.037004144464184</v>
      </c>
      <c r="H14" s="19">
        <f t="shared" si="1"/>
        <v>0.25870502236542858</v>
      </c>
    </row>
    <row r="15" spans="1:8">
      <c r="A15" s="16">
        <v>7</v>
      </c>
      <c r="B15" s="128">
        <v>10</v>
      </c>
      <c r="C15" s="16">
        <v>1</v>
      </c>
      <c r="D15" s="19">
        <v>8.7899999999999991</v>
      </c>
      <c r="E15" s="19">
        <v>8.8089999999999993</v>
      </c>
      <c r="F15" s="19">
        <v>8.7460000000000004</v>
      </c>
      <c r="G15" s="19">
        <f t="shared" si="0"/>
        <v>48.743709295441086</v>
      </c>
      <c r="H15" s="19">
        <f t="shared" si="1"/>
        <v>0.17937470379094311</v>
      </c>
    </row>
    <row r="16" spans="1:8">
      <c r="A16" s="16">
        <v>8</v>
      </c>
      <c r="B16" s="128">
        <v>11.333333333333334</v>
      </c>
      <c r="C16" s="16">
        <v>1</v>
      </c>
      <c r="D16" s="19">
        <v>8.3490000000000002</v>
      </c>
      <c r="E16" s="19">
        <v>8.3940000000000001</v>
      </c>
      <c r="F16" s="19">
        <v>8.3770000000000007</v>
      </c>
      <c r="G16" s="19">
        <f t="shared" si="0"/>
        <v>46.477205447010078</v>
      </c>
      <c r="H16" s="19">
        <f t="shared" si="1"/>
        <v>0.12612660573678411</v>
      </c>
    </row>
    <row r="17" spans="1:8">
      <c r="A17" s="16">
        <v>9</v>
      </c>
      <c r="B17" s="128">
        <v>12.666666666666666</v>
      </c>
      <c r="C17" s="16">
        <v>1</v>
      </c>
      <c r="D17" s="82">
        <v>7.7119999999999997</v>
      </c>
      <c r="E17" s="82">
        <v>7.82</v>
      </c>
      <c r="F17" s="82">
        <v>7.7149999999999999</v>
      </c>
      <c r="G17" s="19">
        <f t="shared" si="0"/>
        <v>43.011767317939608</v>
      </c>
      <c r="H17" s="19">
        <f t="shared" si="1"/>
        <v>0.34139707625847804</v>
      </c>
    </row>
    <row r="18" spans="1:8">
      <c r="A18" s="16">
        <v>10</v>
      </c>
      <c r="B18" s="128">
        <v>14</v>
      </c>
      <c r="C18" s="16">
        <v>1</v>
      </c>
      <c r="D18" s="82">
        <v>6.9180000000000001</v>
      </c>
      <c r="E18" s="82">
        <v>6.9320000000000004</v>
      </c>
      <c r="F18" s="82">
        <v>6.9550000000000001</v>
      </c>
      <c r="G18" s="19">
        <f t="shared" si="0"/>
        <v>38.493561278863233</v>
      </c>
      <c r="H18" s="19">
        <f t="shared" si="1"/>
        <v>0.10369417013915046</v>
      </c>
    </row>
    <row r="19" spans="1:8">
      <c r="A19" s="16">
        <v>11</v>
      </c>
      <c r="B19" s="128">
        <v>15.333333333333334</v>
      </c>
      <c r="C19" s="16">
        <v>1</v>
      </c>
      <c r="D19" s="82">
        <v>6.3129999999999997</v>
      </c>
      <c r="E19" s="82">
        <v>6.3959999999999999</v>
      </c>
      <c r="F19" s="82">
        <v>6.3959999999999999</v>
      </c>
      <c r="G19" s="19">
        <f t="shared" si="0"/>
        <v>35.34820899940793</v>
      </c>
      <c r="H19" s="19">
        <f t="shared" si="1"/>
        <v>0.26598619195570078</v>
      </c>
    </row>
    <row r="20" spans="1:8">
      <c r="A20" s="16">
        <v>12</v>
      </c>
      <c r="B20" s="128">
        <v>16.666666666666668</v>
      </c>
      <c r="C20" s="16">
        <v>1</v>
      </c>
      <c r="D20" s="82">
        <v>5.9160000000000004</v>
      </c>
      <c r="E20" s="82">
        <v>5.9980000000000002</v>
      </c>
      <c r="F20" s="82">
        <v>6.0110000000000001</v>
      </c>
      <c r="G20" s="19">
        <f t="shared" si="0"/>
        <v>33.164964476021318</v>
      </c>
      <c r="H20" s="19">
        <f t="shared" si="1"/>
        <v>0.28589743027699566</v>
      </c>
    </row>
    <row r="21" spans="1:8">
      <c r="A21" s="16">
        <v>13</v>
      </c>
      <c r="B21" s="128">
        <v>18</v>
      </c>
      <c r="C21" s="16">
        <v>1</v>
      </c>
      <c r="D21" s="82">
        <v>5.4349999999999996</v>
      </c>
      <c r="E21" s="85">
        <v>5.5860000000000003</v>
      </c>
      <c r="F21" s="85">
        <v>5.57</v>
      </c>
      <c r="G21" s="19">
        <f>(C21*1000*AVERAGE(D21:F21)/$B$2)</f>
        <v>30.696788040260515</v>
      </c>
      <c r="H21" s="19">
        <f t="shared" si="1"/>
        <v>0.46041171588624691</v>
      </c>
    </row>
    <row r="22" spans="1:8">
      <c r="A22" s="16">
        <v>14</v>
      </c>
      <c r="B22" s="128">
        <v>19.333333333333332</v>
      </c>
      <c r="C22" s="16">
        <v>1</v>
      </c>
      <c r="D22" s="82">
        <v>5.23</v>
      </c>
      <c r="E22" s="82">
        <v>5.2549999999999999</v>
      </c>
      <c r="F22" s="82">
        <v>5.258</v>
      </c>
      <c r="G22" s="19">
        <f t="shared" si="0"/>
        <v>29.127812314979273</v>
      </c>
      <c r="H22" s="19">
        <f t="shared" si="1"/>
        <v>8.5330465938425137E-2</v>
      </c>
    </row>
    <row r="23" spans="1:8">
      <c r="A23" s="16">
        <v>15</v>
      </c>
      <c r="B23" s="128">
        <v>24.166666666666668</v>
      </c>
      <c r="C23" s="16">
        <v>1</v>
      </c>
      <c r="D23" s="82">
        <v>4.8460000000000001</v>
      </c>
      <c r="E23" s="82">
        <v>4.9059999999999997</v>
      </c>
      <c r="F23" s="82">
        <v>4.91</v>
      </c>
      <c r="G23" s="19">
        <f t="shared" si="0"/>
        <v>27.127738306690347</v>
      </c>
      <c r="H23" s="19">
        <f t="shared" si="1"/>
        <v>0.1989983667813606</v>
      </c>
    </row>
    <row r="24" spans="1:8">
      <c r="A24" s="16">
        <v>16</v>
      </c>
      <c r="B24" s="128">
        <v>30.166666666666668</v>
      </c>
      <c r="C24" s="16">
        <v>1</v>
      </c>
      <c r="D24" s="82">
        <v>4.5990000000000002</v>
      </c>
      <c r="E24" s="82">
        <v>4.67</v>
      </c>
      <c r="F24" s="82">
        <v>4.7619999999999996</v>
      </c>
      <c r="G24" s="19">
        <f t="shared" si="0"/>
        <v>25.960257548845473</v>
      </c>
      <c r="H24" s="19">
        <f t="shared" si="1"/>
        <v>0.45362538370358224</v>
      </c>
    </row>
    <row r="25" spans="1:8">
      <c r="A25" s="16">
        <v>17</v>
      </c>
      <c r="B25" s="128">
        <v>48.166666666666664</v>
      </c>
      <c r="C25" s="16">
        <v>1</v>
      </c>
      <c r="D25" s="82">
        <v>4.2619999999999996</v>
      </c>
      <c r="E25" s="82">
        <v>4.3099999999999996</v>
      </c>
      <c r="F25" s="82">
        <v>4.3129999999999997</v>
      </c>
      <c r="G25" s="19">
        <f>(C25*1000*AVERAGE(D25:F25)/$B$2)</f>
        <v>23.839920071047953</v>
      </c>
      <c r="H25" s="19">
        <f t="shared" ref="H25" si="2">(C25*1000*STDEV(D25:F25))/$B$2</f>
        <v>0.1588486680867475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5"/>
  <sheetViews>
    <sheetView workbookViewId="0">
      <selection activeCell="G7" sqref="G7:H25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65</v>
      </c>
      <c r="B2" s="17">
        <v>46.03</v>
      </c>
    </row>
    <row r="4" spans="1:8">
      <c r="A4" s="162" t="s">
        <v>65</v>
      </c>
      <c r="B4" s="163"/>
      <c r="C4" s="163"/>
      <c r="D4" s="163"/>
      <c r="E4" s="163"/>
      <c r="F4" s="163"/>
      <c r="G4" s="163"/>
      <c r="H4" s="164"/>
    </row>
    <row r="5" spans="1:8">
      <c r="A5" s="165" t="s">
        <v>62</v>
      </c>
      <c r="B5" s="163"/>
      <c r="C5" s="164"/>
      <c r="D5" s="166" t="s">
        <v>45</v>
      </c>
      <c r="E5" s="166" t="s">
        <v>46</v>
      </c>
      <c r="F5" s="166" t="s">
        <v>47</v>
      </c>
      <c r="G5" s="168" t="s">
        <v>63</v>
      </c>
      <c r="H5" s="168" t="s">
        <v>64</v>
      </c>
    </row>
    <row r="6" spans="1:8">
      <c r="A6" s="28" t="s">
        <v>4</v>
      </c>
      <c r="B6" s="28" t="s">
        <v>60</v>
      </c>
      <c r="C6" s="28" t="s">
        <v>19</v>
      </c>
      <c r="D6" s="167"/>
      <c r="E6" s="167"/>
      <c r="F6" s="167"/>
      <c r="G6" s="169"/>
      <c r="H6" s="169"/>
    </row>
    <row r="7" spans="1:8">
      <c r="A7" s="64">
        <v>0</v>
      </c>
      <c r="B7" s="127">
        <v>-0.16666666666666666</v>
      </c>
      <c r="C7" s="16">
        <v>1</v>
      </c>
      <c r="D7" s="83">
        <v>2.294</v>
      </c>
      <c r="E7" s="83">
        <v>2.2450000000000001</v>
      </c>
      <c r="F7" s="83">
        <v>2.2229999999999999</v>
      </c>
      <c r="G7" s="16">
        <f>(C7*1000*AVERAGE(D7:F7))/$B$2</f>
        <v>48.968064305887467</v>
      </c>
      <c r="H7" s="19">
        <f t="shared" ref="H7:H24" si="0">(C7*1000*STDEV(D7:F7))/$B$2</f>
        <v>0.78960598937155257</v>
      </c>
    </row>
    <row r="8" spans="1:8">
      <c r="A8" s="65">
        <v>0</v>
      </c>
      <c r="B8" s="128">
        <v>0.16666666666666666</v>
      </c>
      <c r="C8" s="16">
        <v>1</v>
      </c>
      <c r="D8" s="83">
        <v>2.2069999999999999</v>
      </c>
      <c r="E8" s="83">
        <v>2.2759999999999998</v>
      </c>
      <c r="F8" s="83">
        <v>2.2930000000000001</v>
      </c>
      <c r="G8" s="16">
        <f t="shared" ref="G8:G23" si="1">(C8*1000*AVERAGE(D8:F8))/$B$2</f>
        <v>49.069447461800273</v>
      </c>
      <c r="H8" s="19">
        <f t="shared" si="0"/>
        <v>0.98946012797162908</v>
      </c>
    </row>
    <row r="9" spans="1:8">
      <c r="A9" s="65">
        <v>1</v>
      </c>
      <c r="B9" s="128">
        <v>2</v>
      </c>
      <c r="C9" s="16">
        <v>1</v>
      </c>
      <c r="D9" s="83">
        <v>2.2120000000000002</v>
      </c>
      <c r="E9" s="83">
        <v>2.3450000000000002</v>
      </c>
      <c r="F9" s="83">
        <v>2.2309999999999999</v>
      </c>
      <c r="G9" s="16">
        <f t="shared" si="1"/>
        <v>49.15634730972554</v>
      </c>
      <c r="H9" s="19">
        <f t="shared" si="0"/>
        <v>1.5627381934999682</v>
      </c>
    </row>
    <row r="10" spans="1:8">
      <c r="A10" s="65">
        <v>2</v>
      </c>
      <c r="B10" s="128">
        <v>3.3333333333333335</v>
      </c>
      <c r="C10" s="16">
        <v>1</v>
      </c>
      <c r="D10" s="83">
        <v>2.2349999999999999</v>
      </c>
      <c r="E10" s="83">
        <v>2.2309999999999999</v>
      </c>
      <c r="F10" s="83">
        <v>2.2080000000000002</v>
      </c>
      <c r="G10" s="16">
        <f t="shared" si="1"/>
        <v>48.330798754435506</v>
      </c>
      <c r="H10" s="19">
        <f t="shared" si="0"/>
        <v>0.31656880287340322</v>
      </c>
    </row>
    <row r="11" spans="1:8">
      <c r="A11" s="65">
        <v>3</v>
      </c>
      <c r="B11" s="128">
        <v>4.666666666666667</v>
      </c>
      <c r="C11" s="16">
        <v>1</v>
      </c>
      <c r="D11" s="83">
        <v>2.3050000000000002</v>
      </c>
      <c r="E11" s="83">
        <v>2.2410000000000001</v>
      </c>
      <c r="F11" s="83">
        <v>2.1930000000000001</v>
      </c>
      <c r="G11" s="16">
        <f t="shared" si="1"/>
        <v>48.801506264030714</v>
      </c>
      <c r="H11" s="19">
        <f t="shared" si="0"/>
        <v>1.2207289452215511</v>
      </c>
    </row>
    <row r="12" spans="1:8">
      <c r="A12" s="65">
        <v>4</v>
      </c>
      <c r="B12" s="128">
        <v>6</v>
      </c>
      <c r="C12" s="16">
        <v>1</v>
      </c>
      <c r="D12" s="83">
        <v>2.1659999999999999</v>
      </c>
      <c r="E12" s="83">
        <v>2.2480000000000002</v>
      </c>
      <c r="F12" s="83">
        <v>2.1800000000000002</v>
      </c>
      <c r="G12" s="16">
        <f t="shared" si="1"/>
        <v>47.751466434933739</v>
      </c>
      <c r="H12" s="19">
        <f t="shared" si="0"/>
        <v>0.95293122743694847</v>
      </c>
    </row>
    <row r="13" spans="1:8">
      <c r="A13" s="65">
        <v>5</v>
      </c>
      <c r="B13" s="128">
        <v>7.333333333333333</v>
      </c>
      <c r="C13" s="16">
        <v>1</v>
      </c>
      <c r="D13" s="83">
        <v>2.14</v>
      </c>
      <c r="E13" s="83">
        <v>2.1669999999999998</v>
      </c>
      <c r="F13" s="83">
        <v>2.17</v>
      </c>
      <c r="G13" s="16">
        <f t="shared" si="1"/>
        <v>46.9041929176624</v>
      </c>
      <c r="H13" s="19">
        <f t="shared" si="0"/>
        <v>0.35895528224762469</v>
      </c>
    </row>
    <row r="14" spans="1:8">
      <c r="A14" s="65">
        <v>6</v>
      </c>
      <c r="B14" s="128">
        <v>8.6666666666666661</v>
      </c>
      <c r="C14" s="16">
        <v>1</v>
      </c>
      <c r="D14" s="83">
        <v>2.0590000000000002</v>
      </c>
      <c r="E14" s="83">
        <v>2.0699999999999998</v>
      </c>
      <c r="F14" s="83">
        <v>2.0950000000000002</v>
      </c>
      <c r="G14" s="16">
        <f t="shared" si="1"/>
        <v>45.072054457238039</v>
      </c>
      <c r="H14" s="19">
        <f t="shared" si="0"/>
        <v>0.40078482444845398</v>
      </c>
    </row>
    <row r="15" spans="1:8">
      <c r="A15" s="65">
        <v>7</v>
      </c>
      <c r="B15" s="128">
        <v>10</v>
      </c>
      <c r="C15" s="16">
        <v>1</v>
      </c>
      <c r="D15" s="83">
        <v>1.986</v>
      </c>
      <c r="E15" s="83">
        <v>2.0110000000000001</v>
      </c>
      <c r="F15" s="83">
        <v>1.9830000000000001</v>
      </c>
      <c r="G15" s="16">
        <f t="shared" si="1"/>
        <v>43.305090882757625</v>
      </c>
      <c r="H15" s="19">
        <f t="shared" si="0"/>
        <v>0.33398081128540041</v>
      </c>
    </row>
    <row r="16" spans="1:8">
      <c r="A16" s="65">
        <v>8</v>
      </c>
      <c r="B16" s="128">
        <v>11.333333333333334</v>
      </c>
      <c r="C16" s="16">
        <v>1</v>
      </c>
      <c r="D16" s="83">
        <v>1.869</v>
      </c>
      <c r="E16" s="83">
        <v>1.847</v>
      </c>
      <c r="F16" s="83">
        <v>1.8360000000000001</v>
      </c>
      <c r="G16" s="16">
        <f t="shared" si="1"/>
        <v>40.205662973423138</v>
      </c>
      <c r="H16" s="19">
        <f t="shared" si="0"/>
        <v>0.36503970341454217</v>
      </c>
    </row>
    <row r="17" spans="1:8">
      <c r="A17" s="65">
        <v>9</v>
      </c>
      <c r="B17" s="128">
        <v>12.666666666666666</v>
      </c>
      <c r="C17" s="16">
        <v>1</v>
      </c>
      <c r="D17" s="83">
        <v>1.625</v>
      </c>
      <c r="E17" s="83">
        <v>1.645</v>
      </c>
      <c r="F17" s="83">
        <v>1.621</v>
      </c>
      <c r="G17" s="16">
        <f t="shared" si="1"/>
        <v>35.418929683539723</v>
      </c>
      <c r="H17" s="19">
        <f t="shared" si="0"/>
        <v>0.27934392819155518</v>
      </c>
    </row>
    <row r="18" spans="1:8">
      <c r="A18" s="65">
        <v>10</v>
      </c>
      <c r="B18" s="128">
        <v>14</v>
      </c>
      <c r="C18" s="16">
        <v>1</v>
      </c>
      <c r="D18" s="83">
        <v>1.4139999999999999</v>
      </c>
      <c r="E18" s="83">
        <v>1.4139999999999999</v>
      </c>
      <c r="F18" s="83">
        <v>1.4039999999999999</v>
      </c>
      <c r="G18" s="16">
        <f t="shared" si="1"/>
        <v>30.646679701643851</v>
      </c>
      <c r="H18" s="19">
        <f t="shared" si="0"/>
        <v>0.125429126480475</v>
      </c>
    </row>
    <row r="19" spans="1:8">
      <c r="A19" s="65">
        <v>11</v>
      </c>
      <c r="B19" s="128">
        <v>15.333333333333334</v>
      </c>
      <c r="C19" s="16">
        <v>1</v>
      </c>
      <c r="D19" s="83">
        <v>1.278</v>
      </c>
      <c r="E19" s="83">
        <v>1.294</v>
      </c>
      <c r="F19" s="83">
        <v>1.2929999999999999</v>
      </c>
      <c r="G19" s="16">
        <f t="shared" si="1"/>
        <v>27.988992685929464</v>
      </c>
      <c r="H19" s="19">
        <f t="shared" si="0"/>
        <v>0.19471836714821808</v>
      </c>
    </row>
    <row r="20" spans="1:8">
      <c r="A20" s="65">
        <v>12</v>
      </c>
      <c r="B20" s="128">
        <v>16.666666666666668</v>
      </c>
      <c r="C20" s="16">
        <v>1</v>
      </c>
      <c r="D20" s="83">
        <v>1.208</v>
      </c>
      <c r="E20" s="83">
        <v>1.1830000000000001</v>
      </c>
      <c r="F20" s="83">
        <v>1.2070000000000001</v>
      </c>
      <c r="G20" s="16">
        <f t="shared" si="1"/>
        <v>26.055471069592294</v>
      </c>
      <c r="H20" s="19">
        <f t="shared" si="0"/>
        <v>0.30749328330164549</v>
      </c>
    </row>
    <row r="21" spans="1:8">
      <c r="A21" s="65">
        <v>13</v>
      </c>
      <c r="B21" s="128">
        <v>18</v>
      </c>
      <c r="C21" s="16">
        <v>1</v>
      </c>
      <c r="D21" s="83">
        <v>1.0880000000000001</v>
      </c>
      <c r="E21" s="85">
        <v>1.145</v>
      </c>
      <c r="F21" s="85">
        <v>1.1379999999999999</v>
      </c>
      <c r="G21" s="16">
        <f t="shared" si="1"/>
        <v>24.411615613006006</v>
      </c>
      <c r="H21" s="19">
        <f t="shared" si="0"/>
        <v>0.67534004965076322</v>
      </c>
    </row>
    <row r="22" spans="1:8">
      <c r="A22" s="65">
        <v>14</v>
      </c>
      <c r="B22" s="128">
        <v>19.333333333333332</v>
      </c>
      <c r="C22" s="16">
        <v>1</v>
      </c>
      <c r="D22" s="129">
        <v>1.0409999999999999</v>
      </c>
      <c r="E22" s="129">
        <v>1.022</v>
      </c>
      <c r="F22" s="129">
        <v>1.022</v>
      </c>
      <c r="G22" s="16">
        <f t="shared" si="1"/>
        <v>22.340502570787166</v>
      </c>
      <c r="H22" s="19">
        <f t="shared" si="0"/>
        <v>0.23831534031290105</v>
      </c>
    </row>
    <row r="23" spans="1:8">
      <c r="A23" s="65">
        <v>15</v>
      </c>
      <c r="B23" s="128">
        <v>24.166666666666668</v>
      </c>
      <c r="C23" s="16">
        <v>1</v>
      </c>
      <c r="D23" s="129">
        <v>0.81</v>
      </c>
      <c r="E23" s="129">
        <v>0.81</v>
      </c>
      <c r="F23" s="129">
        <v>0.81</v>
      </c>
      <c r="G23" s="16">
        <f t="shared" si="1"/>
        <v>17.597219204866391</v>
      </c>
      <c r="H23" s="19">
        <f t="shared" si="0"/>
        <v>0</v>
      </c>
    </row>
    <row r="24" spans="1:8">
      <c r="A24" s="65">
        <v>16</v>
      </c>
      <c r="B24" s="128">
        <v>30.166666666666668</v>
      </c>
      <c r="C24" s="16">
        <v>1</v>
      </c>
      <c r="D24" s="129">
        <v>0.52800000000000002</v>
      </c>
      <c r="E24" s="129">
        <v>0.53100000000000003</v>
      </c>
      <c r="F24" s="129">
        <v>0.54500000000000004</v>
      </c>
      <c r="G24" s="16">
        <f>(C24*1000*AVERAGE(D24:F24))/$B$2</f>
        <v>11.615613006010575</v>
      </c>
      <c r="H24" s="19">
        <f t="shared" si="0"/>
        <v>0.19712734577183302</v>
      </c>
    </row>
    <row r="25" spans="1:8">
      <c r="A25" s="65">
        <v>17</v>
      </c>
      <c r="B25" s="128">
        <v>48.166666666666664</v>
      </c>
      <c r="C25" s="16">
        <v>1</v>
      </c>
      <c r="D25" s="55">
        <v>6.8000000000000005E-2</v>
      </c>
      <c r="E25" s="55">
        <v>6.9000000000000006E-2</v>
      </c>
      <c r="F25" s="55">
        <v>7.0000000000000007E-2</v>
      </c>
      <c r="G25" s="16">
        <f>(C25*1000*AVERAGE(D25:F25))/$B$2</f>
        <v>1.4990223767108408</v>
      </c>
      <c r="H25" s="19">
        <f t="shared" ref="H25" si="2">(C25*1000*STDEV(D25:F25))/$B$2</f>
        <v>2.172496198131655E-2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3" workbookViewId="0">
      <selection activeCell="G7" sqref="G7:H25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43</v>
      </c>
      <c r="B2" s="17">
        <v>60.05</v>
      </c>
    </row>
    <row r="4" spans="1:8">
      <c r="A4" s="162" t="s">
        <v>43</v>
      </c>
      <c r="B4" s="163"/>
      <c r="C4" s="163"/>
      <c r="D4" s="163"/>
      <c r="E4" s="163"/>
      <c r="F4" s="163"/>
      <c r="G4" s="163"/>
      <c r="H4" s="164"/>
    </row>
    <row r="5" spans="1:8">
      <c r="A5" s="165" t="s">
        <v>62</v>
      </c>
      <c r="B5" s="163"/>
      <c r="C5" s="164"/>
      <c r="D5" s="166" t="s">
        <v>45</v>
      </c>
      <c r="E5" s="166" t="s">
        <v>46</v>
      </c>
      <c r="F5" s="166" t="s">
        <v>47</v>
      </c>
      <c r="G5" s="168" t="s">
        <v>63</v>
      </c>
      <c r="H5" s="168" t="s">
        <v>64</v>
      </c>
    </row>
    <row r="6" spans="1:8">
      <c r="A6" s="22" t="s">
        <v>4</v>
      </c>
      <c r="B6" s="22" t="s">
        <v>60</v>
      </c>
      <c r="C6" s="22" t="s">
        <v>19</v>
      </c>
      <c r="D6" s="167"/>
      <c r="E6" s="167"/>
      <c r="F6" s="167"/>
      <c r="G6" s="169"/>
      <c r="H6" s="169"/>
    </row>
    <row r="7" spans="1:8">
      <c r="A7" s="64">
        <v>0</v>
      </c>
      <c r="B7" s="127">
        <v>-0.16666666666666666</v>
      </c>
      <c r="C7" s="16">
        <v>1</v>
      </c>
      <c r="D7" s="84">
        <v>3.2000000000000001E-2</v>
      </c>
      <c r="E7" s="84">
        <v>3.2000000000000001E-2</v>
      </c>
      <c r="F7" s="84">
        <v>3.5000000000000003E-2</v>
      </c>
      <c r="G7" s="16">
        <f>(C7*1000*AVERAGE(D7:F7))/$B$2</f>
        <v>0.54954204829308917</v>
      </c>
      <c r="H7" s="19">
        <f>(C7*1000*STDEV(D7:F7))/$B$2</f>
        <v>2.8843477228457603E-2</v>
      </c>
    </row>
    <row r="8" spans="1:8">
      <c r="A8" s="65">
        <v>0</v>
      </c>
      <c r="B8" s="128">
        <v>0.16666666666666666</v>
      </c>
      <c r="C8" s="16">
        <v>1</v>
      </c>
      <c r="D8" s="84">
        <v>4.3999999999999997E-2</v>
      </c>
      <c r="E8" s="84">
        <v>4.8000000000000001E-2</v>
      </c>
      <c r="F8" s="84">
        <v>5.0999999999999997E-2</v>
      </c>
      <c r="G8" s="16">
        <f t="shared" ref="G8:G17" si="0">(C8*1000*AVERAGE(D8:F8))/$B$2</f>
        <v>0.79378295864557313</v>
      </c>
      <c r="H8" s="19">
        <f t="shared" ref="H8:H17" si="1">(C8*1000*STDEV(D8:F8))/$B$2</f>
        <v>5.8482674176257222E-2</v>
      </c>
    </row>
    <row r="9" spans="1:8">
      <c r="A9" s="65">
        <v>1</v>
      </c>
      <c r="B9" s="128">
        <v>2</v>
      </c>
      <c r="C9" s="16">
        <v>1</v>
      </c>
      <c r="D9" s="84">
        <v>4.2000000000000003E-2</v>
      </c>
      <c r="E9" s="84">
        <v>5.5E-2</v>
      </c>
      <c r="F9" s="84">
        <v>6.3E-2</v>
      </c>
      <c r="G9" s="16">
        <f t="shared" si="0"/>
        <v>0.88814876491812389</v>
      </c>
      <c r="H9" s="19">
        <f t="shared" si="1"/>
        <v>0.17649861887965182</v>
      </c>
    </row>
    <row r="10" spans="1:8">
      <c r="A10" s="65">
        <v>2</v>
      </c>
      <c r="B10" s="128">
        <v>3.3333333333333335</v>
      </c>
      <c r="C10" s="16">
        <v>1</v>
      </c>
      <c r="D10" s="84">
        <v>6.7000000000000004E-2</v>
      </c>
      <c r="E10" s="84">
        <v>6.4000000000000001E-2</v>
      </c>
      <c r="F10" s="84">
        <v>5.8999999999999997E-2</v>
      </c>
      <c r="G10" s="16">
        <f t="shared" si="0"/>
        <v>1.054676658340272</v>
      </c>
      <c r="H10" s="19">
        <f t="shared" si="1"/>
        <v>6.7301446866401063E-2</v>
      </c>
    </row>
    <row r="11" spans="1:8">
      <c r="A11" s="65">
        <v>3</v>
      </c>
      <c r="B11" s="128">
        <v>4.666666666666667</v>
      </c>
      <c r="C11" s="16">
        <v>1</v>
      </c>
      <c r="D11" s="84">
        <v>7.2999999999999995E-2</v>
      </c>
      <c r="E11" s="84">
        <v>8.3000000000000004E-2</v>
      </c>
      <c r="F11" s="84">
        <v>7.8E-2</v>
      </c>
      <c r="G11" s="16">
        <f t="shared" si="0"/>
        <v>1.2989175686927561</v>
      </c>
      <c r="H11" s="19">
        <f t="shared" si="1"/>
        <v>8.3263946711074177E-2</v>
      </c>
    </row>
    <row r="12" spans="1:8">
      <c r="A12" s="65">
        <v>4</v>
      </c>
      <c r="B12" s="128">
        <v>6</v>
      </c>
      <c r="C12" s="16">
        <v>1</v>
      </c>
      <c r="D12" s="84">
        <v>9.5000000000000001E-2</v>
      </c>
      <c r="E12" s="84">
        <v>9.4E-2</v>
      </c>
      <c r="F12" s="84">
        <v>8.4000000000000005E-2</v>
      </c>
      <c r="G12" s="16">
        <f t="shared" si="0"/>
        <v>1.5154038301415491</v>
      </c>
      <c r="H12" s="19">
        <f t="shared" si="1"/>
        <v>0.1012949630357738</v>
      </c>
    </row>
    <row r="13" spans="1:8">
      <c r="A13" s="65">
        <v>5</v>
      </c>
      <c r="B13" s="128">
        <v>7.333333333333333</v>
      </c>
      <c r="C13" s="16">
        <v>1</v>
      </c>
      <c r="D13" s="84">
        <v>0.121</v>
      </c>
      <c r="E13" s="84">
        <v>0.13300000000000001</v>
      </c>
      <c r="F13" s="84">
        <v>0.127</v>
      </c>
      <c r="G13" s="16">
        <f t="shared" si="0"/>
        <v>2.1149042464612822</v>
      </c>
      <c r="H13" s="19">
        <f t="shared" si="1"/>
        <v>9.9916736053289018E-2</v>
      </c>
    </row>
    <row r="14" spans="1:8">
      <c r="A14" s="65">
        <v>6</v>
      </c>
      <c r="B14" s="128">
        <v>8.6666666666666661</v>
      </c>
      <c r="C14" s="16">
        <v>1</v>
      </c>
      <c r="D14" s="84">
        <v>0.183</v>
      </c>
      <c r="E14" s="84">
        <v>0.191</v>
      </c>
      <c r="F14" s="84">
        <v>0.20300000000000001</v>
      </c>
      <c r="G14" s="16">
        <f t="shared" si="0"/>
        <v>3.2028864834859836</v>
      </c>
      <c r="H14" s="19">
        <f t="shared" si="1"/>
        <v>0.16763440322555107</v>
      </c>
    </row>
    <row r="15" spans="1:8">
      <c r="A15" s="65">
        <v>7</v>
      </c>
      <c r="B15" s="128">
        <v>10</v>
      </c>
      <c r="C15" s="16">
        <v>1</v>
      </c>
      <c r="D15" s="82">
        <v>0.33700000000000002</v>
      </c>
      <c r="E15" s="82">
        <v>0.33100000000000002</v>
      </c>
      <c r="F15" s="82">
        <v>0.32500000000000001</v>
      </c>
      <c r="G15" s="16">
        <f t="shared" si="0"/>
        <v>5.5120732722731063</v>
      </c>
      <c r="H15" s="19">
        <f t="shared" si="1"/>
        <v>9.9916736053289018E-2</v>
      </c>
    </row>
    <row r="16" spans="1:8">
      <c r="A16" s="65">
        <v>8</v>
      </c>
      <c r="B16" s="128">
        <v>11.333333333333334</v>
      </c>
      <c r="C16" s="16">
        <v>1</v>
      </c>
      <c r="D16" s="82">
        <v>0.57599999999999996</v>
      </c>
      <c r="E16" s="82">
        <v>0.57999999999999996</v>
      </c>
      <c r="F16" s="82">
        <v>0.59499999999999997</v>
      </c>
      <c r="G16" s="16">
        <f t="shared" si="0"/>
        <v>9.7196780460727172</v>
      </c>
      <c r="H16" s="19">
        <f t="shared" si="1"/>
        <v>0.16680520900712442</v>
      </c>
    </row>
    <row r="17" spans="1:8">
      <c r="A17" s="65">
        <v>9</v>
      </c>
      <c r="B17" s="128">
        <v>12.666666666666666</v>
      </c>
      <c r="C17" s="16">
        <v>1</v>
      </c>
      <c r="D17" s="82">
        <v>0.95499999999999996</v>
      </c>
      <c r="E17" s="82">
        <v>0.97299999999999998</v>
      </c>
      <c r="F17" s="82">
        <v>0.94799999999999995</v>
      </c>
      <c r="G17" s="16">
        <f t="shared" si="0"/>
        <v>15.964474049403275</v>
      </c>
      <c r="H17" s="19">
        <f t="shared" si="1"/>
        <v>0.21477149178077293</v>
      </c>
    </row>
    <row r="18" spans="1:8">
      <c r="A18" s="65">
        <v>10</v>
      </c>
      <c r="B18" s="128">
        <v>14</v>
      </c>
      <c r="C18" s="16">
        <v>1</v>
      </c>
      <c r="D18" s="82">
        <v>1.3440000000000001</v>
      </c>
      <c r="E18" s="82">
        <v>1.327</v>
      </c>
      <c r="F18" s="82">
        <v>1.3280000000000001</v>
      </c>
      <c r="G18" s="16">
        <f t="shared" ref="G18:G23" si="2">(C18*1000*AVERAGE(D18:F18))/$B$2</f>
        <v>22.198168193172361</v>
      </c>
      <c r="H18" s="19">
        <f t="shared" ref="H18:H23" si="3">(C18*1000*STDEV(D18:F18))/$B$2</f>
        <v>0.15885748566477101</v>
      </c>
    </row>
    <row r="19" spans="1:8">
      <c r="A19" s="65">
        <v>11</v>
      </c>
      <c r="B19" s="128">
        <v>15.333333333333334</v>
      </c>
      <c r="C19" s="16">
        <v>1</v>
      </c>
      <c r="D19" s="82">
        <v>1.589</v>
      </c>
      <c r="E19" s="82">
        <v>1.63</v>
      </c>
      <c r="F19" s="82">
        <v>1.6339999999999999</v>
      </c>
      <c r="G19" s="16">
        <f t="shared" si="2"/>
        <v>26.93866222592284</v>
      </c>
      <c r="H19" s="19">
        <f t="shared" si="3"/>
        <v>0.41476256104851761</v>
      </c>
    </row>
    <row r="20" spans="1:8">
      <c r="A20" s="65">
        <v>12</v>
      </c>
      <c r="B20" s="128">
        <v>16.666666666666668</v>
      </c>
      <c r="C20" s="16">
        <v>1</v>
      </c>
      <c r="D20" s="82">
        <v>1.7250000000000001</v>
      </c>
      <c r="E20" s="82">
        <v>1.728</v>
      </c>
      <c r="F20" s="82">
        <v>1.702</v>
      </c>
      <c r="G20" s="16">
        <f t="shared" si="2"/>
        <v>28.615043019705805</v>
      </c>
      <c r="H20" s="19">
        <f t="shared" si="3"/>
        <v>0.23687580675383765</v>
      </c>
    </row>
    <row r="21" spans="1:8">
      <c r="A21" s="65">
        <v>13</v>
      </c>
      <c r="B21" s="128">
        <v>18</v>
      </c>
      <c r="C21" s="16">
        <v>1</v>
      </c>
      <c r="D21" s="82">
        <v>1.7609999999999999</v>
      </c>
      <c r="E21" s="82">
        <v>1.7929999999999999</v>
      </c>
      <c r="F21" s="82">
        <v>1.798</v>
      </c>
      <c r="G21" s="16">
        <f t="shared" si="2"/>
        <v>29.708576186511241</v>
      </c>
      <c r="H21" s="19">
        <f t="shared" si="3"/>
        <v>0.3343024129872571</v>
      </c>
    </row>
    <row r="22" spans="1:8">
      <c r="A22" s="65">
        <v>14</v>
      </c>
      <c r="B22" s="128">
        <v>19.333333333333332</v>
      </c>
      <c r="C22" s="16">
        <v>1</v>
      </c>
      <c r="D22" s="82">
        <v>1.804</v>
      </c>
      <c r="E22" s="82">
        <v>1.8140000000000001</v>
      </c>
      <c r="F22" s="82">
        <v>1.8160000000000001</v>
      </c>
      <c r="G22" s="16">
        <f t="shared" si="2"/>
        <v>30.163752428531783</v>
      </c>
      <c r="H22" s="19">
        <f t="shared" si="3"/>
        <v>0.10706245640847033</v>
      </c>
    </row>
    <row r="23" spans="1:8">
      <c r="A23" s="65">
        <v>15</v>
      </c>
      <c r="B23" s="128">
        <v>24.166666666666668</v>
      </c>
      <c r="C23" s="16">
        <v>1</v>
      </c>
      <c r="D23" s="82">
        <v>1.903</v>
      </c>
      <c r="E23" s="82">
        <v>1.929</v>
      </c>
      <c r="F23" s="82">
        <v>1.9179999999999999</v>
      </c>
      <c r="G23" s="16">
        <f t="shared" si="2"/>
        <v>31.917846239245076</v>
      </c>
      <c r="H23" s="19">
        <f t="shared" si="3"/>
        <v>0.2173385728609703</v>
      </c>
    </row>
    <row r="24" spans="1:8">
      <c r="A24" s="65">
        <v>16</v>
      </c>
      <c r="B24" s="128">
        <v>30.166666666666668</v>
      </c>
      <c r="C24" s="16">
        <v>1</v>
      </c>
      <c r="D24" s="82">
        <v>1.9119999999999999</v>
      </c>
      <c r="E24" s="82">
        <v>1.944</v>
      </c>
      <c r="F24" s="82">
        <v>1.992</v>
      </c>
      <c r="G24" s="16">
        <f t="shared" ref="G24:G25" si="4">(C24*1000*AVERAGE(D24:F24))/$B$2</f>
        <v>32.461837357757425</v>
      </c>
      <c r="H24" s="19">
        <f t="shared" ref="H24:H25" si="5">(C24*1000*STDEV(D24:F24))/$B$2</f>
        <v>0.67053761290220426</v>
      </c>
    </row>
    <row r="25" spans="1:8">
      <c r="A25" s="65">
        <v>17</v>
      </c>
      <c r="B25" s="128">
        <v>48.166666666666664</v>
      </c>
      <c r="C25" s="16">
        <v>1</v>
      </c>
      <c r="D25" s="82">
        <v>1.962</v>
      </c>
      <c r="E25" s="82">
        <v>1.958</v>
      </c>
      <c r="F25" s="82">
        <v>2.0099999999999998</v>
      </c>
      <c r="G25" s="16">
        <f t="shared" si="4"/>
        <v>32.91701359977796</v>
      </c>
      <c r="H25" s="19">
        <f t="shared" si="5"/>
        <v>0.48187697838935617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5"/>
  <sheetViews>
    <sheetView workbookViewId="0">
      <selection activeCell="C7" sqref="C7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67</v>
      </c>
      <c r="B2" s="17">
        <v>74.08</v>
      </c>
    </row>
    <row r="4" spans="1:8">
      <c r="A4" s="162" t="s">
        <v>67</v>
      </c>
      <c r="B4" s="163"/>
      <c r="C4" s="163"/>
      <c r="D4" s="163"/>
      <c r="E4" s="163"/>
      <c r="F4" s="163"/>
      <c r="G4" s="163"/>
      <c r="H4" s="164"/>
    </row>
    <row r="5" spans="1:8">
      <c r="A5" s="165" t="s">
        <v>62</v>
      </c>
      <c r="B5" s="163"/>
      <c r="C5" s="164"/>
      <c r="D5" s="166" t="s">
        <v>45</v>
      </c>
      <c r="E5" s="166" t="s">
        <v>46</v>
      </c>
      <c r="F5" s="166" t="s">
        <v>47</v>
      </c>
      <c r="G5" s="168" t="s">
        <v>63</v>
      </c>
      <c r="H5" s="168" t="s">
        <v>64</v>
      </c>
    </row>
    <row r="6" spans="1:8">
      <c r="A6" s="28" t="s">
        <v>4</v>
      </c>
      <c r="B6" s="28" t="s">
        <v>60</v>
      </c>
      <c r="C6" s="28" t="s">
        <v>19</v>
      </c>
      <c r="D6" s="167"/>
      <c r="E6" s="167"/>
      <c r="F6" s="167"/>
      <c r="G6" s="169"/>
      <c r="H6" s="169"/>
    </row>
    <row r="7" spans="1:8">
      <c r="A7" s="64">
        <v>0</v>
      </c>
      <c r="B7" s="127">
        <v>-0.16666666666666666</v>
      </c>
      <c r="C7" s="16">
        <v>2</v>
      </c>
      <c r="D7" s="18">
        <v>0</v>
      </c>
      <c r="E7" s="18">
        <v>0</v>
      </c>
      <c r="F7" s="18">
        <v>0</v>
      </c>
      <c r="G7" s="16">
        <f>(C7*1000*AVERAGE(F7:F7))/$B$2</f>
        <v>0</v>
      </c>
      <c r="H7" s="19" t="e">
        <f>(C7*1000*STDEV(F7:F7))/$B$2</f>
        <v>#DIV/0!</v>
      </c>
    </row>
    <row r="8" spans="1:8">
      <c r="A8" s="65">
        <v>0</v>
      </c>
      <c r="B8" s="128">
        <v>0.16666666666666666</v>
      </c>
      <c r="C8" s="16">
        <v>2</v>
      </c>
      <c r="D8" s="18">
        <v>0</v>
      </c>
      <c r="E8" s="18">
        <v>0</v>
      </c>
      <c r="F8" s="18">
        <v>0</v>
      </c>
      <c r="G8" s="16">
        <f t="shared" ref="G8:G17" si="0">(C8*1000*AVERAGE(D8:F8))/$B$2</f>
        <v>0</v>
      </c>
      <c r="H8" s="19">
        <f t="shared" ref="H8:H17" si="1">(C8*1000*STDEV(D8:F8))/$B$2</f>
        <v>0</v>
      </c>
    </row>
    <row r="9" spans="1:8">
      <c r="A9" s="65">
        <v>1</v>
      </c>
      <c r="B9" s="128">
        <v>2</v>
      </c>
      <c r="C9" s="16">
        <v>2</v>
      </c>
      <c r="D9" s="18">
        <v>0</v>
      </c>
      <c r="E9" s="18">
        <v>0</v>
      </c>
      <c r="F9" s="18">
        <v>0</v>
      </c>
      <c r="G9" s="16">
        <f t="shared" si="0"/>
        <v>0</v>
      </c>
      <c r="H9" s="19">
        <f t="shared" si="1"/>
        <v>0</v>
      </c>
    </row>
    <row r="10" spans="1:8">
      <c r="A10" s="65">
        <v>2</v>
      </c>
      <c r="B10" s="128">
        <v>3.3333333333333335</v>
      </c>
      <c r="C10" s="16">
        <v>2</v>
      </c>
      <c r="D10" s="18">
        <v>0</v>
      </c>
      <c r="E10" s="18">
        <v>0</v>
      </c>
      <c r="F10" s="18">
        <v>0</v>
      </c>
      <c r="G10" s="16">
        <f t="shared" si="0"/>
        <v>0</v>
      </c>
      <c r="H10" s="19">
        <f t="shared" si="1"/>
        <v>0</v>
      </c>
    </row>
    <row r="11" spans="1:8">
      <c r="A11" s="65">
        <v>3</v>
      </c>
      <c r="B11" s="128">
        <v>4.666666666666667</v>
      </c>
      <c r="C11" s="16">
        <v>2</v>
      </c>
      <c r="D11" s="18">
        <v>0</v>
      </c>
      <c r="E11" s="18">
        <v>0</v>
      </c>
      <c r="F11" s="18">
        <v>0</v>
      </c>
      <c r="G11" s="16">
        <f t="shared" si="0"/>
        <v>0</v>
      </c>
      <c r="H11" s="19">
        <f t="shared" si="1"/>
        <v>0</v>
      </c>
    </row>
    <row r="12" spans="1:8">
      <c r="A12" s="65">
        <v>4</v>
      </c>
      <c r="B12" s="128">
        <v>6</v>
      </c>
      <c r="C12" s="16">
        <v>2</v>
      </c>
      <c r="D12" s="18">
        <v>0</v>
      </c>
      <c r="E12" s="18">
        <v>0</v>
      </c>
      <c r="F12" s="18">
        <v>0</v>
      </c>
      <c r="G12" s="16">
        <f t="shared" si="0"/>
        <v>0</v>
      </c>
      <c r="H12" s="19">
        <f t="shared" si="1"/>
        <v>0</v>
      </c>
    </row>
    <row r="13" spans="1:8">
      <c r="A13" s="65">
        <v>5</v>
      </c>
      <c r="B13" s="128">
        <v>7.333333333333333</v>
      </c>
      <c r="C13" s="16">
        <v>2</v>
      </c>
      <c r="D13" s="18">
        <v>0</v>
      </c>
      <c r="E13" s="18">
        <v>0</v>
      </c>
      <c r="F13" s="18">
        <v>0</v>
      </c>
      <c r="G13" s="16">
        <f t="shared" si="0"/>
        <v>0</v>
      </c>
      <c r="H13" s="19">
        <f t="shared" si="1"/>
        <v>0</v>
      </c>
    </row>
    <row r="14" spans="1:8">
      <c r="A14" s="65">
        <v>6</v>
      </c>
      <c r="B14" s="128">
        <v>8.6666666666666661</v>
      </c>
      <c r="C14" s="16">
        <v>2</v>
      </c>
      <c r="D14" s="18">
        <v>0</v>
      </c>
      <c r="E14" s="18">
        <v>0</v>
      </c>
      <c r="F14" s="18">
        <v>0</v>
      </c>
      <c r="G14" s="16">
        <f t="shared" si="0"/>
        <v>0</v>
      </c>
      <c r="H14" s="19">
        <f t="shared" si="1"/>
        <v>0</v>
      </c>
    </row>
    <row r="15" spans="1:8">
      <c r="A15" s="65">
        <v>7</v>
      </c>
      <c r="B15" s="128">
        <v>10</v>
      </c>
      <c r="C15" s="16">
        <v>2</v>
      </c>
      <c r="D15" s="18">
        <v>0</v>
      </c>
      <c r="E15" s="18">
        <v>0</v>
      </c>
      <c r="F15" s="18">
        <v>0</v>
      </c>
      <c r="G15" s="16">
        <f t="shared" si="0"/>
        <v>0</v>
      </c>
      <c r="H15" s="19">
        <f t="shared" si="1"/>
        <v>0</v>
      </c>
    </row>
    <row r="16" spans="1:8">
      <c r="A16" s="65">
        <v>8</v>
      </c>
      <c r="B16" s="128">
        <v>11.333333333333334</v>
      </c>
      <c r="C16" s="16">
        <v>2</v>
      </c>
      <c r="D16" s="18">
        <v>0</v>
      </c>
      <c r="E16" s="18">
        <v>0</v>
      </c>
      <c r="F16" s="18">
        <v>0</v>
      </c>
      <c r="G16" s="16">
        <f t="shared" si="0"/>
        <v>0</v>
      </c>
      <c r="H16" s="19">
        <f t="shared" si="1"/>
        <v>0</v>
      </c>
    </row>
    <row r="17" spans="1:8">
      <c r="A17" s="65">
        <v>9</v>
      </c>
      <c r="B17" s="128">
        <v>12.666666666666666</v>
      </c>
      <c r="C17" s="16">
        <v>2</v>
      </c>
      <c r="D17" s="18">
        <v>0</v>
      </c>
      <c r="E17" s="18">
        <v>0</v>
      </c>
      <c r="F17" s="18">
        <v>0</v>
      </c>
      <c r="G17" s="16">
        <f t="shared" si="0"/>
        <v>0</v>
      </c>
      <c r="H17" s="19">
        <f t="shared" si="1"/>
        <v>0</v>
      </c>
    </row>
    <row r="18" spans="1:8">
      <c r="A18" s="65">
        <v>10</v>
      </c>
      <c r="B18" s="128">
        <v>14</v>
      </c>
      <c r="C18" s="16">
        <v>2</v>
      </c>
      <c r="D18" s="18">
        <v>0</v>
      </c>
      <c r="E18" s="18">
        <v>0</v>
      </c>
      <c r="F18" s="18">
        <v>0</v>
      </c>
      <c r="G18" s="16">
        <f t="shared" ref="G18:G23" si="2">(C18*1000*AVERAGE(D18:F18))/$B$2</f>
        <v>0</v>
      </c>
      <c r="H18" s="19">
        <f t="shared" ref="H18:H23" si="3">(C18*1000*STDEV(D18:F18))/$B$2</f>
        <v>0</v>
      </c>
    </row>
    <row r="19" spans="1:8">
      <c r="A19" s="65">
        <v>11</v>
      </c>
      <c r="B19" s="128">
        <v>15.333333333333334</v>
      </c>
      <c r="C19" s="16">
        <v>2</v>
      </c>
      <c r="D19" s="18">
        <v>0</v>
      </c>
      <c r="E19" s="18">
        <v>0</v>
      </c>
      <c r="F19" s="18">
        <v>0</v>
      </c>
      <c r="G19" s="16">
        <f t="shared" si="2"/>
        <v>0</v>
      </c>
      <c r="H19" s="19">
        <f t="shared" si="3"/>
        <v>0</v>
      </c>
    </row>
    <row r="20" spans="1:8">
      <c r="A20" s="65">
        <v>12</v>
      </c>
      <c r="B20" s="128">
        <v>16.666666666666668</v>
      </c>
      <c r="C20" s="16">
        <v>2</v>
      </c>
      <c r="D20" s="18">
        <v>0</v>
      </c>
      <c r="E20" s="18">
        <v>0</v>
      </c>
      <c r="F20" s="18">
        <v>0</v>
      </c>
      <c r="G20" s="16">
        <f t="shared" si="2"/>
        <v>0</v>
      </c>
      <c r="H20" s="19">
        <f t="shared" si="3"/>
        <v>0</v>
      </c>
    </row>
    <row r="21" spans="1:8">
      <c r="A21" s="65">
        <v>13</v>
      </c>
      <c r="B21" s="128">
        <v>18</v>
      </c>
      <c r="C21" s="16">
        <v>2</v>
      </c>
      <c r="D21" s="18">
        <v>0</v>
      </c>
      <c r="E21" s="18">
        <v>0</v>
      </c>
      <c r="F21" s="18">
        <v>0</v>
      </c>
      <c r="G21" s="16">
        <f t="shared" si="2"/>
        <v>0</v>
      </c>
      <c r="H21" s="19">
        <f t="shared" si="3"/>
        <v>0</v>
      </c>
    </row>
    <row r="22" spans="1:8">
      <c r="A22" s="65">
        <v>14</v>
      </c>
      <c r="B22" s="128">
        <v>19.333333333333332</v>
      </c>
      <c r="C22" s="16">
        <v>2</v>
      </c>
      <c r="D22" s="18">
        <v>0</v>
      </c>
      <c r="E22" s="18">
        <v>0</v>
      </c>
      <c r="F22" s="18">
        <v>0</v>
      </c>
      <c r="G22" s="16">
        <f t="shared" si="2"/>
        <v>0</v>
      </c>
      <c r="H22" s="19">
        <f t="shared" si="3"/>
        <v>0</v>
      </c>
    </row>
    <row r="23" spans="1:8">
      <c r="A23" s="65">
        <v>15</v>
      </c>
      <c r="B23" s="128">
        <v>24.166666666666668</v>
      </c>
      <c r="C23" s="16">
        <v>2</v>
      </c>
      <c r="D23" s="18">
        <v>0</v>
      </c>
      <c r="E23" s="18">
        <v>0</v>
      </c>
      <c r="F23" s="18">
        <v>0</v>
      </c>
      <c r="G23" s="16">
        <f t="shared" si="2"/>
        <v>0</v>
      </c>
      <c r="H23" s="19">
        <f t="shared" si="3"/>
        <v>0</v>
      </c>
    </row>
    <row r="24" spans="1:8">
      <c r="A24" s="65">
        <v>16</v>
      </c>
      <c r="B24" s="128">
        <v>30.166666666666668</v>
      </c>
      <c r="C24" s="16">
        <v>3</v>
      </c>
      <c r="D24" s="18">
        <v>0</v>
      </c>
      <c r="E24" s="18">
        <v>0</v>
      </c>
      <c r="F24" s="18">
        <v>0</v>
      </c>
      <c r="G24" s="16">
        <f t="shared" ref="G24:G25" si="4">(C24*1000*AVERAGE(D24:F24))/$B$2</f>
        <v>0</v>
      </c>
      <c r="H24" s="19">
        <f t="shared" ref="H24:H25" si="5">(C24*1000*STDEV(D24:F24))/$B$2</f>
        <v>0</v>
      </c>
    </row>
    <row r="25" spans="1:8">
      <c r="A25" s="65">
        <v>17</v>
      </c>
      <c r="B25" s="128">
        <v>48.166666666666664</v>
      </c>
      <c r="C25" s="16">
        <v>3</v>
      </c>
      <c r="D25" s="18">
        <v>0</v>
      </c>
      <c r="E25" s="18">
        <v>0</v>
      </c>
      <c r="F25" s="18">
        <v>0</v>
      </c>
      <c r="G25" s="16">
        <f t="shared" si="4"/>
        <v>0</v>
      </c>
      <c r="H25" s="19">
        <f t="shared" si="5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5"/>
  <sheetViews>
    <sheetView topLeftCell="A3" workbookViewId="0">
      <selection activeCell="C7" sqref="C7:C25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66</v>
      </c>
      <c r="B2" s="17">
        <v>88.11</v>
      </c>
    </row>
    <row r="4" spans="1:8">
      <c r="A4" s="162" t="s">
        <v>66</v>
      </c>
      <c r="B4" s="163"/>
      <c r="C4" s="163"/>
      <c r="D4" s="163"/>
      <c r="E4" s="163"/>
      <c r="F4" s="163"/>
      <c r="G4" s="163"/>
      <c r="H4" s="164"/>
    </row>
    <row r="5" spans="1:8">
      <c r="A5" s="165" t="s">
        <v>62</v>
      </c>
      <c r="B5" s="163"/>
      <c r="C5" s="164"/>
      <c r="D5" s="166" t="s">
        <v>45</v>
      </c>
      <c r="E5" s="166" t="s">
        <v>46</v>
      </c>
      <c r="F5" s="166" t="s">
        <v>47</v>
      </c>
      <c r="G5" s="168" t="s">
        <v>63</v>
      </c>
      <c r="H5" s="168" t="s">
        <v>64</v>
      </c>
    </row>
    <row r="6" spans="1:8">
      <c r="A6" s="28" t="s">
        <v>4</v>
      </c>
      <c r="B6" s="28" t="s">
        <v>60</v>
      </c>
      <c r="C6" s="28" t="s">
        <v>19</v>
      </c>
      <c r="D6" s="167"/>
      <c r="E6" s="167"/>
      <c r="F6" s="167"/>
      <c r="G6" s="169"/>
      <c r="H6" s="169"/>
    </row>
    <row r="7" spans="1:8">
      <c r="A7" s="64">
        <v>0</v>
      </c>
      <c r="B7" s="127">
        <v>-0.16666666666666666</v>
      </c>
      <c r="C7" s="16">
        <v>1</v>
      </c>
      <c r="D7" s="75">
        <v>0</v>
      </c>
      <c r="E7" s="75">
        <v>0</v>
      </c>
      <c r="F7" s="75">
        <v>0</v>
      </c>
      <c r="G7" s="16">
        <f>(C7*1000*AVERAGE(D7:F7))/$B$2</f>
        <v>0</v>
      </c>
      <c r="H7" s="19">
        <f>(C7*1000*STDEV(D7:F7))/$B$2</f>
        <v>0</v>
      </c>
    </row>
    <row r="8" spans="1:8">
      <c r="A8" s="65">
        <v>0</v>
      </c>
      <c r="B8" s="128">
        <v>0.16666666666666666</v>
      </c>
      <c r="C8" s="16">
        <v>1</v>
      </c>
      <c r="D8" s="75">
        <v>0</v>
      </c>
      <c r="E8" s="75">
        <v>0</v>
      </c>
      <c r="F8" s="75">
        <v>0</v>
      </c>
      <c r="G8" s="16">
        <f>(C8*1000*AVERAGE(D8:F8))/$B$2</f>
        <v>0</v>
      </c>
      <c r="H8" s="19">
        <f t="shared" ref="H8:H17" si="0">(C8*1000*STDEV(D8:F8))/$B$2</f>
        <v>0</v>
      </c>
    </row>
    <row r="9" spans="1:8">
      <c r="A9" s="65">
        <v>1</v>
      </c>
      <c r="B9" s="128">
        <v>2</v>
      </c>
      <c r="C9" s="16">
        <v>1</v>
      </c>
      <c r="D9" s="75">
        <v>0</v>
      </c>
      <c r="E9" s="75">
        <v>0</v>
      </c>
      <c r="F9" s="75">
        <v>0</v>
      </c>
      <c r="G9" s="16">
        <f t="shared" ref="G9:G17" si="1">(C9*1000*AVERAGE(D9:F9))/$B$2</f>
        <v>0</v>
      </c>
      <c r="H9" s="19">
        <f t="shared" si="0"/>
        <v>0</v>
      </c>
    </row>
    <row r="10" spans="1:8">
      <c r="A10" s="65">
        <v>2</v>
      </c>
      <c r="B10" s="128">
        <v>3.3333333333333335</v>
      </c>
      <c r="C10" s="16">
        <v>1</v>
      </c>
      <c r="D10" s="75">
        <v>0</v>
      </c>
      <c r="E10" s="75">
        <v>0</v>
      </c>
      <c r="F10" s="75">
        <v>0</v>
      </c>
      <c r="G10" s="16">
        <f t="shared" si="1"/>
        <v>0</v>
      </c>
      <c r="H10" s="19">
        <f t="shared" si="0"/>
        <v>0</v>
      </c>
    </row>
    <row r="11" spans="1:8">
      <c r="A11" s="65">
        <v>3</v>
      </c>
      <c r="B11" s="128">
        <v>4.666666666666667</v>
      </c>
      <c r="C11" s="16">
        <v>1</v>
      </c>
      <c r="D11" s="75">
        <v>0</v>
      </c>
      <c r="E11" s="75">
        <v>0</v>
      </c>
      <c r="F11" s="75">
        <v>0</v>
      </c>
      <c r="G11" s="16">
        <f t="shared" si="1"/>
        <v>0</v>
      </c>
      <c r="H11" s="19">
        <f t="shared" si="0"/>
        <v>0</v>
      </c>
    </row>
    <row r="12" spans="1:8">
      <c r="A12" s="65">
        <v>4</v>
      </c>
      <c r="B12" s="128">
        <v>6</v>
      </c>
      <c r="C12" s="16">
        <v>1</v>
      </c>
      <c r="D12" s="75">
        <v>0</v>
      </c>
      <c r="E12" s="75">
        <v>0</v>
      </c>
      <c r="F12" s="75">
        <v>0</v>
      </c>
      <c r="G12" s="16">
        <f t="shared" si="1"/>
        <v>0</v>
      </c>
      <c r="H12" s="19">
        <f t="shared" si="0"/>
        <v>0</v>
      </c>
    </row>
    <row r="13" spans="1:8">
      <c r="A13" s="65">
        <v>5</v>
      </c>
      <c r="B13" s="128">
        <v>7.333333333333333</v>
      </c>
      <c r="C13" s="16">
        <v>1</v>
      </c>
      <c r="D13" s="75">
        <v>0</v>
      </c>
      <c r="E13" s="75">
        <v>0</v>
      </c>
      <c r="F13" s="75">
        <v>0</v>
      </c>
      <c r="G13" s="16">
        <f t="shared" si="1"/>
        <v>0</v>
      </c>
      <c r="H13" s="19">
        <f t="shared" si="0"/>
        <v>0</v>
      </c>
    </row>
    <row r="14" spans="1:8">
      <c r="A14" s="65">
        <v>6</v>
      </c>
      <c r="B14" s="128">
        <v>8.6666666666666661</v>
      </c>
      <c r="C14" s="16">
        <v>1</v>
      </c>
      <c r="D14" s="75">
        <v>0</v>
      </c>
      <c r="E14" s="75">
        <v>0</v>
      </c>
      <c r="F14" s="75">
        <v>0</v>
      </c>
      <c r="G14" s="16">
        <f t="shared" si="1"/>
        <v>0</v>
      </c>
      <c r="H14" s="19">
        <f t="shared" si="0"/>
        <v>0</v>
      </c>
    </row>
    <row r="15" spans="1:8">
      <c r="A15" s="65">
        <v>7</v>
      </c>
      <c r="B15" s="128">
        <v>10</v>
      </c>
      <c r="C15" s="16">
        <v>1</v>
      </c>
      <c r="D15" s="75">
        <v>0</v>
      </c>
      <c r="E15" s="75">
        <v>0</v>
      </c>
      <c r="F15" s="75">
        <v>0</v>
      </c>
      <c r="G15" s="16">
        <f t="shared" si="1"/>
        <v>0</v>
      </c>
      <c r="H15" s="19">
        <f t="shared" si="0"/>
        <v>0</v>
      </c>
    </row>
    <row r="16" spans="1:8">
      <c r="A16" s="65">
        <v>8</v>
      </c>
      <c r="B16" s="128">
        <v>11.333333333333334</v>
      </c>
      <c r="C16" s="16">
        <v>1</v>
      </c>
      <c r="D16" s="75">
        <v>0</v>
      </c>
      <c r="E16" s="75">
        <v>0</v>
      </c>
      <c r="F16" s="75">
        <v>0</v>
      </c>
      <c r="G16" s="16">
        <f t="shared" si="1"/>
        <v>0</v>
      </c>
      <c r="H16" s="19">
        <f t="shared" si="0"/>
        <v>0</v>
      </c>
    </row>
    <row r="17" spans="1:8">
      <c r="A17" s="65">
        <v>9</v>
      </c>
      <c r="B17" s="128">
        <v>12.666666666666666</v>
      </c>
      <c r="C17" s="16">
        <v>1</v>
      </c>
      <c r="D17" s="75">
        <v>0</v>
      </c>
      <c r="E17" s="75">
        <v>0</v>
      </c>
      <c r="F17" s="75">
        <v>0</v>
      </c>
      <c r="G17" s="16">
        <f t="shared" si="1"/>
        <v>0</v>
      </c>
      <c r="H17" s="19">
        <f t="shared" si="0"/>
        <v>0</v>
      </c>
    </row>
    <row r="18" spans="1:8">
      <c r="A18" s="65">
        <v>10</v>
      </c>
      <c r="B18" s="128">
        <v>14</v>
      </c>
      <c r="C18" s="16">
        <v>1</v>
      </c>
      <c r="D18" s="75">
        <v>0</v>
      </c>
      <c r="E18" s="75">
        <v>0</v>
      </c>
      <c r="F18" s="75">
        <v>0</v>
      </c>
      <c r="G18" s="16">
        <f t="shared" ref="G18:G23" si="2">(C18*1000*AVERAGE(D18:F18))/$B$2</f>
        <v>0</v>
      </c>
      <c r="H18" s="19">
        <f t="shared" ref="H18:H23" si="3">(C18*1000*STDEV(D18:F18))/$B$2</f>
        <v>0</v>
      </c>
    </row>
    <row r="19" spans="1:8">
      <c r="A19" s="65">
        <v>11</v>
      </c>
      <c r="B19" s="128">
        <v>15.333333333333334</v>
      </c>
      <c r="C19" s="16">
        <v>1</v>
      </c>
      <c r="D19" s="75">
        <v>0</v>
      </c>
      <c r="E19" s="75">
        <v>0</v>
      </c>
      <c r="F19" s="75">
        <v>0</v>
      </c>
      <c r="G19" s="16">
        <f t="shared" si="2"/>
        <v>0</v>
      </c>
      <c r="H19" s="19">
        <f t="shared" si="3"/>
        <v>0</v>
      </c>
    </row>
    <row r="20" spans="1:8">
      <c r="A20" s="65">
        <v>12</v>
      </c>
      <c r="B20" s="128">
        <v>16.666666666666668</v>
      </c>
      <c r="C20" s="16">
        <v>1</v>
      </c>
      <c r="D20" s="75">
        <v>0</v>
      </c>
      <c r="E20" s="75">
        <v>0</v>
      </c>
      <c r="F20" s="75">
        <v>0</v>
      </c>
      <c r="G20" s="16">
        <f t="shared" si="2"/>
        <v>0</v>
      </c>
      <c r="H20" s="19">
        <f t="shared" si="3"/>
        <v>0</v>
      </c>
    </row>
    <row r="21" spans="1:8">
      <c r="A21" s="65">
        <v>13</v>
      </c>
      <c r="B21" s="128">
        <v>18</v>
      </c>
      <c r="C21" s="16">
        <v>1</v>
      </c>
      <c r="D21" s="75">
        <v>0</v>
      </c>
      <c r="E21" s="75">
        <v>0</v>
      </c>
      <c r="F21" s="75">
        <v>0</v>
      </c>
      <c r="G21" s="16">
        <f t="shared" si="2"/>
        <v>0</v>
      </c>
      <c r="H21" s="19">
        <f t="shared" si="3"/>
        <v>0</v>
      </c>
    </row>
    <row r="22" spans="1:8">
      <c r="A22" s="65">
        <v>14</v>
      </c>
      <c r="B22" s="128">
        <v>19.333333333333332</v>
      </c>
      <c r="C22" s="16">
        <v>1</v>
      </c>
      <c r="D22" s="75">
        <v>0</v>
      </c>
      <c r="E22" s="75">
        <v>0</v>
      </c>
      <c r="F22" s="75">
        <v>0</v>
      </c>
      <c r="G22" s="16">
        <f t="shared" si="2"/>
        <v>0</v>
      </c>
      <c r="H22" s="19">
        <f t="shared" si="3"/>
        <v>0</v>
      </c>
    </row>
    <row r="23" spans="1:8">
      <c r="A23" s="65">
        <v>15</v>
      </c>
      <c r="B23" s="128">
        <v>24.166666666666668</v>
      </c>
      <c r="C23" s="16">
        <v>1</v>
      </c>
      <c r="D23" s="75">
        <v>0</v>
      </c>
      <c r="E23" s="75">
        <v>0</v>
      </c>
      <c r="F23" s="75">
        <v>0</v>
      </c>
      <c r="G23" s="16">
        <f t="shared" si="2"/>
        <v>0</v>
      </c>
      <c r="H23" s="19">
        <f t="shared" si="3"/>
        <v>0</v>
      </c>
    </row>
    <row r="24" spans="1:8">
      <c r="A24" s="65">
        <v>16</v>
      </c>
      <c r="B24" s="128">
        <v>30.166666666666668</v>
      </c>
      <c r="C24" s="16">
        <v>1</v>
      </c>
      <c r="D24" s="75">
        <v>0</v>
      </c>
      <c r="E24" s="75">
        <v>0</v>
      </c>
      <c r="F24" s="75">
        <v>0</v>
      </c>
      <c r="G24" s="16">
        <f t="shared" ref="G24:G25" si="4">(C24*1000*AVERAGE(D24:F24))/$B$2</f>
        <v>0</v>
      </c>
      <c r="H24" s="19">
        <f t="shared" ref="H24:H25" si="5">(C24*1000*STDEV(D24:F24))/$B$2</f>
        <v>0</v>
      </c>
    </row>
    <row r="25" spans="1:8">
      <c r="A25" s="65">
        <v>17</v>
      </c>
      <c r="B25" s="128">
        <v>48.166666666666664</v>
      </c>
      <c r="C25" s="16">
        <v>1</v>
      </c>
      <c r="D25" s="75">
        <v>0</v>
      </c>
      <c r="E25" s="75">
        <v>0</v>
      </c>
      <c r="F25" s="75">
        <v>0</v>
      </c>
      <c r="G25" s="16">
        <f t="shared" si="4"/>
        <v>0</v>
      </c>
      <c r="H25" s="19">
        <f t="shared" si="5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G7" sqref="G7:H25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42</v>
      </c>
      <c r="B2" s="17">
        <v>90.08</v>
      </c>
    </row>
    <row r="4" spans="1:8">
      <c r="A4" s="162" t="s">
        <v>42</v>
      </c>
      <c r="B4" s="163"/>
      <c r="C4" s="163"/>
      <c r="D4" s="163"/>
      <c r="E4" s="163"/>
      <c r="F4" s="163"/>
      <c r="G4" s="163"/>
      <c r="H4" s="164"/>
    </row>
    <row r="5" spans="1:8">
      <c r="A5" s="165" t="s">
        <v>62</v>
      </c>
      <c r="B5" s="163"/>
      <c r="C5" s="164"/>
      <c r="D5" s="166" t="s">
        <v>45</v>
      </c>
      <c r="E5" s="166" t="s">
        <v>46</v>
      </c>
      <c r="F5" s="166" t="s">
        <v>47</v>
      </c>
      <c r="G5" s="168" t="s">
        <v>63</v>
      </c>
      <c r="H5" s="168" t="s">
        <v>64</v>
      </c>
    </row>
    <row r="6" spans="1:8">
      <c r="A6" s="22" t="s">
        <v>4</v>
      </c>
      <c r="B6" s="22" t="s">
        <v>60</v>
      </c>
      <c r="C6" s="22" t="s">
        <v>19</v>
      </c>
      <c r="D6" s="167"/>
      <c r="E6" s="167"/>
      <c r="F6" s="167"/>
      <c r="G6" s="169"/>
      <c r="H6" s="169"/>
    </row>
    <row r="7" spans="1:8">
      <c r="A7" s="64">
        <v>0</v>
      </c>
      <c r="B7" s="127">
        <v>-0.16666666666666666</v>
      </c>
      <c r="C7" s="16">
        <v>1</v>
      </c>
      <c r="D7" s="42">
        <v>0.17100000000000001</v>
      </c>
      <c r="E7" s="42">
        <v>0.16700000000000001</v>
      </c>
      <c r="F7" s="42">
        <v>0.159</v>
      </c>
      <c r="G7" s="16">
        <f>(C7*1000*AVERAGE(D7:F7))/$B$2</f>
        <v>1.8391059798697453</v>
      </c>
      <c r="H7" s="19">
        <f>(C7*1000*STDEV(D7:F7))/$B$2</f>
        <v>6.7829717213674423E-2</v>
      </c>
    </row>
    <row r="8" spans="1:8">
      <c r="A8" s="65">
        <v>0</v>
      </c>
      <c r="B8" s="128">
        <v>0.16666666666666666</v>
      </c>
      <c r="C8" s="16">
        <v>1</v>
      </c>
      <c r="D8" s="42">
        <v>0.16400000000000001</v>
      </c>
      <c r="E8" s="42">
        <v>0.16500000000000001</v>
      </c>
      <c r="F8" s="42">
        <v>0.161</v>
      </c>
      <c r="G8" s="16">
        <f t="shared" ref="G8:G23" si="0">(C8*1000*AVERAGE(D8:F8))/$B$2</f>
        <v>1.8132030787448195</v>
      </c>
      <c r="H8" s="19">
        <f t="shared" ref="H8:H23" si="1">(C8*1000*STDEV(D8:F8))/$B$2</f>
        <v>2.3109080811124939E-2</v>
      </c>
    </row>
    <row r="9" spans="1:8">
      <c r="A9" s="65">
        <v>1</v>
      </c>
      <c r="B9" s="128">
        <v>2</v>
      </c>
      <c r="C9" s="16">
        <v>1</v>
      </c>
      <c r="D9" s="42">
        <v>0.16900000000000001</v>
      </c>
      <c r="E9" s="42">
        <v>0.158</v>
      </c>
      <c r="F9" s="42">
        <v>0.157</v>
      </c>
      <c r="G9" s="16">
        <f t="shared" si="0"/>
        <v>1.7910005920663112</v>
      </c>
      <c r="H9" s="19">
        <f t="shared" si="1"/>
        <v>7.3915720675837016E-2</v>
      </c>
    </row>
    <row r="10" spans="1:8">
      <c r="A10" s="65">
        <v>2</v>
      </c>
      <c r="B10" s="128">
        <v>3.3333333333333335</v>
      </c>
      <c r="C10" s="16">
        <v>1</v>
      </c>
      <c r="D10" s="55">
        <v>0.161</v>
      </c>
      <c r="E10" s="55">
        <v>0.16</v>
      </c>
      <c r="F10" s="55">
        <v>0.16300000000000001</v>
      </c>
      <c r="G10" s="16">
        <f t="shared" si="0"/>
        <v>1.7910005920663112</v>
      </c>
      <c r="H10" s="19">
        <f t="shared" si="1"/>
        <v>1.6957429303418606E-2</v>
      </c>
    </row>
    <row r="11" spans="1:8">
      <c r="A11" s="65">
        <v>3</v>
      </c>
      <c r="B11" s="128">
        <v>4.666666666666667</v>
      </c>
      <c r="C11" s="16">
        <v>1</v>
      </c>
      <c r="D11" s="55">
        <v>0.156</v>
      </c>
      <c r="E11" s="55">
        <v>0.16900000000000001</v>
      </c>
      <c r="F11" s="55">
        <v>0.16700000000000001</v>
      </c>
      <c r="G11" s="16">
        <f t="shared" si="0"/>
        <v>1.8206039076376554</v>
      </c>
      <c r="H11" s="19">
        <f t="shared" si="1"/>
        <v>7.7708703374778046E-2</v>
      </c>
    </row>
    <row r="12" spans="1:8">
      <c r="A12" s="65">
        <v>4</v>
      </c>
      <c r="B12" s="128">
        <v>6</v>
      </c>
      <c r="C12" s="16">
        <v>1</v>
      </c>
      <c r="D12" s="55">
        <v>0.16400000000000001</v>
      </c>
      <c r="E12" s="55">
        <v>0.159</v>
      </c>
      <c r="F12" s="55">
        <v>0.16200000000000001</v>
      </c>
      <c r="G12" s="16">
        <f t="shared" si="0"/>
        <v>1.7947010065127293</v>
      </c>
      <c r="H12" s="19">
        <f t="shared" si="1"/>
        <v>2.7937516412339984E-2</v>
      </c>
    </row>
    <row r="13" spans="1:8">
      <c r="A13" s="65">
        <v>5</v>
      </c>
      <c r="B13" s="128">
        <v>7.333333333333333</v>
      </c>
      <c r="C13" s="16">
        <v>1</v>
      </c>
      <c r="D13" s="55">
        <v>0.16300000000000001</v>
      </c>
      <c r="E13" s="55">
        <v>0.16600000000000001</v>
      </c>
      <c r="F13" s="55">
        <v>0.16</v>
      </c>
      <c r="G13" s="16">
        <f t="shared" si="0"/>
        <v>1.8095026642984016</v>
      </c>
      <c r="H13" s="19">
        <f t="shared" si="1"/>
        <v>3.3303730017762018E-2</v>
      </c>
    </row>
    <row r="14" spans="1:8">
      <c r="A14" s="65">
        <v>6</v>
      </c>
      <c r="B14" s="128">
        <v>8.6666666666666661</v>
      </c>
      <c r="C14" s="16">
        <v>1</v>
      </c>
      <c r="D14" s="55">
        <v>0.16300000000000001</v>
      </c>
      <c r="E14" s="55">
        <v>0.16</v>
      </c>
      <c r="F14" s="55">
        <v>0.16800000000000001</v>
      </c>
      <c r="G14" s="16">
        <f t="shared" si="0"/>
        <v>1.8169034931912373</v>
      </c>
      <c r="H14" s="19">
        <f t="shared" si="1"/>
        <v>4.4865140811804878E-2</v>
      </c>
    </row>
    <row r="15" spans="1:8">
      <c r="A15" s="65">
        <v>7</v>
      </c>
      <c r="B15" s="128">
        <v>10</v>
      </c>
      <c r="C15" s="16">
        <v>1</v>
      </c>
      <c r="D15" s="55">
        <v>0.16700000000000001</v>
      </c>
      <c r="E15" s="55">
        <v>0.16200000000000001</v>
      </c>
      <c r="F15" s="55">
        <v>0.16500000000000001</v>
      </c>
      <c r="G15" s="16">
        <f t="shared" si="0"/>
        <v>1.8280047365304914</v>
      </c>
      <c r="H15" s="19">
        <f t="shared" si="1"/>
        <v>2.7937516412339984E-2</v>
      </c>
    </row>
    <row r="16" spans="1:8">
      <c r="A16" s="65">
        <v>8</v>
      </c>
      <c r="B16" s="128">
        <v>11.333333333333334</v>
      </c>
      <c r="C16" s="16">
        <v>1</v>
      </c>
      <c r="D16" s="55">
        <v>0.17899999999999999</v>
      </c>
      <c r="E16" s="55">
        <v>0.17599999999999999</v>
      </c>
      <c r="F16" s="55">
        <v>0.17499999999999999</v>
      </c>
      <c r="G16" s="16">
        <f t="shared" si="0"/>
        <v>1.9612196566015394</v>
      </c>
      <c r="H16" s="19">
        <f t="shared" si="1"/>
        <v>2.3109080811124942E-2</v>
      </c>
    </row>
    <row r="17" spans="1:8">
      <c r="A17" s="65">
        <v>9</v>
      </c>
      <c r="B17" s="128">
        <v>12.666666666666666</v>
      </c>
      <c r="C17" s="16">
        <v>1</v>
      </c>
      <c r="D17" s="55">
        <v>0.186</v>
      </c>
      <c r="E17" s="55">
        <v>0.185</v>
      </c>
      <c r="F17" s="55">
        <v>0.183</v>
      </c>
      <c r="G17" s="16">
        <f t="shared" si="0"/>
        <v>2.0500296033155716</v>
      </c>
      <c r="H17" s="19">
        <f t="shared" si="1"/>
        <v>1.6957429303418606E-2</v>
      </c>
    </row>
    <row r="18" spans="1:8">
      <c r="A18" s="65">
        <v>10</v>
      </c>
      <c r="B18" s="128">
        <v>14</v>
      </c>
      <c r="C18" s="16">
        <v>1</v>
      </c>
      <c r="D18" s="42">
        <v>0.22</v>
      </c>
      <c r="E18" s="42">
        <v>0.217</v>
      </c>
      <c r="F18" s="42">
        <v>0.21099999999999999</v>
      </c>
      <c r="G18" s="16">
        <f t="shared" si="0"/>
        <v>2.3978685612788633</v>
      </c>
      <c r="H18" s="19">
        <f t="shared" si="1"/>
        <v>5.0872287910255824E-2</v>
      </c>
    </row>
    <row r="19" spans="1:8">
      <c r="A19" s="65">
        <v>11</v>
      </c>
      <c r="B19" s="128">
        <v>15.333333333333334</v>
      </c>
      <c r="C19" s="16">
        <v>1</v>
      </c>
      <c r="D19" s="55">
        <v>0.27200000000000002</v>
      </c>
      <c r="E19" s="55">
        <v>0.27100000000000002</v>
      </c>
      <c r="F19" s="55">
        <v>0.27100000000000002</v>
      </c>
      <c r="G19" s="16">
        <f t="shared" si="0"/>
        <v>3.0121373593842513</v>
      </c>
      <c r="H19" s="19">
        <f t="shared" si="1"/>
        <v>6.4093058302578405E-3</v>
      </c>
    </row>
    <row r="20" spans="1:8">
      <c r="A20" s="65">
        <v>12</v>
      </c>
      <c r="B20" s="128">
        <v>16.666666666666668</v>
      </c>
      <c r="C20" s="16">
        <v>1</v>
      </c>
      <c r="D20" s="55">
        <v>0.34200000000000003</v>
      </c>
      <c r="E20" s="55">
        <v>0.34899999999999998</v>
      </c>
      <c r="F20" s="55">
        <v>0.34799999999999998</v>
      </c>
      <c r="G20" s="16">
        <f t="shared" si="0"/>
        <v>3.8447306098283014</v>
      </c>
      <c r="H20" s="19">
        <f t="shared" si="1"/>
        <v>4.2028628965365834E-2</v>
      </c>
    </row>
    <row r="21" spans="1:8">
      <c r="A21" s="65">
        <v>13</v>
      </c>
      <c r="B21" s="128">
        <v>18</v>
      </c>
      <c r="C21" s="16">
        <v>1</v>
      </c>
      <c r="D21" s="55">
        <v>0.45600000000000002</v>
      </c>
      <c r="E21" s="55">
        <v>0.46400000000000002</v>
      </c>
      <c r="F21" s="55">
        <v>0.46100000000000002</v>
      </c>
      <c r="G21" s="16">
        <f t="shared" si="0"/>
        <v>5.1102723505032559</v>
      </c>
      <c r="H21" s="19">
        <f t="shared" si="1"/>
        <v>4.4865140811804878E-2</v>
      </c>
    </row>
    <row r="22" spans="1:8">
      <c r="A22" s="65">
        <v>14</v>
      </c>
      <c r="B22" s="128">
        <v>19.333333333333332</v>
      </c>
      <c r="C22" s="16">
        <v>1</v>
      </c>
      <c r="D22" s="55">
        <v>0.55700000000000005</v>
      </c>
      <c r="E22" s="55">
        <v>0.56000000000000005</v>
      </c>
      <c r="F22" s="55">
        <v>0.56100000000000005</v>
      </c>
      <c r="G22" s="16">
        <f t="shared" si="0"/>
        <v>6.2092954410894023</v>
      </c>
      <c r="H22" s="19">
        <f t="shared" si="1"/>
        <v>2.3109080811124939E-2</v>
      </c>
    </row>
    <row r="23" spans="1:8">
      <c r="A23" s="65">
        <v>15</v>
      </c>
      <c r="B23" s="128">
        <v>24.166666666666668</v>
      </c>
      <c r="C23" s="16">
        <v>1</v>
      </c>
      <c r="D23" s="83">
        <v>0.74</v>
      </c>
      <c r="E23" s="83">
        <v>0.749</v>
      </c>
      <c r="F23" s="83">
        <v>0.751</v>
      </c>
      <c r="G23" s="16">
        <f t="shared" si="0"/>
        <v>8.2889283599763175</v>
      </c>
      <c r="H23" s="19">
        <f t="shared" si="1"/>
        <v>6.5047349878800176E-2</v>
      </c>
    </row>
    <row r="24" spans="1:8">
      <c r="A24" s="65">
        <v>16</v>
      </c>
      <c r="B24" s="128">
        <v>30.166666666666668</v>
      </c>
      <c r="C24" s="16">
        <v>1</v>
      </c>
      <c r="D24" s="83">
        <v>0.82199999999999995</v>
      </c>
      <c r="E24" s="83">
        <v>0.83299999999999996</v>
      </c>
      <c r="F24" s="83">
        <v>0.84699999999999998</v>
      </c>
      <c r="G24" s="16">
        <f t="shared" ref="G24:G25" si="2">(C24*1000*AVERAGE(D24:F24))/$B$2</f>
        <v>9.2584369449378325</v>
      </c>
      <c r="H24" s="19">
        <f t="shared" ref="H24:H25" si="3">(C24*1000*STDEV(D24:F24))/$B$2</f>
        <v>0.13909818035237212</v>
      </c>
    </row>
    <row r="25" spans="1:8">
      <c r="A25" s="65">
        <v>17</v>
      </c>
      <c r="B25" s="128">
        <v>48.166666666666664</v>
      </c>
      <c r="C25" s="16">
        <v>1</v>
      </c>
      <c r="D25" s="83">
        <v>0.95599999999999996</v>
      </c>
      <c r="E25" s="83">
        <v>0.97299999999999998</v>
      </c>
      <c r="F25" s="83">
        <v>0.97099999999999997</v>
      </c>
      <c r="G25" s="16">
        <f t="shared" si="2"/>
        <v>10.731201894612196</v>
      </c>
      <c r="H25" s="19">
        <f t="shared" si="3"/>
        <v>0.10314801557701574</v>
      </c>
    </row>
  </sheetData>
  <mergeCells count="7">
    <mergeCell ref="D5:D6"/>
    <mergeCell ref="E5:E6"/>
    <mergeCell ref="F5:F6"/>
    <mergeCell ref="A4:H4"/>
    <mergeCell ref="A5:C5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C7" sqref="C7:C25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44</v>
      </c>
      <c r="B2" s="17">
        <v>46.07</v>
      </c>
    </row>
    <row r="4" spans="1:8">
      <c r="A4" s="162" t="s">
        <v>44</v>
      </c>
      <c r="B4" s="163"/>
      <c r="C4" s="163"/>
      <c r="D4" s="163"/>
      <c r="E4" s="163"/>
      <c r="F4" s="163"/>
      <c r="G4" s="163"/>
      <c r="H4" s="164"/>
    </row>
    <row r="5" spans="1:8">
      <c r="A5" s="165" t="s">
        <v>62</v>
      </c>
      <c r="B5" s="163"/>
      <c r="C5" s="164"/>
      <c r="D5" s="166" t="s">
        <v>45</v>
      </c>
      <c r="E5" s="166" t="s">
        <v>46</v>
      </c>
      <c r="F5" s="166" t="s">
        <v>47</v>
      </c>
      <c r="G5" s="168" t="s">
        <v>63</v>
      </c>
      <c r="H5" s="168" t="s">
        <v>64</v>
      </c>
    </row>
    <row r="6" spans="1:8">
      <c r="A6" s="22" t="s">
        <v>4</v>
      </c>
      <c r="B6" s="22" t="s">
        <v>60</v>
      </c>
      <c r="C6" s="22" t="s">
        <v>19</v>
      </c>
      <c r="D6" s="167"/>
      <c r="E6" s="167"/>
      <c r="F6" s="167"/>
      <c r="G6" s="169"/>
      <c r="H6" s="169"/>
    </row>
    <row r="7" spans="1:8">
      <c r="A7" s="64">
        <v>0</v>
      </c>
      <c r="B7" s="127">
        <v>-0.16666666666666666</v>
      </c>
      <c r="C7" s="16">
        <v>1</v>
      </c>
      <c r="D7" s="18">
        <v>0</v>
      </c>
      <c r="E7" s="18">
        <v>0</v>
      </c>
      <c r="F7" s="18">
        <v>0</v>
      </c>
      <c r="G7" s="16">
        <f>(C7*1000*AVERAGE(D7:F7))/$B$2</f>
        <v>0</v>
      </c>
      <c r="H7" s="19">
        <f>(C7*1000*STDEV(D7:F7))/$B$2</f>
        <v>0</v>
      </c>
    </row>
    <row r="8" spans="1:8">
      <c r="A8" s="65">
        <v>0</v>
      </c>
      <c r="B8" s="128">
        <v>0.16666666666666666</v>
      </c>
      <c r="C8" s="16">
        <v>1</v>
      </c>
      <c r="D8" s="18">
        <v>0</v>
      </c>
      <c r="E8" s="18">
        <v>0</v>
      </c>
      <c r="F8" s="18">
        <v>0</v>
      </c>
      <c r="G8" s="16">
        <f t="shared" ref="G8:G17" si="0">(C8*1000*AVERAGE(D8:F8))/$B$2</f>
        <v>0</v>
      </c>
      <c r="H8" s="19">
        <f t="shared" ref="H8:H17" si="1">(C8*1000*STDEV(D8:F8))/$B$2</f>
        <v>0</v>
      </c>
    </row>
    <row r="9" spans="1:8">
      <c r="A9" s="65">
        <v>1</v>
      </c>
      <c r="B9" s="128">
        <v>2</v>
      </c>
      <c r="C9" s="16">
        <v>1</v>
      </c>
      <c r="D9" s="18">
        <v>0</v>
      </c>
      <c r="E9" s="18">
        <v>0</v>
      </c>
      <c r="F9" s="18">
        <v>0</v>
      </c>
      <c r="G9" s="16">
        <f t="shared" si="0"/>
        <v>0</v>
      </c>
      <c r="H9" s="19">
        <f t="shared" si="1"/>
        <v>0</v>
      </c>
    </row>
    <row r="10" spans="1:8">
      <c r="A10" s="65">
        <v>2</v>
      </c>
      <c r="B10" s="128">
        <v>3.3333333333333335</v>
      </c>
      <c r="C10" s="16">
        <v>1</v>
      </c>
      <c r="D10" s="18">
        <v>0</v>
      </c>
      <c r="E10" s="18">
        <v>0</v>
      </c>
      <c r="F10" s="18">
        <v>0</v>
      </c>
      <c r="G10" s="16">
        <f t="shared" si="0"/>
        <v>0</v>
      </c>
      <c r="H10" s="19">
        <f t="shared" si="1"/>
        <v>0</v>
      </c>
    </row>
    <row r="11" spans="1:8">
      <c r="A11" s="65">
        <v>3</v>
      </c>
      <c r="B11" s="128">
        <v>4.666666666666667</v>
      </c>
      <c r="C11" s="16">
        <v>1</v>
      </c>
      <c r="D11" s="18">
        <v>0</v>
      </c>
      <c r="E11" s="18">
        <v>0</v>
      </c>
      <c r="F11" s="18">
        <v>0</v>
      </c>
      <c r="G11" s="16">
        <f t="shared" si="0"/>
        <v>0</v>
      </c>
      <c r="H11" s="19">
        <f t="shared" si="1"/>
        <v>0</v>
      </c>
    </row>
    <row r="12" spans="1:8">
      <c r="A12" s="65">
        <v>4</v>
      </c>
      <c r="B12" s="128">
        <v>6</v>
      </c>
      <c r="C12" s="16">
        <v>1</v>
      </c>
      <c r="D12" s="18">
        <v>0</v>
      </c>
      <c r="E12" s="18">
        <v>0</v>
      </c>
      <c r="F12" s="18">
        <v>0</v>
      </c>
      <c r="G12" s="16">
        <f t="shared" si="0"/>
        <v>0</v>
      </c>
      <c r="H12" s="19">
        <f t="shared" si="1"/>
        <v>0</v>
      </c>
    </row>
    <row r="13" spans="1:8">
      <c r="A13" s="65">
        <v>5</v>
      </c>
      <c r="B13" s="128">
        <v>7.333333333333333</v>
      </c>
      <c r="C13" s="16">
        <v>1</v>
      </c>
      <c r="D13" s="18">
        <v>0</v>
      </c>
      <c r="E13" s="18">
        <v>0</v>
      </c>
      <c r="F13" s="18">
        <v>0</v>
      </c>
      <c r="G13" s="16">
        <f t="shared" si="0"/>
        <v>0</v>
      </c>
      <c r="H13" s="19">
        <f t="shared" si="1"/>
        <v>0</v>
      </c>
    </row>
    <row r="14" spans="1:8">
      <c r="A14" s="65">
        <v>6</v>
      </c>
      <c r="B14" s="128">
        <v>8.6666666666666661</v>
      </c>
      <c r="C14" s="16">
        <v>1</v>
      </c>
      <c r="D14" s="18">
        <v>0</v>
      </c>
      <c r="E14" s="18">
        <v>0</v>
      </c>
      <c r="F14" s="18">
        <v>0</v>
      </c>
      <c r="G14" s="16">
        <f t="shared" si="0"/>
        <v>0</v>
      </c>
      <c r="H14" s="19">
        <f t="shared" si="1"/>
        <v>0</v>
      </c>
    </row>
    <row r="15" spans="1:8">
      <c r="A15" s="65">
        <v>7</v>
      </c>
      <c r="B15" s="128">
        <v>10</v>
      </c>
      <c r="C15" s="16">
        <v>1</v>
      </c>
      <c r="D15" s="18">
        <v>0</v>
      </c>
      <c r="E15" s="18">
        <v>0</v>
      </c>
      <c r="F15" s="18">
        <v>0</v>
      </c>
      <c r="G15" s="16">
        <f t="shared" si="0"/>
        <v>0</v>
      </c>
      <c r="H15" s="19">
        <f t="shared" si="1"/>
        <v>0</v>
      </c>
    </row>
    <row r="16" spans="1:8">
      <c r="A16" s="65">
        <v>8</v>
      </c>
      <c r="B16" s="128">
        <v>11.333333333333334</v>
      </c>
      <c r="C16" s="16">
        <v>1</v>
      </c>
      <c r="D16" s="18">
        <v>0</v>
      </c>
      <c r="E16" s="18">
        <v>0</v>
      </c>
      <c r="F16" s="18">
        <v>0</v>
      </c>
      <c r="G16" s="16">
        <f t="shared" si="0"/>
        <v>0</v>
      </c>
      <c r="H16" s="19">
        <f t="shared" si="1"/>
        <v>0</v>
      </c>
    </row>
    <row r="17" spans="1:8">
      <c r="A17" s="65">
        <v>9</v>
      </c>
      <c r="B17" s="128">
        <v>12.666666666666666</v>
      </c>
      <c r="C17" s="16">
        <v>1</v>
      </c>
      <c r="D17" s="18">
        <v>0</v>
      </c>
      <c r="E17" s="18">
        <v>0</v>
      </c>
      <c r="F17" s="18">
        <v>0</v>
      </c>
      <c r="G17" s="16">
        <f t="shared" si="0"/>
        <v>0</v>
      </c>
      <c r="H17" s="19">
        <f t="shared" si="1"/>
        <v>0</v>
      </c>
    </row>
    <row r="18" spans="1:8">
      <c r="A18" s="65">
        <v>10</v>
      </c>
      <c r="B18" s="128">
        <v>14</v>
      </c>
      <c r="C18" s="16">
        <v>1</v>
      </c>
      <c r="D18" s="18">
        <v>0</v>
      </c>
      <c r="E18" s="18">
        <v>0</v>
      </c>
      <c r="F18" s="18">
        <v>0</v>
      </c>
      <c r="G18" s="16">
        <f t="shared" ref="G18:G23" si="2">(C18*1000*AVERAGE(D18:F18))/$B$2</f>
        <v>0</v>
      </c>
      <c r="H18" s="19">
        <f t="shared" ref="H18:H23" si="3">(C18*1000*STDEV(D18:F18))/$B$2</f>
        <v>0</v>
      </c>
    </row>
    <row r="19" spans="1:8">
      <c r="A19" s="65">
        <v>11</v>
      </c>
      <c r="B19" s="128">
        <v>15.333333333333334</v>
      </c>
      <c r="C19" s="16">
        <v>1</v>
      </c>
      <c r="D19" s="18">
        <v>0</v>
      </c>
      <c r="E19" s="18">
        <v>0</v>
      </c>
      <c r="F19" s="18">
        <v>0</v>
      </c>
      <c r="G19" s="16">
        <f t="shared" si="2"/>
        <v>0</v>
      </c>
      <c r="H19" s="19">
        <f t="shared" si="3"/>
        <v>0</v>
      </c>
    </row>
    <row r="20" spans="1:8">
      <c r="A20" s="65">
        <v>12</v>
      </c>
      <c r="B20" s="128">
        <v>16.666666666666668</v>
      </c>
      <c r="C20" s="16">
        <v>1</v>
      </c>
      <c r="D20" s="18">
        <v>0</v>
      </c>
      <c r="E20" s="18">
        <v>0</v>
      </c>
      <c r="F20" s="18">
        <v>0</v>
      </c>
      <c r="G20" s="16">
        <f t="shared" si="2"/>
        <v>0</v>
      </c>
      <c r="H20" s="19">
        <f t="shared" si="3"/>
        <v>0</v>
      </c>
    </row>
    <row r="21" spans="1:8">
      <c r="A21" s="65">
        <v>13</v>
      </c>
      <c r="B21" s="128">
        <v>18</v>
      </c>
      <c r="C21" s="16">
        <v>1</v>
      </c>
      <c r="D21" s="18">
        <v>0</v>
      </c>
      <c r="E21" s="18">
        <v>0</v>
      </c>
      <c r="F21" s="18">
        <v>0</v>
      </c>
      <c r="G21" s="16">
        <f t="shared" si="2"/>
        <v>0</v>
      </c>
      <c r="H21" s="19">
        <f t="shared" si="3"/>
        <v>0</v>
      </c>
    </row>
    <row r="22" spans="1:8">
      <c r="A22" s="65">
        <v>14</v>
      </c>
      <c r="B22" s="128">
        <v>19.333333333333332</v>
      </c>
      <c r="C22" s="16">
        <v>1</v>
      </c>
      <c r="D22" s="18">
        <v>0</v>
      </c>
      <c r="E22" s="18">
        <v>0</v>
      </c>
      <c r="F22" s="18">
        <v>0</v>
      </c>
      <c r="G22" s="16">
        <f t="shared" si="2"/>
        <v>0</v>
      </c>
      <c r="H22" s="19">
        <f t="shared" si="3"/>
        <v>0</v>
      </c>
    </row>
    <row r="23" spans="1:8">
      <c r="A23" s="65">
        <v>15</v>
      </c>
      <c r="B23" s="128">
        <v>24.166666666666668</v>
      </c>
      <c r="C23" s="16">
        <v>1</v>
      </c>
      <c r="D23" s="18">
        <v>0</v>
      </c>
      <c r="E23" s="18">
        <v>0</v>
      </c>
      <c r="F23" s="18">
        <v>0</v>
      </c>
      <c r="G23" s="16">
        <f t="shared" si="2"/>
        <v>0</v>
      </c>
      <c r="H23" s="19">
        <f t="shared" si="3"/>
        <v>0</v>
      </c>
    </row>
    <row r="24" spans="1:8">
      <c r="A24" s="65">
        <v>16</v>
      </c>
      <c r="B24" s="128">
        <v>30.166666666666668</v>
      </c>
      <c r="C24" s="16">
        <v>1</v>
      </c>
      <c r="D24" s="18">
        <v>0</v>
      </c>
      <c r="E24" s="18">
        <v>0</v>
      </c>
      <c r="F24" s="18">
        <v>0</v>
      </c>
      <c r="G24" s="16">
        <f t="shared" ref="G24:G25" si="4">(C24*1000*AVERAGE(D24:F24))/$B$2</f>
        <v>0</v>
      </c>
      <c r="H24" s="19">
        <f t="shared" ref="H24:H25" si="5">(C24*1000*STDEV(D24:F24))/$B$2</f>
        <v>0</v>
      </c>
    </row>
    <row r="25" spans="1:8">
      <c r="A25" s="65">
        <v>17</v>
      </c>
      <c r="B25" s="128">
        <v>48.166666666666664</v>
      </c>
      <c r="C25" s="16">
        <v>1</v>
      </c>
      <c r="D25" s="18">
        <v>0</v>
      </c>
      <c r="E25" s="18">
        <v>0</v>
      </c>
      <c r="F25" s="18">
        <v>0</v>
      </c>
      <c r="G25" s="16">
        <f t="shared" si="4"/>
        <v>0</v>
      </c>
      <c r="H25" s="19">
        <f t="shared" si="5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7"/>
  <sheetViews>
    <sheetView topLeftCell="A144" workbookViewId="0">
      <selection activeCell="B166" sqref="B166"/>
    </sheetView>
  </sheetViews>
  <sheetFormatPr baseColWidth="10" defaultColWidth="8.83203125" defaultRowHeight="14" x14ac:dyDescent="0"/>
  <cols>
    <col min="2" max="2" width="9.6640625" bestFit="1" customWidth="1"/>
    <col min="3" max="3" width="9.5" bestFit="1" customWidth="1"/>
    <col min="4" max="4" width="9" bestFit="1" customWidth="1"/>
    <col min="10" max="10" width="9.1640625" bestFit="1" customWidth="1"/>
    <col min="16" max="16" width="12" bestFit="1" customWidth="1"/>
    <col min="17" max="17" width="12.33203125" bestFit="1" customWidth="1"/>
  </cols>
  <sheetData>
    <row r="1" spans="1:17">
      <c r="A1" t="s">
        <v>44</v>
      </c>
      <c r="C1" t="s">
        <v>61</v>
      </c>
      <c r="D1">
        <v>46.07</v>
      </c>
      <c r="E1" t="s">
        <v>39</v>
      </c>
      <c r="M1" t="s">
        <v>262</v>
      </c>
      <c r="O1" t="s">
        <v>263</v>
      </c>
    </row>
    <row r="2" spans="1:17">
      <c r="A2" s="30" t="s">
        <v>4</v>
      </c>
      <c r="B2" s="30" t="s">
        <v>5</v>
      </c>
      <c r="C2" s="30" t="s">
        <v>264</v>
      </c>
      <c r="D2" s="30" t="s">
        <v>265</v>
      </c>
      <c r="E2" s="30" t="s">
        <v>266</v>
      </c>
      <c r="F2" s="30" t="s">
        <v>267</v>
      </c>
      <c r="G2" s="30" t="s">
        <v>268</v>
      </c>
      <c r="H2" s="30" t="s">
        <v>269</v>
      </c>
      <c r="I2" s="30" t="s">
        <v>270</v>
      </c>
      <c r="J2" s="30" t="s">
        <v>271</v>
      </c>
      <c r="K2" s="30" t="s">
        <v>272</v>
      </c>
      <c r="L2" s="30" t="s">
        <v>19</v>
      </c>
      <c r="M2" s="30" t="s">
        <v>273</v>
      </c>
      <c r="N2" s="30" t="s">
        <v>274</v>
      </c>
      <c r="O2" s="30" t="s">
        <v>275</v>
      </c>
      <c r="P2" s="30" t="s">
        <v>276</v>
      </c>
      <c r="Q2" s="30" t="s">
        <v>277</v>
      </c>
    </row>
    <row r="3" spans="1:17">
      <c r="A3" s="64">
        <v>0</v>
      </c>
      <c r="B3" s="127">
        <v>-0.16666666666666666</v>
      </c>
      <c r="C3">
        <v>0</v>
      </c>
      <c r="D3">
        <v>0</v>
      </c>
      <c r="E3">
        <v>0</v>
      </c>
      <c r="I3" t="e">
        <f>C3/F3</f>
        <v>#DIV/0!</v>
      </c>
      <c r="J3" t="e">
        <f>D3/G3</f>
        <v>#DIV/0!</v>
      </c>
      <c r="K3" t="e">
        <f>E3/H3</f>
        <v>#DIV/0!</v>
      </c>
      <c r="L3">
        <v>4</v>
      </c>
      <c r="M3" t="e">
        <f>((I3-$B$23)/($B$22))*L3</f>
        <v>#DIV/0!</v>
      </c>
      <c r="N3" t="e">
        <f t="shared" ref="N3:O18" si="0">((J3-$B$23)/($B$22))*M3</f>
        <v>#DIV/0!</v>
      </c>
      <c r="O3" t="e">
        <f t="shared" si="0"/>
        <v>#DIV/0!</v>
      </c>
      <c r="P3" t="e">
        <f>STDEV(M3:O3)</f>
        <v>#DIV/0!</v>
      </c>
      <c r="Q3" t="e">
        <f>AVERAGE(M3:O3)</f>
        <v>#DIV/0!</v>
      </c>
    </row>
    <row r="4" spans="1:17">
      <c r="A4" s="65">
        <v>0</v>
      </c>
      <c r="B4" s="128">
        <v>0.16666666666666666</v>
      </c>
      <c r="C4">
        <v>0</v>
      </c>
      <c r="D4">
        <v>0</v>
      </c>
      <c r="E4">
        <v>0</v>
      </c>
      <c r="I4" t="e">
        <f t="shared" ref="I4:K19" si="1">C4/F4</f>
        <v>#DIV/0!</v>
      </c>
      <c r="J4" t="e">
        <f t="shared" si="1"/>
        <v>#DIV/0!</v>
      </c>
      <c r="K4" t="e">
        <f t="shared" si="1"/>
        <v>#DIV/0!</v>
      </c>
      <c r="L4">
        <v>4</v>
      </c>
      <c r="M4" t="e">
        <f t="shared" ref="M4:O19" si="2">((I4-$B$23)/($B$22))*L4</f>
        <v>#DIV/0!</v>
      </c>
      <c r="N4" t="e">
        <f t="shared" si="0"/>
        <v>#DIV/0!</v>
      </c>
      <c r="O4" t="e">
        <f t="shared" si="0"/>
        <v>#DIV/0!</v>
      </c>
      <c r="P4" t="e">
        <f t="shared" ref="P4:P20" si="3">STDEV(M4:O4)</f>
        <v>#DIV/0!</v>
      </c>
      <c r="Q4" t="e">
        <f t="shared" ref="Q4:Q8" si="4">AVERAGE(M4:O4)</f>
        <v>#DIV/0!</v>
      </c>
    </row>
    <row r="5" spans="1:17">
      <c r="A5" s="65">
        <v>1</v>
      </c>
      <c r="B5" s="128">
        <v>2</v>
      </c>
      <c r="C5">
        <v>0</v>
      </c>
      <c r="D5">
        <v>0</v>
      </c>
      <c r="E5">
        <v>0</v>
      </c>
      <c r="I5" t="e">
        <f t="shared" si="1"/>
        <v>#DIV/0!</v>
      </c>
      <c r="J5" t="e">
        <f t="shared" si="1"/>
        <v>#DIV/0!</v>
      </c>
      <c r="K5" t="e">
        <f t="shared" si="1"/>
        <v>#DIV/0!</v>
      </c>
      <c r="L5">
        <v>4</v>
      </c>
      <c r="M5" t="e">
        <f t="shared" si="2"/>
        <v>#DIV/0!</v>
      </c>
      <c r="N5" t="e">
        <f t="shared" si="0"/>
        <v>#DIV/0!</v>
      </c>
      <c r="O5" t="e">
        <f t="shared" si="0"/>
        <v>#DIV/0!</v>
      </c>
      <c r="P5" t="e">
        <f t="shared" si="3"/>
        <v>#DIV/0!</v>
      </c>
      <c r="Q5" t="e">
        <f t="shared" si="4"/>
        <v>#DIV/0!</v>
      </c>
    </row>
    <row r="6" spans="1:17">
      <c r="A6" s="65">
        <v>2</v>
      </c>
      <c r="B6" s="128">
        <v>3.3333333333333335</v>
      </c>
      <c r="C6">
        <v>0</v>
      </c>
      <c r="D6">
        <v>0</v>
      </c>
      <c r="E6">
        <v>0</v>
      </c>
      <c r="I6" t="e">
        <f t="shared" si="1"/>
        <v>#DIV/0!</v>
      </c>
      <c r="J6" t="e">
        <f t="shared" si="1"/>
        <v>#DIV/0!</v>
      </c>
      <c r="K6" t="e">
        <f t="shared" si="1"/>
        <v>#DIV/0!</v>
      </c>
      <c r="L6">
        <v>4</v>
      </c>
      <c r="M6" t="e">
        <f t="shared" si="2"/>
        <v>#DIV/0!</v>
      </c>
      <c r="N6" t="e">
        <f t="shared" si="0"/>
        <v>#DIV/0!</v>
      </c>
      <c r="O6" t="e">
        <f t="shared" si="0"/>
        <v>#DIV/0!</v>
      </c>
      <c r="P6" t="e">
        <f t="shared" si="3"/>
        <v>#DIV/0!</v>
      </c>
      <c r="Q6" t="e">
        <f t="shared" si="4"/>
        <v>#DIV/0!</v>
      </c>
    </row>
    <row r="7" spans="1:17">
      <c r="A7" s="65">
        <v>3</v>
      </c>
      <c r="B7" s="128">
        <v>4.666666666666667</v>
      </c>
      <c r="C7">
        <v>0</v>
      </c>
      <c r="D7">
        <v>0</v>
      </c>
      <c r="E7">
        <v>0</v>
      </c>
      <c r="I7" t="e">
        <f t="shared" si="1"/>
        <v>#DIV/0!</v>
      </c>
      <c r="J7" t="e">
        <f t="shared" si="1"/>
        <v>#DIV/0!</v>
      </c>
      <c r="K7" t="e">
        <f t="shared" si="1"/>
        <v>#DIV/0!</v>
      </c>
      <c r="L7">
        <v>4</v>
      </c>
      <c r="M7" t="e">
        <f t="shared" si="2"/>
        <v>#DIV/0!</v>
      </c>
      <c r="N7" t="e">
        <f t="shared" si="0"/>
        <v>#DIV/0!</v>
      </c>
      <c r="O7" t="e">
        <f t="shared" si="0"/>
        <v>#DIV/0!</v>
      </c>
      <c r="P7" t="e">
        <f t="shared" si="3"/>
        <v>#DIV/0!</v>
      </c>
      <c r="Q7" t="e">
        <f t="shared" si="4"/>
        <v>#DIV/0!</v>
      </c>
    </row>
    <row r="8" spans="1:17">
      <c r="A8" s="65">
        <v>4</v>
      </c>
      <c r="B8" s="128">
        <v>6</v>
      </c>
      <c r="C8">
        <v>0</v>
      </c>
      <c r="D8">
        <v>0</v>
      </c>
      <c r="E8">
        <v>0</v>
      </c>
      <c r="I8" t="e">
        <f t="shared" si="1"/>
        <v>#DIV/0!</v>
      </c>
      <c r="J8" t="e">
        <f t="shared" si="1"/>
        <v>#DIV/0!</v>
      </c>
      <c r="K8" t="e">
        <f t="shared" si="1"/>
        <v>#DIV/0!</v>
      </c>
      <c r="L8">
        <v>4</v>
      </c>
      <c r="M8" t="e">
        <f t="shared" si="2"/>
        <v>#DIV/0!</v>
      </c>
      <c r="N8" t="e">
        <f t="shared" si="0"/>
        <v>#DIV/0!</v>
      </c>
      <c r="O8" t="e">
        <f t="shared" si="0"/>
        <v>#DIV/0!</v>
      </c>
      <c r="P8" t="e">
        <f t="shared" si="3"/>
        <v>#DIV/0!</v>
      </c>
      <c r="Q8" t="e">
        <f t="shared" si="4"/>
        <v>#DIV/0!</v>
      </c>
    </row>
    <row r="9" spans="1:17">
      <c r="A9" s="65">
        <v>5</v>
      </c>
      <c r="B9" s="128">
        <v>7.333333333333333</v>
      </c>
      <c r="C9">
        <v>0</v>
      </c>
      <c r="D9">
        <v>0</v>
      </c>
      <c r="E9">
        <v>0</v>
      </c>
      <c r="I9" t="e">
        <f t="shared" si="1"/>
        <v>#DIV/0!</v>
      </c>
      <c r="J9" t="e">
        <f t="shared" si="1"/>
        <v>#DIV/0!</v>
      </c>
      <c r="K9" t="e">
        <f t="shared" si="1"/>
        <v>#DIV/0!</v>
      </c>
      <c r="L9">
        <v>4</v>
      </c>
      <c r="M9" t="e">
        <f t="shared" si="2"/>
        <v>#DIV/0!</v>
      </c>
      <c r="N9" t="e">
        <f t="shared" si="0"/>
        <v>#DIV/0!</v>
      </c>
      <c r="O9" t="e">
        <f t="shared" si="0"/>
        <v>#DIV/0!</v>
      </c>
      <c r="P9" t="e">
        <f t="shared" si="3"/>
        <v>#DIV/0!</v>
      </c>
      <c r="Q9" t="e">
        <f>AVERAGE(M9:O9)</f>
        <v>#DIV/0!</v>
      </c>
    </row>
    <row r="10" spans="1:17">
      <c r="A10" s="65">
        <v>6</v>
      </c>
      <c r="B10" s="128">
        <v>8.6666666666666661</v>
      </c>
      <c r="C10">
        <v>0</v>
      </c>
      <c r="D10">
        <v>0</v>
      </c>
      <c r="E10">
        <v>0</v>
      </c>
      <c r="I10" t="e">
        <f t="shared" si="1"/>
        <v>#DIV/0!</v>
      </c>
      <c r="J10" t="e">
        <f t="shared" si="1"/>
        <v>#DIV/0!</v>
      </c>
      <c r="K10" t="e">
        <f t="shared" si="1"/>
        <v>#DIV/0!</v>
      </c>
      <c r="L10">
        <v>4</v>
      </c>
      <c r="M10" t="e">
        <f t="shared" si="2"/>
        <v>#DIV/0!</v>
      </c>
      <c r="N10" t="e">
        <f t="shared" si="0"/>
        <v>#DIV/0!</v>
      </c>
      <c r="O10" t="e">
        <f t="shared" si="0"/>
        <v>#DIV/0!</v>
      </c>
      <c r="P10" t="e">
        <f t="shared" si="3"/>
        <v>#DIV/0!</v>
      </c>
      <c r="Q10" t="e">
        <f t="shared" ref="Q10:Q21" si="5">AVERAGE(M10:O10)</f>
        <v>#DIV/0!</v>
      </c>
    </row>
    <row r="11" spans="1:17">
      <c r="A11" s="65">
        <v>7</v>
      </c>
      <c r="B11" s="128">
        <v>10</v>
      </c>
      <c r="C11">
        <v>0</v>
      </c>
      <c r="D11">
        <v>0</v>
      </c>
      <c r="E11">
        <v>0</v>
      </c>
      <c r="I11" t="e">
        <f t="shared" si="1"/>
        <v>#DIV/0!</v>
      </c>
      <c r="J11" t="e">
        <f t="shared" si="1"/>
        <v>#DIV/0!</v>
      </c>
      <c r="K11" t="e">
        <f t="shared" si="1"/>
        <v>#DIV/0!</v>
      </c>
      <c r="L11">
        <v>4</v>
      </c>
      <c r="M11" t="e">
        <f t="shared" si="2"/>
        <v>#DIV/0!</v>
      </c>
      <c r="N11" t="e">
        <f t="shared" si="0"/>
        <v>#DIV/0!</v>
      </c>
      <c r="O11" t="e">
        <f t="shared" si="0"/>
        <v>#DIV/0!</v>
      </c>
      <c r="P11" t="e">
        <f t="shared" si="3"/>
        <v>#DIV/0!</v>
      </c>
      <c r="Q11" t="e">
        <f t="shared" si="5"/>
        <v>#DIV/0!</v>
      </c>
    </row>
    <row r="12" spans="1:17">
      <c r="A12" s="65">
        <v>8</v>
      </c>
      <c r="B12" s="128">
        <v>11.333333333333334</v>
      </c>
      <c r="C12">
        <v>0</v>
      </c>
      <c r="D12">
        <v>0</v>
      </c>
      <c r="E12">
        <v>0</v>
      </c>
      <c r="I12" t="e">
        <f t="shared" si="1"/>
        <v>#DIV/0!</v>
      </c>
      <c r="J12" t="e">
        <f t="shared" si="1"/>
        <v>#DIV/0!</v>
      </c>
      <c r="K12" t="e">
        <f t="shared" si="1"/>
        <v>#DIV/0!</v>
      </c>
      <c r="L12">
        <v>4</v>
      </c>
      <c r="M12" t="e">
        <f t="shared" si="2"/>
        <v>#DIV/0!</v>
      </c>
      <c r="N12" t="e">
        <f t="shared" si="0"/>
        <v>#DIV/0!</v>
      </c>
      <c r="O12" t="e">
        <f t="shared" si="0"/>
        <v>#DIV/0!</v>
      </c>
      <c r="P12" t="e">
        <f t="shared" si="3"/>
        <v>#DIV/0!</v>
      </c>
      <c r="Q12" t="e">
        <f t="shared" si="5"/>
        <v>#DIV/0!</v>
      </c>
    </row>
    <row r="13" spans="1:17">
      <c r="A13" s="65">
        <v>9</v>
      </c>
      <c r="B13" s="128">
        <v>12.666666666666666</v>
      </c>
      <c r="C13">
        <v>0</v>
      </c>
      <c r="D13">
        <v>0</v>
      </c>
      <c r="E13">
        <v>0</v>
      </c>
      <c r="I13" t="e">
        <f t="shared" si="1"/>
        <v>#DIV/0!</v>
      </c>
      <c r="J13" t="e">
        <f t="shared" si="1"/>
        <v>#DIV/0!</v>
      </c>
      <c r="K13" t="e">
        <f t="shared" si="1"/>
        <v>#DIV/0!</v>
      </c>
      <c r="L13">
        <v>4</v>
      </c>
      <c r="M13" t="e">
        <f t="shared" si="2"/>
        <v>#DIV/0!</v>
      </c>
      <c r="N13" t="e">
        <f t="shared" si="0"/>
        <v>#DIV/0!</v>
      </c>
      <c r="O13" t="e">
        <f t="shared" si="0"/>
        <v>#DIV/0!</v>
      </c>
      <c r="P13" t="e">
        <f t="shared" si="3"/>
        <v>#DIV/0!</v>
      </c>
      <c r="Q13" t="e">
        <f t="shared" si="5"/>
        <v>#DIV/0!</v>
      </c>
    </row>
    <row r="14" spans="1:17">
      <c r="A14" s="65">
        <v>10</v>
      </c>
      <c r="B14" s="128">
        <v>14</v>
      </c>
      <c r="C14">
        <v>0</v>
      </c>
      <c r="D14">
        <v>0</v>
      </c>
      <c r="E14">
        <v>0</v>
      </c>
      <c r="I14" t="e">
        <f t="shared" si="1"/>
        <v>#DIV/0!</v>
      </c>
      <c r="J14" t="e">
        <f t="shared" si="1"/>
        <v>#DIV/0!</v>
      </c>
      <c r="K14" t="e">
        <f t="shared" si="1"/>
        <v>#DIV/0!</v>
      </c>
      <c r="L14">
        <v>4</v>
      </c>
      <c r="M14" t="e">
        <f t="shared" si="2"/>
        <v>#DIV/0!</v>
      </c>
      <c r="N14" t="e">
        <f t="shared" si="0"/>
        <v>#DIV/0!</v>
      </c>
      <c r="O14" t="e">
        <f t="shared" si="0"/>
        <v>#DIV/0!</v>
      </c>
      <c r="P14" t="e">
        <f t="shared" si="3"/>
        <v>#DIV/0!</v>
      </c>
      <c r="Q14" t="e">
        <f t="shared" si="5"/>
        <v>#DIV/0!</v>
      </c>
    </row>
    <row r="15" spans="1:17">
      <c r="A15" s="65">
        <v>11</v>
      </c>
      <c r="B15" s="128">
        <v>15.333333333333334</v>
      </c>
      <c r="C15">
        <v>0</v>
      </c>
      <c r="D15">
        <v>0</v>
      </c>
      <c r="E15">
        <v>0</v>
      </c>
      <c r="I15" t="e">
        <f t="shared" si="1"/>
        <v>#DIV/0!</v>
      </c>
      <c r="J15" t="e">
        <f t="shared" si="1"/>
        <v>#DIV/0!</v>
      </c>
      <c r="K15" t="e">
        <f t="shared" si="1"/>
        <v>#DIV/0!</v>
      </c>
      <c r="L15">
        <v>4</v>
      </c>
      <c r="M15" t="e">
        <f t="shared" si="2"/>
        <v>#DIV/0!</v>
      </c>
      <c r="N15" t="e">
        <f t="shared" si="0"/>
        <v>#DIV/0!</v>
      </c>
      <c r="O15" t="e">
        <f t="shared" si="0"/>
        <v>#DIV/0!</v>
      </c>
      <c r="P15" t="e">
        <f t="shared" si="3"/>
        <v>#DIV/0!</v>
      </c>
      <c r="Q15" t="e">
        <f t="shared" si="5"/>
        <v>#DIV/0!</v>
      </c>
    </row>
    <row r="16" spans="1:17">
      <c r="A16" s="65">
        <v>12</v>
      </c>
      <c r="B16" s="128">
        <v>16.666666666666668</v>
      </c>
      <c r="C16">
        <v>0</v>
      </c>
      <c r="D16">
        <v>0</v>
      </c>
      <c r="E16">
        <v>0</v>
      </c>
      <c r="I16" t="e">
        <f t="shared" si="1"/>
        <v>#DIV/0!</v>
      </c>
      <c r="J16" t="e">
        <f t="shared" si="1"/>
        <v>#DIV/0!</v>
      </c>
      <c r="K16" t="e">
        <f t="shared" si="1"/>
        <v>#DIV/0!</v>
      </c>
      <c r="L16">
        <v>4</v>
      </c>
      <c r="M16" t="e">
        <f t="shared" si="2"/>
        <v>#DIV/0!</v>
      </c>
      <c r="N16" t="e">
        <f t="shared" si="0"/>
        <v>#DIV/0!</v>
      </c>
      <c r="O16" t="e">
        <f t="shared" si="0"/>
        <v>#DIV/0!</v>
      </c>
      <c r="P16" t="e">
        <f t="shared" si="3"/>
        <v>#DIV/0!</v>
      </c>
      <c r="Q16" t="e">
        <f t="shared" si="5"/>
        <v>#DIV/0!</v>
      </c>
    </row>
    <row r="17" spans="1:17">
      <c r="A17" s="65">
        <v>13</v>
      </c>
      <c r="B17" s="128">
        <v>18</v>
      </c>
      <c r="C17">
        <v>0</v>
      </c>
      <c r="D17">
        <v>0</v>
      </c>
      <c r="E17">
        <v>0</v>
      </c>
      <c r="I17" t="e">
        <f t="shared" si="1"/>
        <v>#DIV/0!</v>
      </c>
      <c r="J17" t="e">
        <f t="shared" si="1"/>
        <v>#DIV/0!</v>
      </c>
      <c r="K17" t="e">
        <f t="shared" si="1"/>
        <v>#DIV/0!</v>
      </c>
      <c r="L17">
        <v>4</v>
      </c>
      <c r="M17" t="e">
        <f t="shared" si="2"/>
        <v>#DIV/0!</v>
      </c>
      <c r="N17" t="e">
        <f t="shared" si="0"/>
        <v>#DIV/0!</v>
      </c>
      <c r="O17" t="e">
        <f t="shared" si="0"/>
        <v>#DIV/0!</v>
      </c>
      <c r="P17" t="e">
        <f t="shared" si="3"/>
        <v>#DIV/0!</v>
      </c>
      <c r="Q17" t="e">
        <f t="shared" si="5"/>
        <v>#DIV/0!</v>
      </c>
    </row>
    <row r="18" spans="1:17">
      <c r="A18" s="65">
        <v>14</v>
      </c>
      <c r="B18" s="128">
        <v>19.333333333333332</v>
      </c>
      <c r="C18">
        <v>0</v>
      </c>
      <c r="D18">
        <v>0</v>
      </c>
      <c r="E18">
        <v>0</v>
      </c>
      <c r="I18" t="e">
        <f t="shared" si="1"/>
        <v>#DIV/0!</v>
      </c>
      <c r="J18" t="e">
        <f t="shared" si="1"/>
        <v>#DIV/0!</v>
      </c>
      <c r="K18" t="e">
        <f t="shared" si="1"/>
        <v>#DIV/0!</v>
      </c>
      <c r="L18">
        <v>4</v>
      </c>
      <c r="M18" t="e">
        <f t="shared" si="2"/>
        <v>#DIV/0!</v>
      </c>
      <c r="N18" t="e">
        <f t="shared" si="0"/>
        <v>#DIV/0!</v>
      </c>
      <c r="O18" t="e">
        <f t="shared" si="0"/>
        <v>#DIV/0!</v>
      </c>
      <c r="P18" t="e">
        <f t="shared" si="3"/>
        <v>#DIV/0!</v>
      </c>
      <c r="Q18" t="e">
        <f t="shared" si="5"/>
        <v>#DIV/0!</v>
      </c>
    </row>
    <row r="19" spans="1:17">
      <c r="A19" s="65">
        <v>15</v>
      </c>
      <c r="B19" s="128">
        <v>24.166666666666668</v>
      </c>
      <c r="C19">
        <v>0</v>
      </c>
      <c r="D19">
        <v>0</v>
      </c>
      <c r="E19">
        <v>0</v>
      </c>
      <c r="I19" t="e">
        <f t="shared" si="1"/>
        <v>#DIV/0!</v>
      </c>
      <c r="J19" t="e">
        <f t="shared" si="1"/>
        <v>#DIV/0!</v>
      </c>
      <c r="K19" t="e">
        <f t="shared" si="1"/>
        <v>#DIV/0!</v>
      </c>
      <c r="L19">
        <v>4</v>
      </c>
      <c r="M19" t="e">
        <f t="shared" si="2"/>
        <v>#DIV/0!</v>
      </c>
      <c r="N19" t="e">
        <f t="shared" si="2"/>
        <v>#DIV/0!</v>
      </c>
      <c r="O19" t="e">
        <f t="shared" si="2"/>
        <v>#DIV/0!</v>
      </c>
      <c r="P19" t="e">
        <f t="shared" si="3"/>
        <v>#DIV/0!</v>
      </c>
      <c r="Q19" t="e">
        <f t="shared" si="5"/>
        <v>#DIV/0!</v>
      </c>
    </row>
    <row r="20" spans="1:17">
      <c r="A20" s="65">
        <v>16</v>
      </c>
      <c r="B20" s="128">
        <v>30.166666666666668</v>
      </c>
      <c r="C20">
        <v>0</v>
      </c>
      <c r="D20">
        <v>0</v>
      </c>
      <c r="E20">
        <v>0</v>
      </c>
      <c r="I20" t="e">
        <f t="shared" ref="I20:K21" si="6">C20/F20</f>
        <v>#DIV/0!</v>
      </c>
      <c r="J20" t="e">
        <f t="shared" si="6"/>
        <v>#DIV/0!</v>
      </c>
      <c r="K20" t="e">
        <f t="shared" si="6"/>
        <v>#DIV/0!</v>
      </c>
      <c r="L20">
        <v>4</v>
      </c>
      <c r="M20" t="e">
        <f t="shared" ref="M20:O21" si="7">((I20-$B$23)/($B$22))*L20</f>
        <v>#DIV/0!</v>
      </c>
      <c r="N20" t="e">
        <f t="shared" si="7"/>
        <v>#DIV/0!</v>
      </c>
      <c r="O20" t="e">
        <f t="shared" si="7"/>
        <v>#DIV/0!</v>
      </c>
      <c r="P20" t="e">
        <f t="shared" si="3"/>
        <v>#DIV/0!</v>
      </c>
      <c r="Q20" t="e">
        <f t="shared" si="5"/>
        <v>#DIV/0!</v>
      </c>
    </row>
    <row r="21" spans="1:17">
      <c r="A21" s="65">
        <v>17</v>
      </c>
      <c r="B21" s="128">
        <v>48.166666666666664</v>
      </c>
      <c r="C21">
        <v>0</v>
      </c>
      <c r="D21">
        <v>0</v>
      </c>
      <c r="E21">
        <v>0</v>
      </c>
      <c r="I21" t="e">
        <f>C21/F21</f>
        <v>#DIV/0!</v>
      </c>
      <c r="J21" t="e">
        <f t="shared" si="6"/>
        <v>#DIV/0!</v>
      </c>
      <c r="K21" t="e">
        <f t="shared" si="6"/>
        <v>#DIV/0!</v>
      </c>
      <c r="L21">
        <v>4</v>
      </c>
      <c r="M21" t="e">
        <f t="shared" si="7"/>
        <v>#DIV/0!</v>
      </c>
      <c r="N21" t="e">
        <f t="shared" si="7"/>
        <v>#DIV/0!</v>
      </c>
      <c r="O21" t="e">
        <f>((K21-$B$23)/($B$22))*N21</f>
        <v>#DIV/0!</v>
      </c>
      <c r="P21" t="e">
        <f>STDEV(M21:O21)</f>
        <v>#DIV/0!</v>
      </c>
      <c r="Q21" t="e">
        <f t="shared" si="5"/>
        <v>#DIV/0!</v>
      </c>
    </row>
    <row r="22" spans="1:17">
      <c r="A22" t="s">
        <v>278</v>
      </c>
      <c r="B22" s="130">
        <f>'calibration ethanol'!J2</f>
        <v>0</v>
      </c>
      <c r="C22" t="s">
        <v>279</v>
      </c>
    </row>
    <row r="23" spans="1:17">
      <c r="A23" t="s">
        <v>218</v>
      </c>
      <c r="B23" s="130">
        <f>'calibration ethanol'!K2</f>
        <v>0</v>
      </c>
      <c r="C23" t="s">
        <v>280</v>
      </c>
    </row>
    <row r="24" spans="1:17" ht="15" thickBot="1">
      <c r="K24" s="131"/>
    </row>
    <row r="25" spans="1:17" ht="16" thickTop="1" thickBot="1">
      <c r="A25" t="s">
        <v>43</v>
      </c>
      <c r="C25" t="s">
        <v>61</v>
      </c>
      <c r="D25">
        <v>60.05</v>
      </c>
      <c r="E25" t="s">
        <v>39</v>
      </c>
      <c r="K25" s="131"/>
      <c r="M25" t="s">
        <v>262</v>
      </c>
      <c r="O25" t="s">
        <v>263</v>
      </c>
    </row>
    <row r="26" spans="1:17" ht="15" thickTop="1">
      <c r="A26" s="30" t="s">
        <v>4</v>
      </c>
      <c r="B26" s="30" t="s">
        <v>5</v>
      </c>
      <c r="C26" s="30" t="s">
        <v>264</v>
      </c>
      <c r="D26" s="30" t="s">
        <v>265</v>
      </c>
      <c r="E26" s="30" t="s">
        <v>266</v>
      </c>
      <c r="F26" s="30" t="s">
        <v>267</v>
      </c>
      <c r="G26" s="30" t="s">
        <v>268</v>
      </c>
      <c r="H26" s="30" t="s">
        <v>269</v>
      </c>
      <c r="I26" s="30" t="s">
        <v>270</v>
      </c>
      <c r="J26" s="30" t="s">
        <v>271</v>
      </c>
      <c r="K26" s="30" t="s">
        <v>272</v>
      </c>
      <c r="L26" s="30" t="s">
        <v>19</v>
      </c>
      <c r="M26" s="30" t="s">
        <v>273</v>
      </c>
      <c r="N26" s="30" t="s">
        <v>274</v>
      </c>
      <c r="O26" s="30" t="s">
        <v>275</v>
      </c>
      <c r="P26" s="30" t="s">
        <v>276</v>
      </c>
      <c r="Q26" s="30" t="s">
        <v>277</v>
      </c>
    </row>
    <row r="27" spans="1:17">
      <c r="A27" s="64">
        <v>0</v>
      </c>
      <c r="B27" s="127">
        <v>-0.16666666666666666</v>
      </c>
      <c r="C27">
        <v>0</v>
      </c>
      <c r="D27">
        <v>0</v>
      </c>
      <c r="E27">
        <v>0</v>
      </c>
      <c r="I27" t="e">
        <f>C27/F27</f>
        <v>#DIV/0!</v>
      </c>
      <c r="J27" t="e">
        <f>D27/G27</f>
        <v>#DIV/0!</v>
      </c>
      <c r="K27" t="e">
        <f>E27/H27</f>
        <v>#DIV/0!</v>
      </c>
      <c r="L27">
        <v>4</v>
      </c>
      <c r="M27" t="e">
        <f>((I27-$B$47)/($B$46))*L27</f>
        <v>#DIV/0!</v>
      </c>
      <c r="N27" t="e">
        <f t="shared" ref="N27:O42" si="8">((J27-$B$47)/($B$46))*M27</f>
        <v>#DIV/0!</v>
      </c>
      <c r="O27" t="e">
        <f t="shared" si="8"/>
        <v>#DIV/0!</v>
      </c>
      <c r="P27" t="e">
        <f>STDEV(M27:O27)</f>
        <v>#DIV/0!</v>
      </c>
      <c r="Q27" t="e">
        <f>AVERAGE(M27:O27)</f>
        <v>#DIV/0!</v>
      </c>
    </row>
    <row r="28" spans="1:17">
      <c r="A28" s="65">
        <v>0</v>
      </c>
      <c r="B28" s="128">
        <v>0.16666666666666666</v>
      </c>
      <c r="C28">
        <v>0</v>
      </c>
      <c r="D28">
        <v>0</v>
      </c>
      <c r="E28">
        <v>0</v>
      </c>
      <c r="I28" t="e">
        <f t="shared" ref="I28:K44" si="9">C28/F28</f>
        <v>#DIV/0!</v>
      </c>
      <c r="J28" t="e">
        <f t="shared" si="9"/>
        <v>#DIV/0!</v>
      </c>
      <c r="K28" t="e">
        <f t="shared" si="9"/>
        <v>#DIV/0!</v>
      </c>
      <c r="L28">
        <v>4</v>
      </c>
      <c r="M28" t="e">
        <f t="shared" ref="M28:O43" si="10">((I28-$B$47)/($B$46))*L28</f>
        <v>#DIV/0!</v>
      </c>
      <c r="N28" t="e">
        <f t="shared" si="8"/>
        <v>#DIV/0!</v>
      </c>
      <c r="O28" t="e">
        <f t="shared" si="8"/>
        <v>#DIV/0!</v>
      </c>
      <c r="P28" t="e">
        <f t="shared" ref="P28:P44" si="11">STDEV(M28:O28)</f>
        <v>#DIV/0!</v>
      </c>
      <c r="Q28" t="e">
        <f t="shared" ref="Q28:Q32" si="12">AVERAGE(M28:O28)</f>
        <v>#DIV/0!</v>
      </c>
    </row>
    <row r="29" spans="1:17">
      <c r="A29" s="65">
        <v>1</v>
      </c>
      <c r="B29" s="128">
        <v>2</v>
      </c>
      <c r="C29">
        <v>0</v>
      </c>
      <c r="D29">
        <v>0</v>
      </c>
      <c r="E29">
        <v>0</v>
      </c>
      <c r="I29" t="e">
        <f t="shared" si="9"/>
        <v>#DIV/0!</v>
      </c>
      <c r="J29" t="e">
        <f t="shared" si="9"/>
        <v>#DIV/0!</v>
      </c>
      <c r="K29" t="e">
        <f t="shared" si="9"/>
        <v>#DIV/0!</v>
      </c>
      <c r="L29">
        <v>4</v>
      </c>
      <c r="M29" t="e">
        <f t="shared" si="10"/>
        <v>#DIV/0!</v>
      </c>
      <c r="N29" t="e">
        <f t="shared" si="8"/>
        <v>#DIV/0!</v>
      </c>
      <c r="O29" t="e">
        <f t="shared" si="8"/>
        <v>#DIV/0!</v>
      </c>
      <c r="P29" t="e">
        <f t="shared" si="11"/>
        <v>#DIV/0!</v>
      </c>
      <c r="Q29" t="e">
        <f t="shared" si="12"/>
        <v>#DIV/0!</v>
      </c>
    </row>
    <row r="30" spans="1:17">
      <c r="A30" s="65">
        <v>2</v>
      </c>
      <c r="B30" s="128">
        <v>3.3333333333333335</v>
      </c>
      <c r="C30">
        <v>0</v>
      </c>
      <c r="D30">
        <v>0</v>
      </c>
      <c r="E30">
        <v>0</v>
      </c>
      <c r="I30" t="e">
        <f t="shared" si="9"/>
        <v>#DIV/0!</v>
      </c>
      <c r="J30" t="e">
        <f t="shared" si="9"/>
        <v>#DIV/0!</v>
      </c>
      <c r="K30" t="e">
        <f t="shared" si="9"/>
        <v>#DIV/0!</v>
      </c>
      <c r="L30">
        <v>4</v>
      </c>
      <c r="M30" t="e">
        <f t="shared" si="10"/>
        <v>#DIV/0!</v>
      </c>
      <c r="N30" t="e">
        <f t="shared" si="8"/>
        <v>#DIV/0!</v>
      </c>
      <c r="O30" t="e">
        <f t="shared" si="8"/>
        <v>#DIV/0!</v>
      </c>
      <c r="P30" t="e">
        <f t="shared" si="11"/>
        <v>#DIV/0!</v>
      </c>
      <c r="Q30" t="e">
        <f t="shared" si="12"/>
        <v>#DIV/0!</v>
      </c>
    </row>
    <row r="31" spans="1:17">
      <c r="A31" s="65">
        <v>3</v>
      </c>
      <c r="B31" s="128">
        <v>4.666666666666667</v>
      </c>
      <c r="C31">
        <v>0</v>
      </c>
      <c r="D31">
        <v>0</v>
      </c>
      <c r="E31">
        <v>0</v>
      </c>
      <c r="I31" t="e">
        <f t="shared" si="9"/>
        <v>#DIV/0!</v>
      </c>
      <c r="J31" t="e">
        <f t="shared" si="9"/>
        <v>#DIV/0!</v>
      </c>
      <c r="K31" t="e">
        <f t="shared" si="9"/>
        <v>#DIV/0!</v>
      </c>
      <c r="L31">
        <v>4</v>
      </c>
      <c r="M31" t="e">
        <f t="shared" si="10"/>
        <v>#DIV/0!</v>
      </c>
      <c r="N31" t="e">
        <f t="shared" si="8"/>
        <v>#DIV/0!</v>
      </c>
      <c r="O31" t="e">
        <f t="shared" si="8"/>
        <v>#DIV/0!</v>
      </c>
      <c r="P31" t="e">
        <f t="shared" si="11"/>
        <v>#DIV/0!</v>
      </c>
      <c r="Q31" t="e">
        <f t="shared" si="12"/>
        <v>#DIV/0!</v>
      </c>
    </row>
    <row r="32" spans="1:17">
      <c r="A32" s="65">
        <v>4</v>
      </c>
      <c r="B32" s="128">
        <v>6</v>
      </c>
      <c r="C32">
        <v>0</v>
      </c>
      <c r="D32">
        <v>0</v>
      </c>
      <c r="E32">
        <v>0</v>
      </c>
      <c r="I32" t="e">
        <f t="shared" si="9"/>
        <v>#DIV/0!</v>
      </c>
      <c r="J32" t="e">
        <f t="shared" si="9"/>
        <v>#DIV/0!</v>
      </c>
      <c r="K32" t="e">
        <f t="shared" si="9"/>
        <v>#DIV/0!</v>
      </c>
      <c r="L32">
        <v>4</v>
      </c>
      <c r="M32" t="e">
        <f t="shared" si="10"/>
        <v>#DIV/0!</v>
      </c>
      <c r="N32" t="e">
        <f t="shared" si="8"/>
        <v>#DIV/0!</v>
      </c>
      <c r="O32" t="e">
        <f t="shared" si="8"/>
        <v>#DIV/0!</v>
      </c>
      <c r="P32" t="e">
        <f t="shared" si="11"/>
        <v>#DIV/0!</v>
      </c>
      <c r="Q32" t="e">
        <f t="shared" si="12"/>
        <v>#DIV/0!</v>
      </c>
    </row>
    <row r="33" spans="1:17">
      <c r="A33" s="65">
        <v>5</v>
      </c>
      <c r="B33" s="128">
        <v>7.333333333333333</v>
      </c>
      <c r="C33">
        <v>0</v>
      </c>
      <c r="D33">
        <v>0</v>
      </c>
      <c r="E33">
        <v>0</v>
      </c>
      <c r="I33" t="e">
        <f t="shared" si="9"/>
        <v>#DIV/0!</v>
      </c>
      <c r="J33" t="e">
        <f t="shared" si="9"/>
        <v>#DIV/0!</v>
      </c>
      <c r="K33" t="e">
        <f t="shared" si="9"/>
        <v>#DIV/0!</v>
      </c>
      <c r="L33">
        <v>4</v>
      </c>
      <c r="M33" t="e">
        <f t="shared" si="10"/>
        <v>#DIV/0!</v>
      </c>
      <c r="N33" t="e">
        <f t="shared" si="8"/>
        <v>#DIV/0!</v>
      </c>
      <c r="O33" t="e">
        <f t="shared" si="8"/>
        <v>#DIV/0!</v>
      </c>
      <c r="P33" t="e">
        <f t="shared" si="11"/>
        <v>#DIV/0!</v>
      </c>
      <c r="Q33" t="e">
        <f>AVERAGE(M33:O33)</f>
        <v>#DIV/0!</v>
      </c>
    </row>
    <row r="34" spans="1:17">
      <c r="A34" s="65">
        <v>6</v>
      </c>
      <c r="B34" s="128">
        <v>8.6666666666666661</v>
      </c>
      <c r="C34">
        <v>0</v>
      </c>
      <c r="D34">
        <v>0</v>
      </c>
      <c r="E34">
        <v>0</v>
      </c>
      <c r="I34" t="e">
        <f t="shared" si="9"/>
        <v>#DIV/0!</v>
      </c>
      <c r="J34" t="e">
        <f t="shared" si="9"/>
        <v>#DIV/0!</v>
      </c>
      <c r="K34" t="e">
        <f t="shared" si="9"/>
        <v>#DIV/0!</v>
      </c>
      <c r="L34">
        <v>4</v>
      </c>
      <c r="M34" t="e">
        <f t="shared" si="10"/>
        <v>#DIV/0!</v>
      </c>
      <c r="N34" t="e">
        <f t="shared" si="8"/>
        <v>#DIV/0!</v>
      </c>
      <c r="O34" t="e">
        <f t="shared" si="8"/>
        <v>#DIV/0!</v>
      </c>
      <c r="P34" t="e">
        <f t="shared" si="11"/>
        <v>#DIV/0!</v>
      </c>
      <c r="Q34" t="e">
        <f t="shared" ref="Q34:Q45" si="13">AVERAGE(M34:O34)</f>
        <v>#DIV/0!</v>
      </c>
    </row>
    <row r="35" spans="1:17">
      <c r="A35" s="65">
        <v>7</v>
      </c>
      <c r="B35" s="128">
        <v>10</v>
      </c>
      <c r="C35">
        <v>0</v>
      </c>
      <c r="D35">
        <v>0</v>
      </c>
      <c r="E35">
        <v>0</v>
      </c>
      <c r="I35" t="e">
        <f t="shared" si="9"/>
        <v>#DIV/0!</v>
      </c>
      <c r="J35" t="e">
        <f t="shared" si="9"/>
        <v>#DIV/0!</v>
      </c>
      <c r="K35" t="e">
        <f t="shared" si="9"/>
        <v>#DIV/0!</v>
      </c>
      <c r="L35">
        <v>4</v>
      </c>
      <c r="M35" t="e">
        <f t="shared" si="10"/>
        <v>#DIV/0!</v>
      </c>
      <c r="N35" t="e">
        <f t="shared" si="8"/>
        <v>#DIV/0!</v>
      </c>
      <c r="O35" t="e">
        <f t="shared" si="8"/>
        <v>#DIV/0!</v>
      </c>
      <c r="P35" t="e">
        <f t="shared" si="11"/>
        <v>#DIV/0!</v>
      </c>
      <c r="Q35" t="e">
        <f t="shared" si="13"/>
        <v>#DIV/0!</v>
      </c>
    </row>
    <row r="36" spans="1:17">
      <c r="A36" s="65">
        <v>8</v>
      </c>
      <c r="B36" s="128">
        <v>11.333333333333334</v>
      </c>
      <c r="C36">
        <v>0</v>
      </c>
      <c r="D36">
        <v>0</v>
      </c>
      <c r="E36">
        <v>0</v>
      </c>
      <c r="I36" t="e">
        <f t="shared" si="9"/>
        <v>#DIV/0!</v>
      </c>
      <c r="J36" t="e">
        <f t="shared" si="9"/>
        <v>#DIV/0!</v>
      </c>
      <c r="K36" t="e">
        <f t="shared" si="9"/>
        <v>#DIV/0!</v>
      </c>
      <c r="L36">
        <v>4</v>
      </c>
      <c r="M36" t="e">
        <f t="shared" si="10"/>
        <v>#DIV/0!</v>
      </c>
      <c r="N36" t="e">
        <f t="shared" si="8"/>
        <v>#DIV/0!</v>
      </c>
      <c r="O36" t="e">
        <f t="shared" si="8"/>
        <v>#DIV/0!</v>
      </c>
      <c r="P36" t="e">
        <f t="shared" si="11"/>
        <v>#DIV/0!</v>
      </c>
      <c r="Q36" t="e">
        <f t="shared" si="13"/>
        <v>#DIV/0!</v>
      </c>
    </row>
    <row r="37" spans="1:17">
      <c r="A37" s="65">
        <v>9</v>
      </c>
      <c r="B37" s="128">
        <v>12.666666666666666</v>
      </c>
      <c r="C37">
        <v>0</v>
      </c>
      <c r="D37">
        <v>0</v>
      </c>
      <c r="E37">
        <v>0</v>
      </c>
      <c r="I37" t="e">
        <f t="shared" si="9"/>
        <v>#DIV/0!</v>
      </c>
      <c r="J37" t="e">
        <f t="shared" si="9"/>
        <v>#DIV/0!</v>
      </c>
      <c r="K37" t="e">
        <f t="shared" si="9"/>
        <v>#DIV/0!</v>
      </c>
      <c r="L37">
        <v>4</v>
      </c>
      <c r="M37" t="e">
        <f t="shared" si="10"/>
        <v>#DIV/0!</v>
      </c>
      <c r="N37" t="e">
        <f t="shared" si="8"/>
        <v>#DIV/0!</v>
      </c>
      <c r="O37" t="e">
        <f t="shared" si="8"/>
        <v>#DIV/0!</v>
      </c>
      <c r="P37" t="e">
        <f t="shared" si="11"/>
        <v>#DIV/0!</v>
      </c>
      <c r="Q37" t="e">
        <f t="shared" si="13"/>
        <v>#DIV/0!</v>
      </c>
    </row>
    <row r="38" spans="1:17">
      <c r="A38" s="65">
        <v>10</v>
      </c>
      <c r="B38" s="128">
        <v>14</v>
      </c>
      <c r="C38">
        <v>0</v>
      </c>
      <c r="D38">
        <v>0</v>
      </c>
      <c r="E38">
        <v>0</v>
      </c>
      <c r="I38" t="e">
        <f t="shared" si="9"/>
        <v>#DIV/0!</v>
      </c>
      <c r="J38" t="e">
        <f t="shared" si="9"/>
        <v>#DIV/0!</v>
      </c>
      <c r="K38" t="e">
        <f t="shared" si="9"/>
        <v>#DIV/0!</v>
      </c>
      <c r="L38">
        <v>4</v>
      </c>
      <c r="M38" t="e">
        <f t="shared" si="10"/>
        <v>#DIV/0!</v>
      </c>
      <c r="N38" t="e">
        <f t="shared" si="8"/>
        <v>#DIV/0!</v>
      </c>
      <c r="O38" t="e">
        <f t="shared" si="8"/>
        <v>#DIV/0!</v>
      </c>
      <c r="P38" t="e">
        <f t="shared" si="11"/>
        <v>#DIV/0!</v>
      </c>
      <c r="Q38" t="e">
        <f t="shared" si="13"/>
        <v>#DIV/0!</v>
      </c>
    </row>
    <row r="39" spans="1:17">
      <c r="A39" s="65">
        <v>11</v>
      </c>
      <c r="B39" s="128">
        <v>15.333333333333334</v>
      </c>
      <c r="C39">
        <v>0</v>
      </c>
      <c r="D39">
        <v>0</v>
      </c>
      <c r="E39">
        <v>0</v>
      </c>
      <c r="I39" t="e">
        <f t="shared" si="9"/>
        <v>#DIV/0!</v>
      </c>
      <c r="J39" t="e">
        <f t="shared" si="9"/>
        <v>#DIV/0!</v>
      </c>
      <c r="K39" t="e">
        <f t="shared" si="9"/>
        <v>#DIV/0!</v>
      </c>
      <c r="L39">
        <v>4</v>
      </c>
      <c r="M39" t="e">
        <f t="shared" si="10"/>
        <v>#DIV/0!</v>
      </c>
      <c r="N39" t="e">
        <f t="shared" si="8"/>
        <v>#DIV/0!</v>
      </c>
      <c r="O39" t="e">
        <f t="shared" si="8"/>
        <v>#DIV/0!</v>
      </c>
      <c r="P39" t="e">
        <f t="shared" si="11"/>
        <v>#DIV/0!</v>
      </c>
      <c r="Q39" t="e">
        <f t="shared" si="13"/>
        <v>#DIV/0!</v>
      </c>
    </row>
    <row r="40" spans="1:17">
      <c r="A40" s="65">
        <v>12</v>
      </c>
      <c r="B40" s="128">
        <v>16.666666666666668</v>
      </c>
      <c r="C40">
        <v>0</v>
      </c>
      <c r="D40">
        <v>0</v>
      </c>
      <c r="E40">
        <v>0</v>
      </c>
      <c r="I40" t="e">
        <f t="shared" si="9"/>
        <v>#DIV/0!</v>
      </c>
      <c r="J40" t="e">
        <f t="shared" si="9"/>
        <v>#DIV/0!</v>
      </c>
      <c r="K40" t="e">
        <f t="shared" si="9"/>
        <v>#DIV/0!</v>
      </c>
      <c r="L40">
        <v>4</v>
      </c>
      <c r="M40" t="e">
        <f t="shared" si="10"/>
        <v>#DIV/0!</v>
      </c>
      <c r="N40" t="e">
        <f t="shared" si="8"/>
        <v>#DIV/0!</v>
      </c>
      <c r="O40" t="e">
        <f t="shared" si="8"/>
        <v>#DIV/0!</v>
      </c>
      <c r="P40" t="e">
        <f t="shared" si="11"/>
        <v>#DIV/0!</v>
      </c>
      <c r="Q40" t="e">
        <f t="shared" si="13"/>
        <v>#DIV/0!</v>
      </c>
    </row>
    <row r="41" spans="1:17">
      <c r="A41" s="65">
        <v>13</v>
      </c>
      <c r="B41" s="128">
        <v>18</v>
      </c>
      <c r="C41">
        <v>0</v>
      </c>
      <c r="D41">
        <v>0</v>
      </c>
      <c r="E41">
        <v>0</v>
      </c>
      <c r="I41" t="e">
        <f t="shared" si="9"/>
        <v>#DIV/0!</v>
      </c>
      <c r="J41" t="e">
        <f t="shared" si="9"/>
        <v>#DIV/0!</v>
      </c>
      <c r="K41" t="e">
        <f t="shared" si="9"/>
        <v>#DIV/0!</v>
      </c>
      <c r="L41">
        <v>4</v>
      </c>
      <c r="M41" t="e">
        <f t="shared" si="10"/>
        <v>#DIV/0!</v>
      </c>
      <c r="N41" t="e">
        <f t="shared" si="8"/>
        <v>#DIV/0!</v>
      </c>
      <c r="O41" t="e">
        <f t="shared" si="8"/>
        <v>#DIV/0!</v>
      </c>
      <c r="P41" t="e">
        <f t="shared" si="11"/>
        <v>#DIV/0!</v>
      </c>
      <c r="Q41" t="e">
        <f t="shared" si="13"/>
        <v>#DIV/0!</v>
      </c>
    </row>
    <row r="42" spans="1:17">
      <c r="A42" s="65">
        <v>14</v>
      </c>
      <c r="B42" s="128">
        <v>19.333333333333332</v>
      </c>
      <c r="C42">
        <v>0</v>
      </c>
      <c r="D42">
        <v>0</v>
      </c>
      <c r="E42">
        <v>0</v>
      </c>
      <c r="I42" t="e">
        <f t="shared" si="9"/>
        <v>#DIV/0!</v>
      </c>
      <c r="J42" t="e">
        <f t="shared" si="9"/>
        <v>#DIV/0!</v>
      </c>
      <c r="K42" t="e">
        <f t="shared" si="9"/>
        <v>#DIV/0!</v>
      </c>
      <c r="L42">
        <v>4</v>
      </c>
      <c r="M42" t="e">
        <f t="shared" si="10"/>
        <v>#DIV/0!</v>
      </c>
      <c r="N42" t="e">
        <f t="shared" si="8"/>
        <v>#DIV/0!</v>
      </c>
      <c r="O42" t="e">
        <f t="shared" si="8"/>
        <v>#DIV/0!</v>
      </c>
      <c r="P42" t="e">
        <f t="shared" si="11"/>
        <v>#DIV/0!</v>
      </c>
      <c r="Q42" t="e">
        <f t="shared" si="13"/>
        <v>#DIV/0!</v>
      </c>
    </row>
    <row r="43" spans="1:17">
      <c r="A43" s="65">
        <v>15</v>
      </c>
      <c r="B43" s="128">
        <v>24.166666666666668</v>
      </c>
      <c r="C43">
        <v>0</v>
      </c>
      <c r="D43">
        <v>0</v>
      </c>
      <c r="E43">
        <v>0</v>
      </c>
      <c r="I43" t="e">
        <f t="shared" si="9"/>
        <v>#DIV/0!</v>
      </c>
      <c r="J43" t="e">
        <f t="shared" si="9"/>
        <v>#DIV/0!</v>
      </c>
      <c r="K43" t="e">
        <f t="shared" si="9"/>
        <v>#DIV/0!</v>
      </c>
      <c r="L43">
        <v>4</v>
      </c>
      <c r="M43" t="e">
        <f t="shared" si="10"/>
        <v>#DIV/0!</v>
      </c>
      <c r="N43" t="e">
        <f t="shared" si="10"/>
        <v>#DIV/0!</v>
      </c>
      <c r="O43" t="e">
        <f t="shared" si="10"/>
        <v>#DIV/0!</v>
      </c>
      <c r="P43" t="e">
        <f t="shared" si="11"/>
        <v>#DIV/0!</v>
      </c>
      <c r="Q43" t="e">
        <f t="shared" si="13"/>
        <v>#DIV/0!</v>
      </c>
    </row>
    <row r="44" spans="1:17">
      <c r="A44" s="65">
        <v>16</v>
      </c>
      <c r="B44" s="128">
        <v>30.166666666666668</v>
      </c>
      <c r="C44">
        <v>0</v>
      </c>
      <c r="D44">
        <v>0</v>
      </c>
      <c r="E44">
        <v>0</v>
      </c>
      <c r="I44" t="e">
        <f t="shared" si="9"/>
        <v>#DIV/0!</v>
      </c>
      <c r="J44" t="e">
        <f t="shared" si="9"/>
        <v>#DIV/0!</v>
      </c>
      <c r="K44" t="e">
        <f t="shared" si="9"/>
        <v>#DIV/0!</v>
      </c>
      <c r="L44">
        <v>4</v>
      </c>
      <c r="M44" t="e">
        <f t="shared" ref="M44:O45" si="14">((I44-$B$47)/($B$46))*L44</f>
        <v>#DIV/0!</v>
      </c>
      <c r="N44" t="e">
        <f t="shared" si="14"/>
        <v>#DIV/0!</v>
      </c>
      <c r="O44" t="e">
        <f t="shared" si="14"/>
        <v>#DIV/0!</v>
      </c>
      <c r="P44" t="e">
        <f t="shared" si="11"/>
        <v>#DIV/0!</v>
      </c>
      <c r="Q44" t="e">
        <f t="shared" si="13"/>
        <v>#DIV/0!</v>
      </c>
    </row>
    <row r="45" spans="1:17">
      <c r="A45" s="65">
        <v>17</v>
      </c>
      <c r="B45" s="128">
        <v>48.166666666666664</v>
      </c>
      <c r="C45">
        <v>0</v>
      </c>
      <c r="D45">
        <v>0</v>
      </c>
      <c r="E45">
        <v>0</v>
      </c>
      <c r="I45" t="e">
        <f>C45/F45</f>
        <v>#DIV/0!</v>
      </c>
      <c r="J45" t="e">
        <f t="shared" ref="J45:K45" si="15">D45/G45</f>
        <v>#DIV/0!</v>
      </c>
      <c r="K45" t="e">
        <f t="shared" si="15"/>
        <v>#DIV/0!</v>
      </c>
      <c r="L45">
        <v>4</v>
      </c>
      <c r="M45" t="e">
        <f t="shared" si="14"/>
        <v>#DIV/0!</v>
      </c>
      <c r="N45" t="e">
        <f t="shared" si="14"/>
        <v>#DIV/0!</v>
      </c>
      <c r="O45" t="e">
        <f t="shared" si="14"/>
        <v>#DIV/0!</v>
      </c>
      <c r="P45" t="e">
        <f>STDEV(M45:O45)</f>
        <v>#DIV/0!</v>
      </c>
      <c r="Q45" t="e">
        <f t="shared" si="13"/>
        <v>#DIV/0!</v>
      </c>
    </row>
    <row r="46" spans="1:17">
      <c r="A46" t="s">
        <v>278</v>
      </c>
      <c r="B46" s="130">
        <f>'Calibration acetic acid'!J2</f>
        <v>0</v>
      </c>
      <c r="C46" t="s">
        <v>279</v>
      </c>
    </row>
    <row r="47" spans="1:17">
      <c r="A47" t="s">
        <v>218</v>
      </c>
      <c r="B47" s="130">
        <f>'Calibration acetic acid'!K2</f>
        <v>0</v>
      </c>
      <c r="C47" t="s">
        <v>280</v>
      </c>
    </row>
    <row r="49" spans="1:17" ht="15" thickBot="1">
      <c r="A49" t="s">
        <v>67</v>
      </c>
      <c r="C49" t="s">
        <v>61</v>
      </c>
      <c r="D49">
        <v>74.08</v>
      </c>
      <c r="E49" t="s">
        <v>39</v>
      </c>
      <c r="K49" s="131"/>
      <c r="M49" t="s">
        <v>262</v>
      </c>
      <c r="O49" t="s">
        <v>263</v>
      </c>
    </row>
    <row r="50" spans="1:17" ht="15" thickTop="1">
      <c r="A50" s="30" t="s">
        <v>4</v>
      </c>
      <c r="B50" s="30" t="s">
        <v>5</v>
      </c>
      <c r="C50" s="30" t="s">
        <v>264</v>
      </c>
      <c r="D50" s="30" t="s">
        <v>265</v>
      </c>
      <c r="E50" s="30" t="s">
        <v>266</v>
      </c>
      <c r="F50" s="30" t="s">
        <v>267</v>
      </c>
      <c r="G50" s="30" t="s">
        <v>268</v>
      </c>
      <c r="H50" s="30" t="s">
        <v>269</v>
      </c>
      <c r="I50" s="30" t="s">
        <v>270</v>
      </c>
      <c r="J50" s="30" t="s">
        <v>271</v>
      </c>
      <c r="K50" s="30" t="s">
        <v>272</v>
      </c>
      <c r="L50" s="30" t="s">
        <v>19</v>
      </c>
      <c r="M50" s="30" t="s">
        <v>273</v>
      </c>
      <c r="N50" s="30" t="s">
        <v>274</v>
      </c>
      <c r="O50" s="30" t="s">
        <v>275</v>
      </c>
      <c r="P50" s="30" t="s">
        <v>276</v>
      </c>
      <c r="Q50" s="30" t="s">
        <v>277</v>
      </c>
    </row>
    <row r="51" spans="1:17">
      <c r="A51" s="64">
        <v>0</v>
      </c>
      <c r="B51" s="127">
        <v>-0.16666666666666666</v>
      </c>
      <c r="C51">
        <v>0</v>
      </c>
      <c r="D51">
        <v>0</v>
      </c>
      <c r="E51">
        <v>0</v>
      </c>
      <c r="I51" t="e">
        <f>C51/F51</f>
        <v>#DIV/0!</v>
      </c>
      <c r="J51" t="e">
        <f>D51/G51</f>
        <v>#DIV/0!</v>
      </c>
      <c r="K51" t="e">
        <f>E51/H51</f>
        <v>#DIV/0!</v>
      </c>
      <c r="L51">
        <v>4</v>
      </c>
      <c r="M51" t="e">
        <f>((I51-$B$71)/($B$70))*L51</f>
        <v>#DIV/0!</v>
      </c>
      <c r="N51" t="e">
        <f t="shared" ref="N51:O66" si="16">((J51-$B$71)/($B$70))*M51</f>
        <v>#DIV/0!</v>
      </c>
      <c r="O51" t="e">
        <f t="shared" si="16"/>
        <v>#DIV/0!</v>
      </c>
      <c r="P51" t="e">
        <f>STDEV(M51:O51)</f>
        <v>#DIV/0!</v>
      </c>
      <c r="Q51" t="e">
        <f>AVERAGE(M51:O51)</f>
        <v>#DIV/0!</v>
      </c>
    </row>
    <row r="52" spans="1:17">
      <c r="A52" s="65">
        <v>0</v>
      </c>
      <c r="B52" s="128">
        <v>0.16666666666666666</v>
      </c>
      <c r="C52">
        <v>0</v>
      </c>
      <c r="D52">
        <v>0</v>
      </c>
      <c r="E52">
        <v>0</v>
      </c>
      <c r="I52" t="e">
        <f t="shared" ref="I52:K68" si="17">C52/F52</f>
        <v>#DIV/0!</v>
      </c>
      <c r="J52" t="e">
        <f t="shared" si="17"/>
        <v>#DIV/0!</v>
      </c>
      <c r="K52" t="e">
        <f t="shared" si="17"/>
        <v>#DIV/0!</v>
      </c>
      <c r="L52">
        <v>4</v>
      </c>
      <c r="M52" t="e">
        <f t="shared" ref="M52:O67" si="18">((I52-$B$71)/($B$70))*L52</f>
        <v>#DIV/0!</v>
      </c>
      <c r="N52" t="e">
        <f t="shared" si="16"/>
        <v>#DIV/0!</v>
      </c>
      <c r="O52" t="e">
        <f t="shared" si="16"/>
        <v>#DIV/0!</v>
      </c>
      <c r="P52" t="e">
        <f t="shared" ref="P52:P68" si="19">STDEV(M52:O52)</f>
        <v>#DIV/0!</v>
      </c>
      <c r="Q52" t="e">
        <f t="shared" ref="Q52:Q56" si="20">AVERAGE(M52:O52)</f>
        <v>#DIV/0!</v>
      </c>
    </row>
    <row r="53" spans="1:17">
      <c r="A53" s="65">
        <v>1</v>
      </c>
      <c r="B53" s="128">
        <v>2</v>
      </c>
      <c r="C53">
        <v>0</v>
      </c>
      <c r="D53">
        <v>0</v>
      </c>
      <c r="E53">
        <v>0</v>
      </c>
      <c r="I53" t="e">
        <f t="shared" si="17"/>
        <v>#DIV/0!</v>
      </c>
      <c r="J53" t="e">
        <f t="shared" si="17"/>
        <v>#DIV/0!</v>
      </c>
      <c r="K53" t="e">
        <f t="shared" si="17"/>
        <v>#DIV/0!</v>
      </c>
      <c r="L53">
        <v>4</v>
      </c>
      <c r="M53" t="e">
        <f t="shared" si="18"/>
        <v>#DIV/0!</v>
      </c>
      <c r="N53" t="e">
        <f t="shared" si="16"/>
        <v>#DIV/0!</v>
      </c>
      <c r="O53" t="e">
        <f t="shared" si="16"/>
        <v>#DIV/0!</v>
      </c>
      <c r="P53" t="e">
        <f t="shared" si="19"/>
        <v>#DIV/0!</v>
      </c>
      <c r="Q53" t="e">
        <f t="shared" si="20"/>
        <v>#DIV/0!</v>
      </c>
    </row>
    <row r="54" spans="1:17">
      <c r="A54" s="65">
        <v>2</v>
      </c>
      <c r="B54" s="128">
        <v>3.3333333333333335</v>
      </c>
      <c r="C54">
        <v>0</v>
      </c>
      <c r="D54">
        <v>0</v>
      </c>
      <c r="E54">
        <v>0</v>
      </c>
      <c r="I54" t="e">
        <f t="shared" si="17"/>
        <v>#DIV/0!</v>
      </c>
      <c r="J54" t="e">
        <f t="shared" si="17"/>
        <v>#DIV/0!</v>
      </c>
      <c r="K54" t="e">
        <f t="shared" si="17"/>
        <v>#DIV/0!</v>
      </c>
      <c r="L54">
        <v>4</v>
      </c>
      <c r="M54" t="e">
        <f t="shared" si="18"/>
        <v>#DIV/0!</v>
      </c>
      <c r="N54" t="e">
        <f t="shared" si="16"/>
        <v>#DIV/0!</v>
      </c>
      <c r="O54" t="e">
        <f t="shared" si="16"/>
        <v>#DIV/0!</v>
      </c>
      <c r="P54" t="e">
        <f t="shared" si="19"/>
        <v>#DIV/0!</v>
      </c>
      <c r="Q54" t="e">
        <f t="shared" si="20"/>
        <v>#DIV/0!</v>
      </c>
    </row>
    <row r="55" spans="1:17">
      <c r="A55" s="65">
        <v>3</v>
      </c>
      <c r="B55" s="128">
        <v>4.666666666666667</v>
      </c>
      <c r="C55">
        <v>0</v>
      </c>
      <c r="D55">
        <v>0</v>
      </c>
      <c r="E55">
        <v>0</v>
      </c>
      <c r="I55" t="e">
        <f t="shared" si="17"/>
        <v>#DIV/0!</v>
      </c>
      <c r="J55" t="e">
        <f t="shared" si="17"/>
        <v>#DIV/0!</v>
      </c>
      <c r="K55" t="e">
        <f t="shared" si="17"/>
        <v>#DIV/0!</v>
      </c>
      <c r="L55">
        <v>4</v>
      </c>
      <c r="M55" t="e">
        <f t="shared" si="18"/>
        <v>#DIV/0!</v>
      </c>
      <c r="N55" t="e">
        <f t="shared" si="16"/>
        <v>#DIV/0!</v>
      </c>
      <c r="O55" t="e">
        <f t="shared" si="16"/>
        <v>#DIV/0!</v>
      </c>
      <c r="P55" t="e">
        <f t="shared" si="19"/>
        <v>#DIV/0!</v>
      </c>
      <c r="Q55" t="e">
        <f t="shared" si="20"/>
        <v>#DIV/0!</v>
      </c>
    </row>
    <row r="56" spans="1:17">
      <c r="A56" s="65">
        <v>4</v>
      </c>
      <c r="B56" s="128">
        <v>6</v>
      </c>
      <c r="C56">
        <v>0</v>
      </c>
      <c r="D56">
        <v>0</v>
      </c>
      <c r="E56">
        <v>0</v>
      </c>
      <c r="I56" t="e">
        <f t="shared" si="17"/>
        <v>#DIV/0!</v>
      </c>
      <c r="J56" t="e">
        <f t="shared" si="17"/>
        <v>#DIV/0!</v>
      </c>
      <c r="K56" t="e">
        <f t="shared" si="17"/>
        <v>#DIV/0!</v>
      </c>
      <c r="L56">
        <v>4</v>
      </c>
      <c r="M56" t="e">
        <f t="shared" si="18"/>
        <v>#DIV/0!</v>
      </c>
      <c r="N56" t="e">
        <f t="shared" si="16"/>
        <v>#DIV/0!</v>
      </c>
      <c r="O56" t="e">
        <f t="shared" si="16"/>
        <v>#DIV/0!</v>
      </c>
      <c r="P56" t="e">
        <f t="shared" si="19"/>
        <v>#DIV/0!</v>
      </c>
      <c r="Q56" t="e">
        <f t="shared" si="20"/>
        <v>#DIV/0!</v>
      </c>
    </row>
    <row r="57" spans="1:17">
      <c r="A57" s="65">
        <v>5</v>
      </c>
      <c r="B57" s="128">
        <v>7.333333333333333</v>
      </c>
      <c r="C57">
        <v>0</v>
      </c>
      <c r="D57">
        <v>0</v>
      </c>
      <c r="E57">
        <v>0</v>
      </c>
      <c r="I57" t="e">
        <f t="shared" si="17"/>
        <v>#DIV/0!</v>
      </c>
      <c r="J57" t="e">
        <f t="shared" si="17"/>
        <v>#DIV/0!</v>
      </c>
      <c r="K57" t="e">
        <f t="shared" si="17"/>
        <v>#DIV/0!</v>
      </c>
      <c r="L57">
        <v>4</v>
      </c>
      <c r="M57" t="e">
        <f t="shared" si="18"/>
        <v>#DIV/0!</v>
      </c>
      <c r="N57" t="e">
        <f t="shared" si="16"/>
        <v>#DIV/0!</v>
      </c>
      <c r="O57" t="e">
        <f t="shared" si="16"/>
        <v>#DIV/0!</v>
      </c>
      <c r="P57" t="e">
        <f t="shared" si="19"/>
        <v>#DIV/0!</v>
      </c>
      <c r="Q57" t="e">
        <f>AVERAGE(M57:O57)</f>
        <v>#DIV/0!</v>
      </c>
    </row>
    <row r="58" spans="1:17">
      <c r="A58" s="65">
        <v>6</v>
      </c>
      <c r="B58" s="128">
        <v>8.6666666666666661</v>
      </c>
      <c r="C58">
        <v>0</v>
      </c>
      <c r="D58">
        <v>0</v>
      </c>
      <c r="E58">
        <v>0</v>
      </c>
      <c r="I58" t="e">
        <f t="shared" si="17"/>
        <v>#DIV/0!</v>
      </c>
      <c r="J58" t="e">
        <f t="shared" si="17"/>
        <v>#DIV/0!</v>
      </c>
      <c r="K58" t="e">
        <f t="shared" si="17"/>
        <v>#DIV/0!</v>
      </c>
      <c r="L58">
        <v>4</v>
      </c>
      <c r="M58" t="e">
        <f t="shared" si="18"/>
        <v>#DIV/0!</v>
      </c>
      <c r="N58" t="e">
        <f t="shared" si="16"/>
        <v>#DIV/0!</v>
      </c>
      <c r="O58" t="e">
        <f t="shared" si="16"/>
        <v>#DIV/0!</v>
      </c>
      <c r="P58" t="e">
        <f t="shared" si="19"/>
        <v>#DIV/0!</v>
      </c>
      <c r="Q58" t="e">
        <f t="shared" ref="Q58:Q68" si="21">AVERAGE(M58:O58)</f>
        <v>#DIV/0!</v>
      </c>
    </row>
    <row r="59" spans="1:17">
      <c r="A59" s="65">
        <v>7</v>
      </c>
      <c r="B59" s="128">
        <v>10</v>
      </c>
      <c r="C59">
        <v>0</v>
      </c>
      <c r="D59">
        <v>0</v>
      </c>
      <c r="E59">
        <v>0</v>
      </c>
      <c r="I59" t="e">
        <f t="shared" si="17"/>
        <v>#DIV/0!</v>
      </c>
      <c r="J59" t="e">
        <f t="shared" si="17"/>
        <v>#DIV/0!</v>
      </c>
      <c r="K59" t="e">
        <f t="shared" si="17"/>
        <v>#DIV/0!</v>
      </c>
      <c r="L59">
        <v>4</v>
      </c>
      <c r="M59" t="e">
        <f t="shared" si="18"/>
        <v>#DIV/0!</v>
      </c>
      <c r="N59" t="e">
        <f t="shared" si="16"/>
        <v>#DIV/0!</v>
      </c>
      <c r="O59" t="e">
        <f t="shared" si="16"/>
        <v>#DIV/0!</v>
      </c>
      <c r="P59" t="e">
        <f t="shared" si="19"/>
        <v>#DIV/0!</v>
      </c>
      <c r="Q59" t="e">
        <f t="shared" si="21"/>
        <v>#DIV/0!</v>
      </c>
    </row>
    <row r="60" spans="1:17">
      <c r="A60" s="65">
        <v>8</v>
      </c>
      <c r="B60" s="128">
        <v>11.333333333333334</v>
      </c>
      <c r="C60">
        <v>0</v>
      </c>
      <c r="D60">
        <v>0</v>
      </c>
      <c r="E60">
        <v>0</v>
      </c>
      <c r="I60" t="e">
        <f t="shared" si="17"/>
        <v>#DIV/0!</v>
      </c>
      <c r="J60" t="e">
        <f t="shared" si="17"/>
        <v>#DIV/0!</v>
      </c>
      <c r="K60" t="e">
        <f t="shared" si="17"/>
        <v>#DIV/0!</v>
      </c>
      <c r="L60">
        <v>4</v>
      </c>
      <c r="M60" t="e">
        <f t="shared" si="18"/>
        <v>#DIV/0!</v>
      </c>
      <c r="N60" t="e">
        <f t="shared" si="16"/>
        <v>#DIV/0!</v>
      </c>
      <c r="O60" t="e">
        <f t="shared" si="16"/>
        <v>#DIV/0!</v>
      </c>
      <c r="P60" t="e">
        <f t="shared" si="19"/>
        <v>#DIV/0!</v>
      </c>
      <c r="Q60" t="e">
        <f t="shared" si="21"/>
        <v>#DIV/0!</v>
      </c>
    </row>
    <row r="61" spans="1:17">
      <c r="A61" s="65">
        <v>9</v>
      </c>
      <c r="B61" s="128">
        <v>12.666666666666666</v>
      </c>
      <c r="C61">
        <v>0</v>
      </c>
      <c r="D61">
        <v>0</v>
      </c>
      <c r="E61">
        <v>0</v>
      </c>
      <c r="I61" t="e">
        <f t="shared" si="17"/>
        <v>#DIV/0!</v>
      </c>
      <c r="J61" t="e">
        <f t="shared" si="17"/>
        <v>#DIV/0!</v>
      </c>
      <c r="K61" t="e">
        <f t="shared" si="17"/>
        <v>#DIV/0!</v>
      </c>
      <c r="L61">
        <v>4</v>
      </c>
      <c r="M61" t="e">
        <f t="shared" si="18"/>
        <v>#DIV/0!</v>
      </c>
      <c r="N61" t="e">
        <f t="shared" si="16"/>
        <v>#DIV/0!</v>
      </c>
      <c r="O61" t="e">
        <f t="shared" si="16"/>
        <v>#DIV/0!</v>
      </c>
      <c r="P61" t="e">
        <f t="shared" si="19"/>
        <v>#DIV/0!</v>
      </c>
      <c r="Q61" t="e">
        <f t="shared" si="21"/>
        <v>#DIV/0!</v>
      </c>
    </row>
    <row r="62" spans="1:17">
      <c r="A62" s="65">
        <v>10</v>
      </c>
      <c r="B62" s="128">
        <v>14</v>
      </c>
      <c r="C62">
        <v>0</v>
      </c>
      <c r="D62">
        <v>0</v>
      </c>
      <c r="E62">
        <v>0</v>
      </c>
      <c r="I62" t="e">
        <f t="shared" si="17"/>
        <v>#DIV/0!</v>
      </c>
      <c r="J62" t="e">
        <f t="shared" si="17"/>
        <v>#DIV/0!</v>
      </c>
      <c r="K62" t="e">
        <f t="shared" si="17"/>
        <v>#DIV/0!</v>
      </c>
      <c r="L62">
        <v>4</v>
      </c>
      <c r="M62" t="e">
        <f t="shared" si="18"/>
        <v>#DIV/0!</v>
      </c>
      <c r="N62" t="e">
        <f t="shared" si="16"/>
        <v>#DIV/0!</v>
      </c>
      <c r="O62" t="e">
        <f t="shared" si="16"/>
        <v>#DIV/0!</v>
      </c>
      <c r="P62" t="e">
        <f t="shared" si="19"/>
        <v>#DIV/0!</v>
      </c>
      <c r="Q62" t="e">
        <f t="shared" si="21"/>
        <v>#DIV/0!</v>
      </c>
    </row>
    <row r="63" spans="1:17">
      <c r="A63" s="65">
        <v>11</v>
      </c>
      <c r="B63" s="128">
        <v>15.333333333333334</v>
      </c>
      <c r="C63">
        <v>0</v>
      </c>
      <c r="D63">
        <v>0</v>
      </c>
      <c r="E63">
        <v>0</v>
      </c>
      <c r="I63" t="e">
        <f t="shared" si="17"/>
        <v>#DIV/0!</v>
      </c>
      <c r="J63" t="e">
        <f t="shared" si="17"/>
        <v>#DIV/0!</v>
      </c>
      <c r="K63" t="e">
        <f t="shared" si="17"/>
        <v>#DIV/0!</v>
      </c>
      <c r="L63">
        <v>4</v>
      </c>
      <c r="M63" t="e">
        <f t="shared" si="18"/>
        <v>#DIV/0!</v>
      </c>
      <c r="N63" t="e">
        <f t="shared" si="16"/>
        <v>#DIV/0!</v>
      </c>
      <c r="O63" t="e">
        <f t="shared" si="16"/>
        <v>#DIV/0!</v>
      </c>
      <c r="P63" t="e">
        <f t="shared" si="19"/>
        <v>#DIV/0!</v>
      </c>
      <c r="Q63" t="e">
        <f t="shared" si="21"/>
        <v>#DIV/0!</v>
      </c>
    </row>
    <row r="64" spans="1:17">
      <c r="A64" s="65">
        <v>12</v>
      </c>
      <c r="B64" s="128">
        <v>16.666666666666668</v>
      </c>
      <c r="C64">
        <v>0</v>
      </c>
      <c r="D64">
        <v>0</v>
      </c>
      <c r="E64">
        <v>0</v>
      </c>
      <c r="I64" t="e">
        <f t="shared" si="17"/>
        <v>#DIV/0!</v>
      </c>
      <c r="J64" t="e">
        <f t="shared" si="17"/>
        <v>#DIV/0!</v>
      </c>
      <c r="K64" t="e">
        <f t="shared" si="17"/>
        <v>#DIV/0!</v>
      </c>
      <c r="L64">
        <v>4</v>
      </c>
      <c r="M64" t="e">
        <f t="shared" si="18"/>
        <v>#DIV/0!</v>
      </c>
      <c r="N64" t="e">
        <f t="shared" si="16"/>
        <v>#DIV/0!</v>
      </c>
      <c r="O64" t="e">
        <f t="shared" si="16"/>
        <v>#DIV/0!</v>
      </c>
      <c r="P64" t="e">
        <f t="shared" si="19"/>
        <v>#DIV/0!</v>
      </c>
      <c r="Q64" t="e">
        <f t="shared" si="21"/>
        <v>#DIV/0!</v>
      </c>
    </row>
    <row r="65" spans="1:17">
      <c r="A65" s="65">
        <v>13</v>
      </c>
      <c r="B65" s="128">
        <v>18</v>
      </c>
      <c r="C65">
        <v>0</v>
      </c>
      <c r="D65">
        <v>0</v>
      </c>
      <c r="E65">
        <v>0</v>
      </c>
      <c r="I65" t="e">
        <f t="shared" si="17"/>
        <v>#DIV/0!</v>
      </c>
      <c r="J65" t="e">
        <f t="shared" si="17"/>
        <v>#DIV/0!</v>
      </c>
      <c r="K65" t="e">
        <f>E65/H65</f>
        <v>#DIV/0!</v>
      </c>
      <c r="L65">
        <v>4</v>
      </c>
      <c r="M65" t="e">
        <f t="shared" si="18"/>
        <v>#DIV/0!</v>
      </c>
      <c r="N65" t="e">
        <f t="shared" si="16"/>
        <v>#DIV/0!</v>
      </c>
      <c r="O65" t="e">
        <f t="shared" si="16"/>
        <v>#DIV/0!</v>
      </c>
      <c r="P65" t="e">
        <f t="shared" si="19"/>
        <v>#DIV/0!</v>
      </c>
      <c r="Q65" t="e">
        <f t="shared" si="21"/>
        <v>#DIV/0!</v>
      </c>
    </row>
    <row r="66" spans="1:17">
      <c r="A66" s="65">
        <v>14</v>
      </c>
      <c r="B66" s="128">
        <v>19.333333333333332</v>
      </c>
      <c r="C66">
        <v>0</v>
      </c>
      <c r="D66">
        <v>0</v>
      </c>
      <c r="E66">
        <v>0</v>
      </c>
      <c r="I66" t="e">
        <f t="shared" si="17"/>
        <v>#DIV/0!</v>
      </c>
      <c r="J66" t="e">
        <f t="shared" si="17"/>
        <v>#DIV/0!</v>
      </c>
      <c r="K66" t="e">
        <f t="shared" si="17"/>
        <v>#DIV/0!</v>
      </c>
      <c r="L66">
        <v>4</v>
      </c>
      <c r="M66" t="e">
        <f t="shared" si="18"/>
        <v>#DIV/0!</v>
      </c>
      <c r="N66" t="e">
        <f t="shared" si="16"/>
        <v>#DIV/0!</v>
      </c>
      <c r="O66" t="e">
        <f t="shared" si="16"/>
        <v>#DIV/0!</v>
      </c>
      <c r="P66" t="e">
        <f t="shared" si="19"/>
        <v>#DIV/0!</v>
      </c>
      <c r="Q66" t="e">
        <f t="shared" si="21"/>
        <v>#DIV/0!</v>
      </c>
    </row>
    <row r="67" spans="1:17">
      <c r="A67" s="65">
        <v>15</v>
      </c>
      <c r="B67" s="128">
        <v>24.166666666666668</v>
      </c>
      <c r="C67">
        <v>0</v>
      </c>
      <c r="D67">
        <v>0</v>
      </c>
      <c r="E67">
        <v>0</v>
      </c>
      <c r="I67" t="e">
        <f t="shared" si="17"/>
        <v>#DIV/0!</v>
      </c>
      <c r="J67" t="e">
        <f t="shared" si="17"/>
        <v>#DIV/0!</v>
      </c>
      <c r="K67" t="e">
        <f t="shared" si="17"/>
        <v>#DIV/0!</v>
      </c>
      <c r="L67">
        <v>4</v>
      </c>
      <c r="M67" t="e">
        <f t="shared" si="18"/>
        <v>#DIV/0!</v>
      </c>
      <c r="N67" t="e">
        <f t="shared" si="18"/>
        <v>#DIV/0!</v>
      </c>
      <c r="O67" t="e">
        <f t="shared" si="18"/>
        <v>#DIV/0!</v>
      </c>
      <c r="P67" t="e">
        <f t="shared" si="19"/>
        <v>#DIV/0!</v>
      </c>
      <c r="Q67" t="e">
        <f t="shared" si="21"/>
        <v>#DIV/0!</v>
      </c>
    </row>
    <row r="68" spans="1:17">
      <c r="A68" s="65">
        <v>16</v>
      </c>
      <c r="B68" s="128">
        <v>30.166666666666668</v>
      </c>
      <c r="C68">
        <v>0</v>
      </c>
      <c r="D68">
        <v>0</v>
      </c>
      <c r="E68">
        <v>0</v>
      </c>
      <c r="I68" t="e">
        <f t="shared" si="17"/>
        <v>#DIV/0!</v>
      </c>
      <c r="J68" t="e">
        <f t="shared" si="17"/>
        <v>#DIV/0!</v>
      </c>
      <c r="K68" t="e">
        <f t="shared" si="17"/>
        <v>#DIV/0!</v>
      </c>
      <c r="L68">
        <v>4</v>
      </c>
      <c r="M68" t="e">
        <f t="shared" ref="M68:O69" si="22">((I68-$B$71)/($B$70))*L68</f>
        <v>#DIV/0!</v>
      </c>
      <c r="N68" t="e">
        <f t="shared" si="22"/>
        <v>#DIV/0!</v>
      </c>
      <c r="O68" t="e">
        <f t="shared" si="22"/>
        <v>#DIV/0!</v>
      </c>
      <c r="P68" t="e">
        <f t="shared" si="19"/>
        <v>#DIV/0!</v>
      </c>
      <c r="Q68" t="e">
        <f t="shared" si="21"/>
        <v>#DIV/0!</v>
      </c>
    </row>
    <row r="69" spans="1:17">
      <c r="A69" s="65">
        <v>17</v>
      </c>
      <c r="B69" s="128">
        <v>48.166666666666664</v>
      </c>
      <c r="C69">
        <v>0</v>
      </c>
      <c r="D69">
        <v>0</v>
      </c>
      <c r="E69">
        <v>0</v>
      </c>
      <c r="I69" t="e">
        <f>C69/F69</f>
        <v>#DIV/0!</v>
      </c>
      <c r="J69" t="e">
        <f t="shared" ref="J69:K69" si="23">D69/G69</f>
        <v>#DIV/0!</v>
      </c>
      <c r="K69" t="e">
        <f t="shared" si="23"/>
        <v>#DIV/0!</v>
      </c>
      <c r="L69">
        <v>4</v>
      </c>
      <c r="M69" t="e">
        <f t="shared" si="22"/>
        <v>#DIV/0!</v>
      </c>
      <c r="N69" t="e">
        <f t="shared" si="22"/>
        <v>#DIV/0!</v>
      </c>
      <c r="O69" t="e">
        <f>((K69-$B$71)/($B$70))*N69</f>
        <v>#DIV/0!</v>
      </c>
      <c r="P69" t="e">
        <f>STDEV(M69:O69)</f>
        <v>#DIV/0!</v>
      </c>
      <c r="Q69" t="e">
        <f>AVERAGE(M69:O69)</f>
        <v>#DIV/0!</v>
      </c>
    </row>
    <row r="70" spans="1:17">
      <c r="A70" t="s">
        <v>278</v>
      </c>
      <c r="B70" s="130">
        <f>'Calibration propionic acid'!J2</f>
        <v>0</v>
      </c>
      <c r="C70" t="s">
        <v>279</v>
      </c>
    </row>
    <row r="71" spans="1:17">
      <c r="A71" t="s">
        <v>218</v>
      </c>
      <c r="B71" s="130">
        <f>'Calibration propionic acid'!K2</f>
        <v>0</v>
      </c>
      <c r="C71" t="s">
        <v>280</v>
      </c>
    </row>
    <row r="73" spans="1:17" ht="15" thickBot="1">
      <c r="A73" t="s">
        <v>66</v>
      </c>
      <c r="C73" t="s">
        <v>61</v>
      </c>
      <c r="D73">
        <v>88.11</v>
      </c>
      <c r="E73" t="s">
        <v>39</v>
      </c>
      <c r="K73" s="131"/>
      <c r="M73" t="s">
        <v>262</v>
      </c>
      <c r="O73" t="s">
        <v>263</v>
      </c>
    </row>
    <row r="74" spans="1:17" ht="15" thickTop="1">
      <c r="A74" s="30" t="s">
        <v>4</v>
      </c>
      <c r="B74" s="30" t="s">
        <v>5</v>
      </c>
      <c r="C74" s="30" t="s">
        <v>264</v>
      </c>
      <c r="D74" s="30" t="s">
        <v>265</v>
      </c>
      <c r="E74" s="30" t="s">
        <v>266</v>
      </c>
      <c r="F74" s="30" t="s">
        <v>267</v>
      </c>
      <c r="G74" s="30" t="s">
        <v>268</v>
      </c>
      <c r="H74" s="30" t="s">
        <v>269</v>
      </c>
      <c r="I74" s="30" t="s">
        <v>270</v>
      </c>
      <c r="J74" s="30" t="s">
        <v>271</v>
      </c>
      <c r="K74" s="30" t="s">
        <v>272</v>
      </c>
      <c r="L74" s="30" t="s">
        <v>19</v>
      </c>
      <c r="M74" s="30" t="s">
        <v>273</v>
      </c>
      <c r="N74" s="30" t="s">
        <v>274</v>
      </c>
      <c r="O74" s="30" t="s">
        <v>275</v>
      </c>
      <c r="P74" s="30" t="s">
        <v>276</v>
      </c>
      <c r="Q74" s="30" t="s">
        <v>277</v>
      </c>
    </row>
    <row r="75" spans="1:17">
      <c r="A75" s="64">
        <v>0</v>
      </c>
      <c r="B75" s="127">
        <v>-0.16666666666666666</v>
      </c>
      <c r="C75">
        <v>0</v>
      </c>
      <c r="D75">
        <v>0</v>
      </c>
      <c r="E75">
        <v>0</v>
      </c>
      <c r="I75" t="e">
        <f>C75/F75</f>
        <v>#DIV/0!</v>
      </c>
      <c r="J75" t="e">
        <f>D75/G75</f>
        <v>#DIV/0!</v>
      </c>
      <c r="K75" t="e">
        <f>E75/H75</f>
        <v>#DIV/0!</v>
      </c>
      <c r="L75">
        <v>4</v>
      </c>
      <c r="M75" t="e">
        <f>((I75-$B$95)/($B$94))*L75</f>
        <v>#DIV/0!</v>
      </c>
      <c r="N75" t="e">
        <f t="shared" ref="N75:O90" si="24">((J75-$B$95)/($B$94))*M75</f>
        <v>#DIV/0!</v>
      </c>
      <c r="O75" t="e">
        <f t="shared" si="24"/>
        <v>#DIV/0!</v>
      </c>
      <c r="P75" t="e">
        <f>STDEV(M75:O75)</f>
        <v>#DIV/0!</v>
      </c>
      <c r="Q75" t="e">
        <f>AVERAGE(M75:O75)</f>
        <v>#DIV/0!</v>
      </c>
    </row>
    <row r="76" spans="1:17">
      <c r="A76" s="65">
        <v>0</v>
      </c>
      <c r="B76" s="128">
        <v>0.16666666666666666</v>
      </c>
      <c r="C76">
        <v>0</v>
      </c>
      <c r="D76">
        <v>0</v>
      </c>
      <c r="E76">
        <v>0</v>
      </c>
      <c r="I76" t="e">
        <f t="shared" ref="I76:K92" si="25">C76/F76</f>
        <v>#DIV/0!</v>
      </c>
      <c r="J76" t="e">
        <f t="shared" si="25"/>
        <v>#DIV/0!</v>
      </c>
      <c r="K76" t="e">
        <f t="shared" si="25"/>
        <v>#DIV/0!</v>
      </c>
      <c r="L76">
        <v>4</v>
      </c>
      <c r="M76" t="e">
        <f t="shared" ref="M76:O91" si="26">((I76-$B$95)/($B$94))*L76</f>
        <v>#DIV/0!</v>
      </c>
      <c r="N76" t="e">
        <f t="shared" si="24"/>
        <v>#DIV/0!</v>
      </c>
      <c r="O76" t="e">
        <f t="shared" si="24"/>
        <v>#DIV/0!</v>
      </c>
      <c r="P76" t="e">
        <f t="shared" ref="P76:P92" si="27">STDEV(M76:O76)</f>
        <v>#DIV/0!</v>
      </c>
      <c r="Q76" t="e">
        <f t="shared" ref="Q76:Q80" si="28">AVERAGE(M76:O76)</f>
        <v>#DIV/0!</v>
      </c>
    </row>
    <row r="77" spans="1:17">
      <c r="A77" s="65">
        <v>1</v>
      </c>
      <c r="B77" s="128">
        <v>2</v>
      </c>
      <c r="C77">
        <v>0</v>
      </c>
      <c r="D77">
        <v>0</v>
      </c>
      <c r="E77">
        <v>0</v>
      </c>
      <c r="I77" t="e">
        <f t="shared" si="25"/>
        <v>#DIV/0!</v>
      </c>
      <c r="J77" t="e">
        <f t="shared" si="25"/>
        <v>#DIV/0!</v>
      </c>
      <c r="K77" t="e">
        <f t="shared" si="25"/>
        <v>#DIV/0!</v>
      </c>
      <c r="L77">
        <v>4</v>
      </c>
      <c r="M77" t="e">
        <f t="shared" si="26"/>
        <v>#DIV/0!</v>
      </c>
      <c r="N77" t="e">
        <f t="shared" si="24"/>
        <v>#DIV/0!</v>
      </c>
      <c r="O77" t="e">
        <f t="shared" si="24"/>
        <v>#DIV/0!</v>
      </c>
      <c r="P77" t="e">
        <f t="shared" si="27"/>
        <v>#DIV/0!</v>
      </c>
      <c r="Q77" t="e">
        <f t="shared" si="28"/>
        <v>#DIV/0!</v>
      </c>
    </row>
    <row r="78" spans="1:17">
      <c r="A78" s="65">
        <v>2</v>
      </c>
      <c r="B78" s="128">
        <v>3.3333333333333335</v>
      </c>
      <c r="C78">
        <v>0</v>
      </c>
      <c r="D78">
        <v>0</v>
      </c>
      <c r="E78">
        <v>0</v>
      </c>
      <c r="I78" t="e">
        <f t="shared" si="25"/>
        <v>#DIV/0!</v>
      </c>
      <c r="J78" t="e">
        <f t="shared" si="25"/>
        <v>#DIV/0!</v>
      </c>
      <c r="K78" t="e">
        <f t="shared" si="25"/>
        <v>#DIV/0!</v>
      </c>
      <c r="L78">
        <v>4</v>
      </c>
      <c r="M78" t="e">
        <f t="shared" si="26"/>
        <v>#DIV/0!</v>
      </c>
      <c r="N78" t="e">
        <f t="shared" si="24"/>
        <v>#DIV/0!</v>
      </c>
      <c r="O78" t="e">
        <f t="shared" si="24"/>
        <v>#DIV/0!</v>
      </c>
      <c r="P78" t="e">
        <f t="shared" si="27"/>
        <v>#DIV/0!</v>
      </c>
      <c r="Q78" t="e">
        <f t="shared" si="28"/>
        <v>#DIV/0!</v>
      </c>
    </row>
    <row r="79" spans="1:17">
      <c r="A79" s="65">
        <v>3</v>
      </c>
      <c r="B79" s="128">
        <v>4.666666666666667</v>
      </c>
      <c r="C79">
        <v>0</v>
      </c>
      <c r="D79">
        <v>0</v>
      </c>
      <c r="E79">
        <v>0</v>
      </c>
      <c r="I79" t="e">
        <f t="shared" si="25"/>
        <v>#DIV/0!</v>
      </c>
      <c r="J79" t="e">
        <f t="shared" si="25"/>
        <v>#DIV/0!</v>
      </c>
      <c r="K79" t="e">
        <f t="shared" si="25"/>
        <v>#DIV/0!</v>
      </c>
      <c r="L79">
        <v>4</v>
      </c>
      <c r="M79" t="e">
        <f t="shared" si="26"/>
        <v>#DIV/0!</v>
      </c>
      <c r="N79" t="e">
        <f t="shared" si="24"/>
        <v>#DIV/0!</v>
      </c>
      <c r="O79" t="e">
        <f t="shared" si="24"/>
        <v>#DIV/0!</v>
      </c>
      <c r="P79" t="e">
        <f t="shared" si="27"/>
        <v>#DIV/0!</v>
      </c>
      <c r="Q79" t="e">
        <f t="shared" si="28"/>
        <v>#DIV/0!</v>
      </c>
    </row>
    <row r="80" spans="1:17">
      <c r="A80" s="65">
        <v>4</v>
      </c>
      <c r="B80" s="128">
        <v>6</v>
      </c>
      <c r="C80">
        <v>0</v>
      </c>
      <c r="D80">
        <v>0</v>
      </c>
      <c r="E80">
        <v>0</v>
      </c>
      <c r="I80" t="e">
        <f t="shared" si="25"/>
        <v>#DIV/0!</v>
      </c>
      <c r="J80" t="e">
        <f t="shared" si="25"/>
        <v>#DIV/0!</v>
      </c>
      <c r="K80" t="e">
        <f t="shared" si="25"/>
        <v>#DIV/0!</v>
      </c>
      <c r="L80">
        <v>4</v>
      </c>
      <c r="M80" t="e">
        <f t="shared" si="26"/>
        <v>#DIV/0!</v>
      </c>
      <c r="N80" t="e">
        <f t="shared" si="24"/>
        <v>#DIV/0!</v>
      </c>
      <c r="O80" t="e">
        <f t="shared" si="24"/>
        <v>#DIV/0!</v>
      </c>
      <c r="P80" t="e">
        <f t="shared" si="27"/>
        <v>#DIV/0!</v>
      </c>
      <c r="Q80" t="e">
        <f t="shared" si="28"/>
        <v>#DIV/0!</v>
      </c>
    </row>
    <row r="81" spans="1:17">
      <c r="A81" s="65">
        <v>5</v>
      </c>
      <c r="B81" s="128">
        <v>7.333333333333333</v>
      </c>
      <c r="C81">
        <v>0</v>
      </c>
      <c r="D81">
        <v>0</v>
      </c>
      <c r="E81">
        <v>0</v>
      </c>
      <c r="I81" t="e">
        <f t="shared" si="25"/>
        <v>#DIV/0!</v>
      </c>
      <c r="J81" t="e">
        <f t="shared" si="25"/>
        <v>#DIV/0!</v>
      </c>
      <c r="K81" t="e">
        <f t="shared" si="25"/>
        <v>#DIV/0!</v>
      </c>
      <c r="L81">
        <v>4</v>
      </c>
      <c r="M81" t="e">
        <f t="shared" si="26"/>
        <v>#DIV/0!</v>
      </c>
      <c r="N81" t="e">
        <f t="shared" si="24"/>
        <v>#DIV/0!</v>
      </c>
      <c r="O81" t="e">
        <f t="shared" si="24"/>
        <v>#DIV/0!</v>
      </c>
      <c r="P81" t="e">
        <f t="shared" si="27"/>
        <v>#DIV/0!</v>
      </c>
      <c r="Q81" t="e">
        <f>AVERAGE(M81:O81)</f>
        <v>#DIV/0!</v>
      </c>
    </row>
    <row r="82" spans="1:17">
      <c r="A82" s="65">
        <v>6</v>
      </c>
      <c r="B82" s="128">
        <v>8.6666666666666661</v>
      </c>
      <c r="C82">
        <v>0</v>
      </c>
      <c r="D82">
        <v>0</v>
      </c>
      <c r="E82">
        <v>0</v>
      </c>
      <c r="I82" t="e">
        <f t="shared" si="25"/>
        <v>#DIV/0!</v>
      </c>
      <c r="J82" t="e">
        <f t="shared" si="25"/>
        <v>#DIV/0!</v>
      </c>
      <c r="K82" t="e">
        <f t="shared" si="25"/>
        <v>#DIV/0!</v>
      </c>
      <c r="L82">
        <v>4</v>
      </c>
      <c r="M82" t="e">
        <f t="shared" si="26"/>
        <v>#DIV/0!</v>
      </c>
      <c r="N82" t="e">
        <f t="shared" si="24"/>
        <v>#DIV/0!</v>
      </c>
      <c r="O82" t="e">
        <f t="shared" si="24"/>
        <v>#DIV/0!</v>
      </c>
      <c r="P82" t="e">
        <f t="shared" si="27"/>
        <v>#DIV/0!</v>
      </c>
      <c r="Q82" t="e">
        <f t="shared" ref="Q82:Q92" si="29">AVERAGE(M82:O82)</f>
        <v>#DIV/0!</v>
      </c>
    </row>
    <row r="83" spans="1:17">
      <c r="A83" s="65">
        <v>7</v>
      </c>
      <c r="B83" s="128">
        <v>10</v>
      </c>
      <c r="C83">
        <v>0</v>
      </c>
      <c r="D83">
        <v>0</v>
      </c>
      <c r="E83">
        <v>0</v>
      </c>
      <c r="I83" t="e">
        <f t="shared" si="25"/>
        <v>#DIV/0!</v>
      </c>
      <c r="J83" t="e">
        <f t="shared" si="25"/>
        <v>#DIV/0!</v>
      </c>
      <c r="K83" t="e">
        <f t="shared" si="25"/>
        <v>#DIV/0!</v>
      </c>
      <c r="L83">
        <v>4</v>
      </c>
      <c r="M83" t="e">
        <f t="shared" si="26"/>
        <v>#DIV/0!</v>
      </c>
      <c r="N83" t="e">
        <f t="shared" si="24"/>
        <v>#DIV/0!</v>
      </c>
      <c r="O83" t="e">
        <f t="shared" si="24"/>
        <v>#DIV/0!</v>
      </c>
      <c r="P83" t="e">
        <f t="shared" si="27"/>
        <v>#DIV/0!</v>
      </c>
      <c r="Q83" t="e">
        <f t="shared" si="29"/>
        <v>#DIV/0!</v>
      </c>
    </row>
    <row r="84" spans="1:17">
      <c r="A84" s="65">
        <v>8</v>
      </c>
      <c r="B84" s="128">
        <v>11.333333333333334</v>
      </c>
      <c r="C84">
        <v>0</v>
      </c>
      <c r="D84">
        <v>0</v>
      </c>
      <c r="E84">
        <v>0</v>
      </c>
      <c r="I84" t="e">
        <f t="shared" si="25"/>
        <v>#DIV/0!</v>
      </c>
      <c r="J84" t="e">
        <f t="shared" si="25"/>
        <v>#DIV/0!</v>
      </c>
      <c r="K84" t="e">
        <f t="shared" si="25"/>
        <v>#DIV/0!</v>
      </c>
      <c r="L84">
        <v>4</v>
      </c>
      <c r="M84" t="e">
        <f t="shared" si="26"/>
        <v>#DIV/0!</v>
      </c>
      <c r="N84" t="e">
        <f t="shared" si="24"/>
        <v>#DIV/0!</v>
      </c>
      <c r="O84" t="e">
        <f t="shared" si="24"/>
        <v>#DIV/0!</v>
      </c>
      <c r="P84" t="e">
        <f t="shared" si="27"/>
        <v>#DIV/0!</v>
      </c>
      <c r="Q84" t="e">
        <f t="shared" si="29"/>
        <v>#DIV/0!</v>
      </c>
    </row>
    <row r="85" spans="1:17">
      <c r="A85" s="65">
        <v>9</v>
      </c>
      <c r="B85" s="128">
        <v>12.666666666666666</v>
      </c>
      <c r="C85">
        <v>0</v>
      </c>
      <c r="D85">
        <v>0</v>
      </c>
      <c r="E85">
        <v>0</v>
      </c>
      <c r="I85" t="e">
        <f t="shared" si="25"/>
        <v>#DIV/0!</v>
      </c>
      <c r="J85" t="e">
        <f t="shared" si="25"/>
        <v>#DIV/0!</v>
      </c>
      <c r="K85" t="e">
        <f t="shared" si="25"/>
        <v>#DIV/0!</v>
      </c>
      <c r="L85">
        <v>4</v>
      </c>
      <c r="M85" t="e">
        <f t="shared" si="26"/>
        <v>#DIV/0!</v>
      </c>
      <c r="N85" t="e">
        <f t="shared" si="24"/>
        <v>#DIV/0!</v>
      </c>
      <c r="O85" t="e">
        <f t="shared" si="24"/>
        <v>#DIV/0!</v>
      </c>
      <c r="P85" t="e">
        <f t="shared" si="27"/>
        <v>#DIV/0!</v>
      </c>
      <c r="Q85" t="e">
        <f t="shared" si="29"/>
        <v>#DIV/0!</v>
      </c>
    </row>
    <row r="86" spans="1:17">
      <c r="A86" s="65">
        <v>10</v>
      </c>
      <c r="B86" s="128">
        <v>14</v>
      </c>
      <c r="C86">
        <v>0</v>
      </c>
      <c r="D86">
        <v>0</v>
      </c>
      <c r="E86">
        <v>0</v>
      </c>
      <c r="I86" t="e">
        <f t="shared" si="25"/>
        <v>#DIV/0!</v>
      </c>
      <c r="J86" t="e">
        <f t="shared" si="25"/>
        <v>#DIV/0!</v>
      </c>
      <c r="K86" t="e">
        <f t="shared" si="25"/>
        <v>#DIV/0!</v>
      </c>
      <c r="L86">
        <v>4</v>
      </c>
      <c r="M86" t="e">
        <f t="shared" si="26"/>
        <v>#DIV/0!</v>
      </c>
      <c r="N86" t="e">
        <f t="shared" si="24"/>
        <v>#DIV/0!</v>
      </c>
      <c r="O86" t="e">
        <f t="shared" si="24"/>
        <v>#DIV/0!</v>
      </c>
      <c r="P86" t="e">
        <f t="shared" si="27"/>
        <v>#DIV/0!</v>
      </c>
      <c r="Q86" t="e">
        <f t="shared" si="29"/>
        <v>#DIV/0!</v>
      </c>
    </row>
    <row r="87" spans="1:17">
      <c r="A87" s="65">
        <v>11</v>
      </c>
      <c r="B87" s="128">
        <v>15.333333333333334</v>
      </c>
      <c r="C87">
        <v>0</v>
      </c>
      <c r="D87">
        <v>0</v>
      </c>
      <c r="E87">
        <v>0</v>
      </c>
      <c r="I87" t="e">
        <f t="shared" si="25"/>
        <v>#DIV/0!</v>
      </c>
      <c r="J87" t="e">
        <f t="shared" si="25"/>
        <v>#DIV/0!</v>
      </c>
      <c r="K87" t="e">
        <f t="shared" si="25"/>
        <v>#DIV/0!</v>
      </c>
      <c r="L87">
        <v>4</v>
      </c>
      <c r="M87" t="e">
        <f t="shared" si="26"/>
        <v>#DIV/0!</v>
      </c>
      <c r="N87" t="e">
        <f t="shared" si="24"/>
        <v>#DIV/0!</v>
      </c>
      <c r="O87" t="e">
        <f t="shared" si="24"/>
        <v>#DIV/0!</v>
      </c>
      <c r="P87" t="e">
        <f t="shared" si="27"/>
        <v>#DIV/0!</v>
      </c>
      <c r="Q87" t="e">
        <f t="shared" si="29"/>
        <v>#DIV/0!</v>
      </c>
    </row>
    <row r="88" spans="1:17">
      <c r="A88" s="65">
        <v>12</v>
      </c>
      <c r="B88" s="128">
        <v>16.666666666666668</v>
      </c>
      <c r="C88">
        <v>0</v>
      </c>
      <c r="D88">
        <v>0</v>
      </c>
      <c r="E88">
        <v>0</v>
      </c>
      <c r="I88" t="e">
        <f t="shared" si="25"/>
        <v>#DIV/0!</v>
      </c>
      <c r="J88" t="e">
        <f t="shared" si="25"/>
        <v>#DIV/0!</v>
      </c>
      <c r="K88" t="e">
        <f t="shared" si="25"/>
        <v>#DIV/0!</v>
      </c>
      <c r="L88">
        <v>4</v>
      </c>
      <c r="M88" t="e">
        <f t="shared" si="26"/>
        <v>#DIV/0!</v>
      </c>
      <c r="N88" t="e">
        <f t="shared" si="24"/>
        <v>#DIV/0!</v>
      </c>
      <c r="O88" t="e">
        <f t="shared" si="24"/>
        <v>#DIV/0!</v>
      </c>
      <c r="P88" t="e">
        <f t="shared" si="27"/>
        <v>#DIV/0!</v>
      </c>
      <c r="Q88" t="e">
        <f t="shared" si="29"/>
        <v>#DIV/0!</v>
      </c>
    </row>
    <row r="89" spans="1:17">
      <c r="A89" s="65">
        <v>13</v>
      </c>
      <c r="B89" s="128">
        <v>18</v>
      </c>
      <c r="C89">
        <v>0</v>
      </c>
      <c r="D89">
        <v>0</v>
      </c>
      <c r="E89">
        <v>0</v>
      </c>
      <c r="I89" t="e">
        <f t="shared" si="25"/>
        <v>#DIV/0!</v>
      </c>
      <c r="J89" t="e">
        <f t="shared" si="25"/>
        <v>#DIV/0!</v>
      </c>
      <c r="K89" t="e">
        <f>E89/H89</f>
        <v>#DIV/0!</v>
      </c>
      <c r="L89">
        <v>4</v>
      </c>
      <c r="M89" t="e">
        <f t="shared" si="26"/>
        <v>#DIV/0!</v>
      </c>
      <c r="N89" t="e">
        <f t="shared" si="24"/>
        <v>#DIV/0!</v>
      </c>
      <c r="O89" t="e">
        <f t="shared" si="24"/>
        <v>#DIV/0!</v>
      </c>
      <c r="P89" t="e">
        <f t="shared" si="27"/>
        <v>#DIV/0!</v>
      </c>
      <c r="Q89" t="e">
        <f t="shared" si="29"/>
        <v>#DIV/0!</v>
      </c>
    </row>
    <row r="90" spans="1:17">
      <c r="A90" s="65">
        <v>14</v>
      </c>
      <c r="B90" s="128">
        <v>19.333333333333332</v>
      </c>
      <c r="C90">
        <v>0</v>
      </c>
      <c r="D90">
        <v>0</v>
      </c>
      <c r="E90">
        <v>0</v>
      </c>
      <c r="I90" t="e">
        <f t="shared" si="25"/>
        <v>#DIV/0!</v>
      </c>
      <c r="J90" t="e">
        <f t="shared" si="25"/>
        <v>#DIV/0!</v>
      </c>
      <c r="K90" t="e">
        <f t="shared" si="25"/>
        <v>#DIV/0!</v>
      </c>
      <c r="L90">
        <v>4</v>
      </c>
      <c r="M90" t="e">
        <f t="shared" si="26"/>
        <v>#DIV/0!</v>
      </c>
      <c r="N90" t="e">
        <f t="shared" si="24"/>
        <v>#DIV/0!</v>
      </c>
      <c r="O90" t="e">
        <f t="shared" si="24"/>
        <v>#DIV/0!</v>
      </c>
      <c r="P90" t="e">
        <f t="shared" si="27"/>
        <v>#DIV/0!</v>
      </c>
      <c r="Q90" t="e">
        <f t="shared" si="29"/>
        <v>#DIV/0!</v>
      </c>
    </row>
    <row r="91" spans="1:17">
      <c r="A91" s="65">
        <v>15</v>
      </c>
      <c r="B91" s="128">
        <v>24.166666666666668</v>
      </c>
      <c r="C91">
        <v>0</v>
      </c>
      <c r="D91">
        <v>0</v>
      </c>
      <c r="E91">
        <v>0</v>
      </c>
      <c r="I91" t="e">
        <f t="shared" si="25"/>
        <v>#DIV/0!</v>
      </c>
      <c r="J91" t="e">
        <f t="shared" si="25"/>
        <v>#DIV/0!</v>
      </c>
      <c r="K91" t="e">
        <f t="shared" si="25"/>
        <v>#DIV/0!</v>
      </c>
      <c r="L91">
        <v>4</v>
      </c>
      <c r="M91" t="e">
        <f t="shared" si="26"/>
        <v>#DIV/0!</v>
      </c>
      <c r="N91" t="e">
        <f t="shared" si="26"/>
        <v>#DIV/0!</v>
      </c>
      <c r="O91" t="e">
        <f t="shared" si="26"/>
        <v>#DIV/0!</v>
      </c>
      <c r="P91" t="e">
        <f t="shared" si="27"/>
        <v>#DIV/0!</v>
      </c>
      <c r="Q91" t="e">
        <f t="shared" si="29"/>
        <v>#DIV/0!</v>
      </c>
    </row>
    <row r="92" spans="1:17">
      <c r="A92" s="65">
        <v>16</v>
      </c>
      <c r="B92" s="128">
        <v>30.166666666666668</v>
      </c>
      <c r="C92">
        <v>0</v>
      </c>
      <c r="D92">
        <v>0</v>
      </c>
      <c r="E92">
        <v>0</v>
      </c>
      <c r="I92" t="e">
        <f t="shared" si="25"/>
        <v>#DIV/0!</v>
      </c>
      <c r="J92" t="e">
        <f t="shared" si="25"/>
        <v>#DIV/0!</v>
      </c>
      <c r="K92" t="e">
        <f t="shared" si="25"/>
        <v>#DIV/0!</v>
      </c>
      <c r="L92">
        <v>4</v>
      </c>
      <c r="M92" t="e">
        <f t="shared" ref="M92:O93" si="30">((I92-$B$95)/($B$94))*L92</f>
        <v>#DIV/0!</v>
      </c>
      <c r="N92" t="e">
        <f t="shared" si="30"/>
        <v>#DIV/0!</v>
      </c>
      <c r="O92" t="e">
        <f t="shared" si="30"/>
        <v>#DIV/0!</v>
      </c>
      <c r="P92" t="e">
        <f t="shared" si="27"/>
        <v>#DIV/0!</v>
      </c>
      <c r="Q92" t="e">
        <f t="shared" si="29"/>
        <v>#DIV/0!</v>
      </c>
    </row>
    <row r="93" spans="1:17">
      <c r="A93" s="65">
        <v>17</v>
      </c>
      <c r="B93" s="128">
        <v>48.166666666666664</v>
      </c>
      <c r="C93">
        <v>0</v>
      </c>
      <c r="D93">
        <v>0</v>
      </c>
      <c r="E93">
        <v>0</v>
      </c>
      <c r="I93" t="e">
        <f>C93/F93</f>
        <v>#DIV/0!</v>
      </c>
      <c r="J93" t="e">
        <f t="shared" ref="J93:K93" si="31">D93/G93</f>
        <v>#DIV/0!</v>
      </c>
      <c r="K93" t="e">
        <f t="shared" si="31"/>
        <v>#DIV/0!</v>
      </c>
      <c r="L93">
        <v>4</v>
      </c>
      <c r="M93" t="e">
        <f t="shared" si="30"/>
        <v>#DIV/0!</v>
      </c>
      <c r="N93" t="e">
        <f t="shared" si="30"/>
        <v>#DIV/0!</v>
      </c>
      <c r="O93" t="e">
        <f t="shared" si="30"/>
        <v>#DIV/0!</v>
      </c>
      <c r="P93" t="e">
        <f>STDEV(M93:O93)</f>
        <v>#DIV/0!</v>
      </c>
      <c r="Q93" t="e">
        <f>AVERAGE(M93:O93)</f>
        <v>#DIV/0!</v>
      </c>
    </row>
    <row r="94" spans="1:17">
      <c r="A94" t="s">
        <v>278</v>
      </c>
      <c r="B94" s="130">
        <f>'Calibration butyric acid'!J2</f>
        <v>0</v>
      </c>
      <c r="C94" t="s">
        <v>279</v>
      </c>
    </row>
    <row r="95" spans="1:17">
      <c r="A95" t="s">
        <v>218</v>
      </c>
      <c r="B95" s="130">
        <f>'Calibration butyric acid'!K2</f>
        <v>0</v>
      </c>
      <c r="C95" t="s">
        <v>280</v>
      </c>
    </row>
    <row r="97" spans="1:17" ht="15" thickBot="1">
      <c r="A97" t="s">
        <v>281</v>
      </c>
      <c r="C97" t="s">
        <v>61</v>
      </c>
      <c r="D97">
        <v>88.11</v>
      </c>
      <c r="E97" t="s">
        <v>39</v>
      </c>
      <c r="K97" s="131"/>
      <c r="M97" t="s">
        <v>262</v>
      </c>
      <c r="O97" t="s">
        <v>263</v>
      </c>
    </row>
    <row r="98" spans="1:17" ht="15" thickTop="1">
      <c r="A98" s="30" t="s">
        <v>4</v>
      </c>
      <c r="B98" s="30" t="s">
        <v>5</v>
      </c>
      <c r="C98" s="30" t="s">
        <v>264</v>
      </c>
      <c r="D98" s="30" t="s">
        <v>265</v>
      </c>
      <c r="E98" s="30" t="s">
        <v>266</v>
      </c>
      <c r="F98" s="30" t="s">
        <v>267</v>
      </c>
      <c r="G98" s="30" t="s">
        <v>268</v>
      </c>
      <c r="H98" s="30" t="s">
        <v>269</v>
      </c>
      <c r="I98" s="30" t="s">
        <v>270</v>
      </c>
      <c r="J98" s="30" t="s">
        <v>271</v>
      </c>
      <c r="K98" s="30" t="s">
        <v>272</v>
      </c>
      <c r="L98" s="30" t="s">
        <v>19</v>
      </c>
      <c r="M98" s="30" t="s">
        <v>273</v>
      </c>
      <c r="N98" s="30" t="s">
        <v>274</v>
      </c>
      <c r="O98" s="30" t="s">
        <v>275</v>
      </c>
      <c r="P98" s="30" t="s">
        <v>276</v>
      </c>
      <c r="Q98" s="30" t="s">
        <v>277</v>
      </c>
    </row>
    <row r="99" spans="1:17">
      <c r="A99" s="64">
        <v>0</v>
      </c>
      <c r="B99" s="127">
        <v>-0.16666666666666666</v>
      </c>
      <c r="C99">
        <v>0</v>
      </c>
      <c r="D99">
        <v>0</v>
      </c>
      <c r="E99">
        <v>0</v>
      </c>
      <c r="I99" t="e">
        <f>C99/F99</f>
        <v>#DIV/0!</v>
      </c>
      <c r="J99" t="e">
        <f>D99/G99</f>
        <v>#DIV/0!</v>
      </c>
      <c r="K99" t="e">
        <f>E99/H99</f>
        <v>#DIV/0!</v>
      </c>
      <c r="L99">
        <v>4</v>
      </c>
      <c r="M99" t="e">
        <f>((I99-$B$119)/($B$118))*L99</f>
        <v>#DIV/0!</v>
      </c>
      <c r="N99" t="e">
        <f t="shared" ref="N99:O114" si="32">((J99-$B$119)/($B$118))*M99</f>
        <v>#DIV/0!</v>
      </c>
      <c r="O99" t="e">
        <f t="shared" si="32"/>
        <v>#DIV/0!</v>
      </c>
      <c r="P99" t="e">
        <f>STDEV(M99:O99)</f>
        <v>#DIV/0!</v>
      </c>
      <c r="Q99" t="e">
        <f>AVERAGE(M99:O99)</f>
        <v>#DIV/0!</v>
      </c>
    </row>
    <row r="100" spans="1:17">
      <c r="A100" s="65">
        <v>0</v>
      </c>
      <c r="B100" s="128">
        <v>0.16666666666666666</v>
      </c>
      <c r="C100">
        <v>0</v>
      </c>
      <c r="D100">
        <v>0</v>
      </c>
      <c r="E100">
        <v>0</v>
      </c>
      <c r="I100" t="e">
        <f t="shared" ref="I100:K116" si="33">C100/F100</f>
        <v>#DIV/0!</v>
      </c>
      <c r="J100" t="e">
        <f t="shared" si="33"/>
        <v>#DIV/0!</v>
      </c>
      <c r="K100" t="e">
        <f t="shared" si="33"/>
        <v>#DIV/0!</v>
      </c>
      <c r="L100">
        <v>4</v>
      </c>
      <c r="M100" t="e">
        <f t="shared" ref="M100:O115" si="34">((I100-$B$119)/($B$118))*L100</f>
        <v>#DIV/0!</v>
      </c>
      <c r="N100" t="e">
        <f t="shared" si="32"/>
        <v>#DIV/0!</v>
      </c>
      <c r="O100" t="e">
        <f t="shared" si="32"/>
        <v>#DIV/0!</v>
      </c>
      <c r="P100" t="e">
        <f t="shared" ref="P100:P116" si="35">STDEV(M100:O100)</f>
        <v>#DIV/0!</v>
      </c>
      <c r="Q100" t="e">
        <f t="shared" ref="Q100:Q104" si="36">AVERAGE(M100:O100)</f>
        <v>#DIV/0!</v>
      </c>
    </row>
    <row r="101" spans="1:17">
      <c r="A101" s="65">
        <v>1</v>
      </c>
      <c r="B101" s="128">
        <v>2</v>
      </c>
      <c r="C101">
        <v>0</v>
      </c>
      <c r="D101">
        <v>0</v>
      </c>
      <c r="E101">
        <v>0</v>
      </c>
      <c r="I101" t="e">
        <f t="shared" si="33"/>
        <v>#DIV/0!</v>
      </c>
      <c r="J101" t="e">
        <f t="shared" si="33"/>
        <v>#DIV/0!</v>
      </c>
      <c r="K101" t="e">
        <f t="shared" si="33"/>
        <v>#DIV/0!</v>
      </c>
      <c r="L101">
        <v>4</v>
      </c>
      <c r="M101" t="e">
        <f t="shared" si="34"/>
        <v>#DIV/0!</v>
      </c>
      <c r="N101" t="e">
        <f t="shared" si="32"/>
        <v>#DIV/0!</v>
      </c>
      <c r="O101" t="e">
        <f t="shared" si="32"/>
        <v>#DIV/0!</v>
      </c>
      <c r="P101" t="e">
        <f t="shared" si="35"/>
        <v>#DIV/0!</v>
      </c>
      <c r="Q101" t="e">
        <f t="shared" si="36"/>
        <v>#DIV/0!</v>
      </c>
    </row>
    <row r="102" spans="1:17">
      <c r="A102" s="65">
        <v>2</v>
      </c>
      <c r="B102" s="128">
        <v>3.3333333333333335</v>
      </c>
      <c r="C102">
        <v>0</v>
      </c>
      <c r="D102">
        <v>0</v>
      </c>
      <c r="E102">
        <v>0</v>
      </c>
      <c r="I102" t="e">
        <f t="shared" si="33"/>
        <v>#DIV/0!</v>
      </c>
      <c r="J102" t="e">
        <f t="shared" si="33"/>
        <v>#DIV/0!</v>
      </c>
      <c r="K102" t="e">
        <f t="shared" si="33"/>
        <v>#DIV/0!</v>
      </c>
      <c r="L102">
        <v>4</v>
      </c>
      <c r="M102" t="e">
        <f t="shared" si="34"/>
        <v>#DIV/0!</v>
      </c>
      <c r="N102" t="e">
        <f t="shared" si="32"/>
        <v>#DIV/0!</v>
      </c>
      <c r="O102" t="e">
        <f t="shared" si="32"/>
        <v>#DIV/0!</v>
      </c>
      <c r="P102" t="e">
        <f t="shared" si="35"/>
        <v>#DIV/0!</v>
      </c>
      <c r="Q102" t="e">
        <f t="shared" si="36"/>
        <v>#DIV/0!</v>
      </c>
    </row>
    <row r="103" spans="1:17">
      <c r="A103" s="65">
        <v>3</v>
      </c>
      <c r="B103" s="128">
        <v>4.666666666666667</v>
      </c>
      <c r="C103">
        <v>0</v>
      </c>
      <c r="D103">
        <v>0</v>
      </c>
      <c r="E103">
        <v>0</v>
      </c>
      <c r="I103" t="e">
        <f t="shared" si="33"/>
        <v>#DIV/0!</v>
      </c>
      <c r="J103" t="e">
        <f t="shared" si="33"/>
        <v>#DIV/0!</v>
      </c>
      <c r="K103" t="e">
        <f t="shared" si="33"/>
        <v>#DIV/0!</v>
      </c>
      <c r="L103">
        <v>4</v>
      </c>
      <c r="M103" t="e">
        <f t="shared" si="34"/>
        <v>#DIV/0!</v>
      </c>
      <c r="N103" t="e">
        <f t="shared" si="32"/>
        <v>#DIV/0!</v>
      </c>
      <c r="O103" t="e">
        <f t="shared" si="32"/>
        <v>#DIV/0!</v>
      </c>
      <c r="P103" t="e">
        <f t="shared" si="35"/>
        <v>#DIV/0!</v>
      </c>
      <c r="Q103" t="e">
        <f t="shared" si="36"/>
        <v>#DIV/0!</v>
      </c>
    </row>
    <row r="104" spans="1:17">
      <c r="A104" s="65">
        <v>4</v>
      </c>
      <c r="B104" s="128">
        <v>6</v>
      </c>
      <c r="C104">
        <v>0</v>
      </c>
      <c r="D104">
        <v>0</v>
      </c>
      <c r="E104">
        <v>0</v>
      </c>
      <c r="I104" t="e">
        <f t="shared" si="33"/>
        <v>#DIV/0!</v>
      </c>
      <c r="J104" t="e">
        <f t="shared" si="33"/>
        <v>#DIV/0!</v>
      </c>
      <c r="K104" t="e">
        <f t="shared" si="33"/>
        <v>#DIV/0!</v>
      </c>
      <c r="L104">
        <v>4</v>
      </c>
      <c r="M104" t="e">
        <f t="shared" si="34"/>
        <v>#DIV/0!</v>
      </c>
      <c r="N104" t="e">
        <f t="shared" si="32"/>
        <v>#DIV/0!</v>
      </c>
      <c r="O104" t="e">
        <f t="shared" si="32"/>
        <v>#DIV/0!</v>
      </c>
      <c r="P104" t="e">
        <f t="shared" si="35"/>
        <v>#DIV/0!</v>
      </c>
      <c r="Q104" t="e">
        <f t="shared" si="36"/>
        <v>#DIV/0!</v>
      </c>
    </row>
    <row r="105" spans="1:17">
      <c r="A105" s="65">
        <v>5</v>
      </c>
      <c r="B105" s="128">
        <v>7.333333333333333</v>
      </c>
      <c r="C105">
        <v>0</v>
      </c>
      <c r="D105">
        <v>0</v>
      </c>
      <c r="E105">
        <v>0</v>
      </c>
      <c r="I105" t="e">
        <f t="shared" si="33"/>
        <v>#DIV/0!</v>
      </c>
      <c r="J105" t="e">
        <f t="shared" si="33"/>
        <v>#DIV/0!</v>
      </c>
      <c r="K105" t="e">
        <f t="shared" si="33"/>
        <v>#DIV/0!</v>
      </c>
      <c r="L105">
        <v>4</v>
      </c>
      <c r="M105" t="e">
        <f t="shared" si="34"/>
        <v>#DIV/0!</v>
      </c>
      <c r="N105" t="e">
        <f t="shared" si="32"/>
        <v>#DIV/0!</v>
      </c>
      <c r="O105" t="e">
        <f t="shared" si="32"/>
        <v>#DIV/0!</v>
      </c>
      <c r="P105" t="e">
        <f t="shared" si="35"/>
        <v>#DIV/0!</v>
      </c>
      <c r="Q105" t="e">
        <f>AVERAGE(M105:O105)</f>
        <v>#DIV/0!</v>
      </c>
    </row>
    <row r="106" spans="1:17">
      <c r="A106" s="65">
        <v>6</v>
      </c>
      <c r="B106" s="128">
        <v>8.6666666666666661</v>
      </c>
      <c r="C106">
        <v>0</v>
      </c>
      <c r="D106">
        <v>0</v>
      </c>
      <c r="E106">
        <v>0</v>
      </c>
      <c r="I106" t="e">
        <f t="shared" si="33"/>
        <v>#DIV/0!</v>
      </c>
      <c r="J106" t="e">
        <f t="shared" si="33"/>
        <v>#DIV/0!</v>
      </c>
      <c r="K106" t="e">
        <f t="shared" si="33"/>
        <v>#DIV/0!</v>
      </c>
      <c r="L106">
        <v>4</v>
      </c>
      <c r="M106" t="e">
        <f t="shared" si="34"/>
        <v>#DIV/0!</v>
      </c>
      <c r="N106" t="e">
        <f t="shared" si="32"/>
        <v>#DIV/0!</v>
      </c>
      <c r="O106" t="e">
        <f t="shared" si="32"/>
        <v>#DIV/0!</v>
      </c>
      <c r="P106" t="e">
        <f t="shared" si="35"/>
        <v>#DIV/0!</v>
      </c>
      <c r="Q106" t="e">
        <f t="shared" ref="Q106:Q116" si="37">AVERAGE(M106:O106)</f>
        <v>#DIV/0!</v>
      </c>
    </row>
    <row r="107" spans="1:17">
      <c r="A107" s="65">
        <v>7</v>
      </c>
      <c r="B107" s="128">
        <v>10</v>
      </c>
      <c r="C107">
        <v>0</v>
      </c>
      <c r="D107">
        <v>0</v>
      </c>
      <c r="E107">
        <v>0</v>
      </c>
      <c r="I107" t="e">
        <f t="shared" si="33"/>
        <v>#DIV/0!</v>
      </c>
      <c r="J107" t="e">
        <f t="shared" si="33"/>
        <v>#DIV/0!</v>
      </c>
      <c r="K107" t="e">
        <f t="shared" si="33"/>
        <v>#DIV/0!</v>
      </c>
      <c r="L107">
        <v>4</v>
      </c>
      <c r="M107" t="e">
        <f t="shared" si="34"/>
        <v>#DIV/0!</v>
      </c>
      <c r="N107" t="e">
        <f t="shared" si="32"/>
        <v>#DIV/0!</v>
      </c>
      <c r="O107" t="e">
        <f t="shared" si="32"/>
        <v>#DIV/0!</v>
      </c>
      <c r="P107" t="e">
        <f t="shared" si="35"/>
        <v>#DIV/0!</v>
      </c>
      <c r="Q107" t="e">
        <f t="shared" si="37"/>
        <v>#DIV/0!</v>
      </c>
    </row>
    <row r="108" spans="1:17">
      <c r="A108" s="65">
        <v>8</v>
      </c>
      <c r="B108" s="128">
        <v>11.333333333333334</v>
      </c>
      <c r="C108">
        <v>0</v>
      </c>
      <c r="D108">
        <v>0</v>
      </c>
      <c r="E108">
        <v>0</v>
      </c>
      <c r="I108" t="e">
        <f t="shared" si="33"/>
        <v>#DIV/0!</v>
      </c>
      <c r="J108" t="e">
        <f t="shared" si="33"/>
        <v>#DIV/0!</v>
      </c>
      <c r="K108" t="e">
        <f t="shared" si="33"/>
        <v>#DIV/0!</v>
      </c>
      <c r="L108">
        <v>4</v>
      </c>
      <c r="M108" t="e">
        <f t="shared" si="34"/>
        <v>#DIV/0!</v>
      </c>
      <c r="N108" t="e">
        <f t="shared" si="32"/>
        <v>#DIV/0!</v>
      </c>
      <c r="O108" t="e">
        <f t="shared" si="32"/>
        <v>#DIV/0!</v>
      </c>
      <c r="P108" t="e">
        <f t="shared" si="35"/>
        <v>#DIV/0!</v>
      </c>
      <c r="Q108" t="e">
        <f t="shared" si="37"/>
        <v>#DIV/0!</v>
      </c>
    </row>
    <row r="109" spans="1:17">
      <c r="A109" s="65">
        <v>9</v>
      </c>
      <c r="B109" s="128">
        <v>12.666666666666666</v>
      </c>
      <c r="C109">
        <v>0</v>
      </c>
      <c r="D109">
        <v>0</v>
      </c>
      <c r="E109">
        <v>0</v>
      </c>
      <c r="I109" t="e">
        <f t="shared" si="33"/>
        <v>#DIV/0!</v>
      </c>
      <c r="J109" t="e">
        <f t="shared" si="33"/>
        <v>#DIV/0!</v>
      </c>
      <c r="K109" t="e">
        <f t="shared" si="33"/>
        <v>#DIV/0!</v>
      </c>
      <c r="L109">
        <v>4</v>
      </c>
      <c r="M109" t="e">
        <f t="shared" si="34"/>
        <v>#DIV/0!</v>
      </c>
      <c r="N109" t="e">
        <f t="shared" si="32"/>
        <v>#DIV/0!</v>
      </c>
      <c r="O109" t="e">
        <f t="shared" si="32"/>
        <v>#DIV/0!</v>
      </c>
      <c r="P109" t="e">
        <f t="shared" si="35"/>
        <v>#DIV/0!</v>
      </c>
      <c r="Q109" t="e">
        <f t="shared" si="37"/>
        <v>#DIV/0!</v>
      </c>
    </row>
    <row r="110" spans="1:17">
      <c r="A110" s="65">
        <v>10</v>
      </c>
      <c r="B110" s="128">
        <v>14</v>
      </c>
      <c r="C110">
        <v>0</v>
      </c>
      <c r="D110">
        <v>0</v>
      </c>
      <c r="E110">
        <v>0</v>
      </c>
      <c r="I110" t="e">
        <f t="shared" si="33"/>
        <v>#DIV/0!</v>
      </c>
      <c r="J110" t="e">
        <f t="shared" si="33"/>
        <v>#DIV/0!</v>
      </c>
      <c r="K110" t="e">
        <f t="shared" si="33"/>
        <v>#DIV/0!</v>
      </c>
      <c r="L110">
        <v>4</v>
      </c>
      <c r="M110" t="e">
        <f t="shared" si="34"/>
        <v>#DIV/0!</v>
      </c>
      <c r="N110" t="e">
        <f t="shared" si="32"/>
        <v>#DIV/0!</v>
      </c>
      <c r="O110" t="e">
        <f t="shared" si="32"/>
        <v>#DIV/0!</v>
      </c>
      <c r="P110" t="e">
        <f t="shared" si="35"/>
        <v>#DIV/0!</v>
      </c>
      <c r="Q110" t="e">
        <f t="shared" si="37"/>
        <v>#DIV/0!</v>
      </c>
    </row>
    <row r="111" spans="1:17">
      <c r="A111" s="65">
        <v>11</v>
      </c>
      <c r="B111" s="128">
        <v>15.333333333333334</v>
      </c>
      <c r="C111">
        <v>0</v>
      </c>
      <c r="D111">
        <v>0</v>
      </c>
      <c r="E111">
        <v>0</v>
      </c>
      <c r="I111" t="e">
        <f t="shared" si="33"/>
        <v>#DIV/0!</v>
      </c>
      <c r="J111" t="e">
        <f t="shared" si="33"/>
        <v>#DIV/0!</v>
      </c>
      <c r="K111" t="e">
        <f t="shared" si="33"/>
        <v>#DIV/0!</v>
      </c>
      <c r="L111">
        <v>4</v>
      </c>
      <c r="M111" t="e">
        <f t="shared" si="34"/>
        <v>#DIV/0!</v>
      </c>
      <c r="N111" t="e">
        <f t="shared" si="32"/>
        <v>#DIV/0!</v>
      </c>
      <c r="O111" t="e">
        <f t="shared" si="32"/>
        <v>#DIV/0!</v>
      </c>
      <c r="P111" t="e">
        <f t="shared" si="35"/>
        <v>#DIV/0!</v>
      </c>
      <c r="Q111" t="e">
        <f t="shared" si="37"/>
        <v>#DIV/0!</v>
      </c>
    </row>
    <row r="112" spans="1:17">
      <c r="A112" s="65">
        <v>12</v>
      </c>
      <c r="B112" s="128">
        <v>16.666666666666668</v>
      </c>
      <c r="C112">
        <v>0</v>
      </c>
      <c r="D112">
        <v>0</v>
      </c>
      <c r="E112">
        <v>0</v>
      </c>
      <c r="I112" t="e">
        <f t="shared" si="33"/>
        <v>#DIV/0!</v>
      </c>
      <c r="J112" t="e">
        <f t="shared" si="33"/>
        <v>#DIV/0!</v>
      </c>
      <c r="K112" t="e">
        <f t="shared" si="33"/>
        <v>#DIV/0!</v>
      </c>
      <c r="L112">
        <v>4</v>
      </c>
      <c r="M112" t="e">
        <f t="shared" si="34"/>
        <v>#DIV/0!</v>
      </c>
      <c r="N112" t="e">
        <f t="shared" si="32"/>
        <v>#DIV/0!</v>
      </c>
      <c r="O112" t="e">
        <f t="shared" si="32"/>
        <v>#DIV/0!</v>
      </c>
      <c r="P112" t="e">
        <f t="shared" si="35"/>
        <v>#DIV/0!</v>
      </c>
      <c r="Q112" t="e">
        <f t="shared" si="37"/>
        <v>#DIV/0!</v>
      </c>
    </row>
    <row r="113" spans="1:17">
      <c r="A113" s="65">
        <v>13</v>
      </c>
      <c r="B113" s="128">
        <v>18</v>
      </c>
      <c r="C113">
        <v>0</v>
      </c>
      <c r="D113">
        <v>0</v>
      </c>
      <c r="E113">
        <v>0</v>
      </c>
      <c r="I113" t="e">
        <f t="shared" si="33"/>
        <v>#DIV/0!</v>
      </c>
      <c r="J113" t="e">
        <f t="shared" si="33"/>
        <v>#DIV/0!</v>
      </c>
      <c r="K113" t="e">
        <f>E113/H113</f>
        <v>#DIV/0!</v>
      </c>
      <c r="L113">
        <v>4</v>
      </c>
      <c r="M113" t="e">
        <f t="shared" si="34"/>
        <v>#DIV/0!</v>
      </c>
      <c r="N113" t="e">
        <f t="shared" si="32"/>
        <v>#DIV/0!</v>
      </c>
      <c r="O113" t="e">
        <f t="shared" si="32"/>
        <v>#DIV/0!</v>
      </c>
      <c r="P113" t="e">
        <f t="shared" si="35"/>
        <v>#DIV/0!</v>
      </c>
      <c r="Q113" t="e">
        <f t="shared" si="37"/>
        <v>#DIV/0!</v>
      </c>
    </row>
    <row r="114" spans="1:17">
      <c r="A114" s="65">
        <v>14</v>
      </c>
      <c r="B114" s="128">
        <v>19.333333333333332</v>
      </c>
      <c r="C114">
        <v>0</v>
      </c>
      <c r="D114">
        <v>0</v>
      </c>
      <c r="E114">
        <v>0</v>
      </c>
      <c r="I114" t="e">
        <f t="shared" si="33"/>
        <v>#DIV/0!</v>
      </c>
      <c r="J114" t="e">
        <f t="shared" si="33"/>
        <v>#DIV/0!</v>
      </c>
      <c r="K114" t="e">
        <f t="shared" si="33"/>
        <v>#DIV/0!</v>
      </c>
      <c r="L114">
        <v>4</v>
      </c>
      <c r="M114" t="e">
        <f t="shared" si="34"/>
        <v>#DIV/0!</v>
      </c>
      <c r="N114" t="e">
        <f t="shared" si="32"/>
        <v>#DIV/0!</v>
      </c>
      <c r="O114" t="e">
        <f t="shared" si="32"/>
        <v>#DIV/0!</v>
      </c>
      <c r="P114" t="e">
        <f t="shared" si="35"/>
        <v>#DIV/0!</v>
      </c>
      <c r="Q114" t="e">
        <f t="shared" si="37"/>
        <v>#DIV/0!</v>
      </c>
    </row>
    <row r="115" spans="1:17">
      <c r="A115" s="65">
        <v>15</v>
      </c>
      <c r="B115" s="128">
        <v>24.166666666666668</v>
      </c>
      <c r="C115">
        <v>0</v>
      </c>
      <c r="D115">
        <v>0</v>
      </c>
      <c r="E115">
        <v>0</v>
      </c>
      <c r="I115" t="e">
        <f t="shared" si="33"/>
        <v>#DIV/0!</v>
      </c>
      <c r="J115" t="e">
        <f t="shared" si="33"/>
        <v>#DIV/0!</v>
      </c>
      <c r="K115" t="e">
        <f t="shared" si="33"/>
        <v>#DIV/0!</v>
      </c>
      <c r="L115">
        <v>4</v>
      </c>
      <c r="M115" t="e">
        <f t="shared" si="34"/>
        <v>#DIV/0!</v>
      </c>
      <c r="N115" t="e">
        <f t="shared" si="34"/>
        <v>#DIV/0!</v>
      </c>
      <c r="O115" t="e">
        <f t="shared" si="34"/>
        <v>#DIV/0!</v>
      </c>
      <c r="P115" t="e">
        <f t="shared" si="35"/>
        <v>#DIV/0!</v>
      </c>
      <c r="Q115" t="e">
        <f t="shared" si="37"/>
        <v>#DIV/0!</v>
      </c>
    </row>
    <row r="116" spans="1:17">
      <c r="A116" s="65">
        <v>16</v>
      </c>
      <c r="B116" s="128">
        <v>30.166666666666668</v>
      </c>
      <c r="C116">
        <v>0</v>
      </c>
      <c r="D116">
        <v>0</v>
      </c>
      <c r="E116">
        <v>0</v>
      </c>
      <c r="I116" t="e">
        <f t="shared" si="33"/>
        <v>#DIV/0!</v>
      </c>
      <c r="J116" t="e">
        <f t="shared" si="33"/>
        <v>#DIV/0!</v>
      </c>
      <c r="K116" t="e">
        <f t="shared" si="33"/>
        <v>#DIV/0!</v>
      </c>
      <c r="L116">
        <v>4</v>
      </c>
      <c r="M116" t="e">
        <f t="shared" ref="M116:O117" si="38">((I116-$B$119)/($B$118))*L116</f>
        <v>#DIV/0!</v>
      </c>
      <c r="N116" t="e">
        <f t="shared" si="38"/>
        <v>#DIV/0!</v>
      </c>
      <c r="O116" t="e">
        <f t="shared" si="38"/>
        <v>#DIV/0!</v>
      </c>
      <c r="P116" t="e">
        <f t="shared" si="35"/>
        <v>#DIV/0!</v>
      </c>
      <c r="Q116" t="e">
        <f t="shared" si="37"/>
        <v>#DIV/0!</v>
      </c>
    </row>
    <row r="117" spans="1:17">
      <c r="A117" s="65">
        <v>17</v>
      </c>
      <c r="B117" s="128">
        <v>48.166666666666664</v>
      </c>
      <c r="C117">
        <v>0</v>
      </c>
      <c r="D117">
        <v>0</v>
      </c>
      <c r="E117">
        <v>0</v>
      </c>
      <c r="I117" t="e">
        <f>C117/F117</f>
        <v>#DIV/0!</v>
      </c>
      <c r="J117" t="e">
        <f t="shared" ref="J117:K117" si="39">D117/G117</f>
        <v>#DIV/0!</v>
      </c>
      <c r="K117" t="e">
        <f t="shared" si="39"/>
        <v>#DIV/0!</v>
      </c>
      <c r="L117">
        <v>4</v>
      </c>
      <c r="M117" t="e">
        <f t="shared" si="38"/>
        <v>#DIV/0!</v>
      </c>
      <c r="N117" t="e">
        <f t="shared" si="38"/>
        <v>#DIV/0!</v>
      </c>
      <c r="O117" t="e">
        <f t="shared" si="38"/>
        <v>#DIV/0!</v>
      </c>
      <c r="P117" t="e">
        <f>STDEV(M117:O117)</f>
        <v>#DIV/0!</v>
      </c>
      <c r="Q117" t="e">
        <f>AVERAGE(M117:O117)</f>
        <v>#DIV/0!</v>
      </c>
    </row>
    <row r="118" spans="1:17">
      <c r="A118" t="s">
        <v>278</v>
      </c>
      <c r="B118" s="130">
        <f>'Calibration isobutyric acid'!J2</f>
        <v>0</v>
      </c>
      <c r="C118" t="s">
        <v>279</v>
      </c>
    </row>
    <row r="119" spans="1:17">
      <c r="A119" t="s">
        <v>218</v>
      </c>
      <c r="B119" s="130">
        <f>'Calibration isobutyric acid'!K2</f>
        <v>0</v>
      </c>
      <c r="C119" t="s">
        <v>280</v>
      </c>
    </row>
    <row r="121" spans="1:17" ht="15" thickBot="1">
      <c r="A121" t="s">
        <v>282</v>
      </c>
      <c r="C121" t="s">
        <v>61</v>
      </c>
      <c r="D121">
        <v>102.13</v>
      </c>
      <c r="E121" t="s">
        <v>39</v>
      </c>
      <c r="K121" s="131"/>
      <c r="M121" t="s">
        <v>262</v>
      </c>
      <c r="O121" t="s">
        <v>263</v>
      </c>
    </row>
    <row r="122" spans="1:17" ht="15" thickTop="1">
      <c r="A122" s="30" t="s">
        <v>4</v>
      </c>
      <c r="B122" s="30" t="s">
        <v>5</v>
      </c>
      <c r="C122" s="30" t="s">
        <v>264</v>
      </c>
      <c r="D122" s="30" t="s">
        <v>265</v>
      </c>
      <c r="E122" s="30" t="s">
        <v>266</v>
      </c>
      <c r="F122" s="30" t="s">
        <v>267</v>
      </c>
      <c r="G122" s="30" t="s">
        <v>268</v>
      </c>
      <c r="H122" s="30" t="s">
        <v>269</v>
      </c>
      <c r="I122" s="30" t="s">
        <v>270</v>
      </c>
      <c r="J122" s="30" t="s">
        <v>271</v>
      </c>
      <c r="K122" s="30" t="s">
        <v>272</v>
      </c>
      <c r="L122" s="30" t="s">
        <v>19</v>
      </c>
      <c r="M122" s="30" t="s">
        <v>273</v>
      </c>
      <c r="N122" s="30" t="s">
        <v>274</v>
      </c>
      <c r="O122" s="30" t="s">
        <v>275</v>
      </c>
      <c r="P122" s="30" t="s">
        <v>276</v>
      </c>
      <c r="Q122" s="30" t="s">
        <v>277</v>
      </c>
    </row>
    <row r="123" spans="1:17">
      <c r="A123" s="64">
        <v>0</v>
      </c>
      <c r="B123" s="127">
        <v>-0.16666666666666666</v>
      </c>
      <c r="C123">
        <v>0</v>
      </c>
      <c r="D123">
        <v>0</v>
      </c>
      <c r="E123">
        <v>0</v>
      </c>
      <c r="I123" t="e">
        <f>C123/F123</f>
        <v>#DIV/0!</v>
      </c>
      <c r="J123" t="e">
        <f>D123/G123</f>
        <v>#DIV/0!</v>
      </c>
      <c r="K123" t="e">
        <f>E123/H123</f>
        <v>#DIV/0!</v>
      </c>
      <c r="L123">
        <v>4</v>
      </c>
      <c r="M123" t="e">
        <f>((I123-$B$143)/($B$142))*L123</f>
        <v>#DIV/0!</v>
      </c>
      <c r="N123" t="e">
        <f t="shared" ref="N123:O138" si="40">((J123-$B$143)/($B$142))*M123</f>
        <v>#DIV/0!</v>
      </c>
      <c r="O123" t="e">
        <f t="shared" si="40"/>
        <v>#DIV/0!</v>
      </c>
      <c r="P123" t="e">
        <f>STDEV(M123:O123)</f>
        <v>#DIV/0!</v>
      </c>
      <c r="Q123" t="e">
        <f>AVERAGE(M123:O123)</f>
        <v>#DIV/0!</v>
      </c>
    </row>
    <row r="124" spans="1:17">
      <c r="A124" s="65">
        <v>0</v>
      </c>
      <c r="B124" s="128">
        <v>0.16666666666666666</v>
      </c>
      <c r="C124">
        <v>0</v>
      </c>
      <c r="D124">
        <v>0</v>
      </c>
      <c r="E124">
        <v>0</v>
      </c>
      <c r="I124" t="e">
        <f t="shared" ref="I124:K140" si="41">C124/F124</f>
        <v>#DIV/0!</v>
      </c>
      <c r="J124" t="e">
        <f t="shared" si="41"/>
        <v>#DIV/0!</v>
      </c>
      <c r="K124" t="e">
        <f t="shared" si="41"/>
        <v>#DIV/0!</v>
      </c>
      <c r="L124">
        <v>4</v>
      </c>
      <c r="M124" t="e">
        <f t="shared" ref="M124:O139" si="42">((I124-$B$143)/($B$142))*L124</f>
        <v>#DIV/0!</v>
      </c>
      <c r="N124" t="e">
        <f t="shared" si="40"/>
        <v>#DIV/0!</v>
      </c>
      <c r="O124" t="e">
        <f t="shared" si="40"/>
        <v>#DIV/0!</v>
      </c>
      <c r="P124" t="e">
        <f t="shared" ref="P124:P140" si="43">STDEV(M124:O124)</f>
        <v>#DIV/0!</v>
      </c>
      <c r="Q124" t="e">
        <f t="shared" ref="Q124:Q128" si="44">AVERAGE(M124:O124)</f>
        <v>#DIV/0!</v>
      </c>
    </row>
    <row r="125" spans="1:17">
      <c r="A125" s="65">
        <v>1</v>
      </c>
      <c r="B125" s="128">
        <v>2</v>
      </c>
      <c r="C125">
        <v>0</v>
      </c>
      <c r="D125">
        <v>0</v>
      </c>
      <c r="E125">
        <v>0</v>
      </c>
      <c r="I125" t="e">
        <f t="shared" si="41"/>
        <v>#DIV/0!</v>
      </c>
      <c r="J125" t="e">
        <f t="shared" si="41"/>
        <v>#DIV/0!</v>
      </c>
      <c r="K125" t="e">
        <f t="shared" si="41"/>
        <v>#DIV/0!</v>
      </c>
      <c r="L125">
        <v>4</v>
      </c>
      <c r="M125" t="e">
        <f t="shared" si="42"/>
        <v>#DIV/0!</v>
      </c>
      <c r="N125" t="e">
        <f t="shared" si="40"/>
        <v>#DIV/0!</v>
      </c>
      <c r="O125" t="e">
        <f t="shared" si="40"/>
        <v>#DIV/0!</v>
      </c>
      <c r="P125" t="e">
        <f t="shared" si="43"/>
        <v>#DIV/0!</v>
      </c>
      <c r="Q125" t="e">
        <f t="shared" si="44"/>
        <v>#DIV/0!</v>
      </c>
    </row>
    <row r="126" spans="1:17">
      <c r="A126" s="65">
        <v>2</v>
      </c>
      <c r="B126" s="128">
        <v>3.3333333333333335</v>
      </c>
      <c r="C126">
        <v>0</v>
      </c>
      <c r="D126">
        <v>0</v>
      </c>
      <c r="E126">
        <v>0</v>
      </c>
      <c r="I126" t="e">
        <f t="shared" si="41"/>
        <v>#DIV/0!</v>
      </c>
      <c r="J126" t="e">
        <f t="shared" si="41"/>
        <v>#DIV/0!</v>
      </c>
      <c r="K126" t="e">
        <f t="shared" si="41"/>
        <v>#DIV/0!</v>
      </c>
      <c r="L126">
        <v>4</v>
      </c>
      <c r="M126" t="e">
        <f t="shared" si="42"/>
        <v>#DIV/0!</v>
      </c>
      <c r="N126" t="e">
        <f t="shared" si="40"/>
        <v>#DIV/0!</v>
      </c>
      <c r="O126" t="e">
        <f t="shared" si="40"/>
        <v>#DIV/0!</v>
      </c>
      <c r="P126" t="e">
        <f t="shared" si="43"/>
        <v>#DIV/0!</v>
      </c>
      <c r="Q126" t="e">
        <f t="shared" si="44"/>
        <v>#DIV/0!</v>
      </c>
    </row>
    <row r="127" spans="1:17">
      <c r="A127" s="65">
        <v>3</v>
      </c>
      <c r="B127" s="128">
        <v>4.666666666666667</v>
      </c>
      <c r="C127">
        <v>0</v>
      </c>
      <c r="D127">
        <v>0</v>
      </c>
      <c r="E127">
        <v>0</v>
      </c>
      <c r="I127" t="e">
        <f t="shared" si="41"/>
        <v>#DIV/0!</v>
      </c>
      <c r="J127" t="e">
        <f t="shared" si="41"/>
        <v>#DIV/0!</v>
      </c>
      <c r="K127" t="e">
        <f t="shared" si="41"/>
        <v>#DIV/0!</v>
      </c>
      <c r="L127">
        <v>4</v>
      </c>
      <c r="M127" t="e">
        <f t="shared" si="42"/>
        <v>#DIV/0!</v>
      </c>
      <c r="N127" t="e">
        <f t="shared" si="40"/>
        <v>#DIV/0!</v>
      </c>
      <c r="O127" t="e">
        <f t="shared" si="40"/>
        <v>#DIV/0!</v>
      </c>
      <c r="P127" t="e">
        <f t="shared" si="43"/>
        <v>#DIV/0!</v>
      </c>
      <c r="Q127" t="e">
        <f t="shared" si="44"/>
        <v>#DIV/0!</v>
      </c>
    </row>
    <row r="128" spans="1:17">
      <c r="A128" s="65">
        <v>4</v>
      </c>
      <c r="B128" s="128">
        <v>6</v>
      </c>
      <c r="C128">
        <v>0</v>
      </c>
      <c r="D128">
        <v>0</v>
      </c>
      <c r="E128">
        <v>0</v>
      </c>
      <c r="I128" t="e">
        <f t="shared" si="41"/>
        <v>#DIV/0!</v>
      </c>
      <c r="J128" t="e">
        <f t="shared" si="41"/>
        <v>#DIV/0!</v>
      </c>
      <c r="K128" t="e">
        <f t="shared" si="41"/>
        <v>#DIV/0!</v>
      </c>
      <c r="L128">
        <v>4</v>
      </c>
      <c r="M128" t="e">
        <f t="shared" si="42"/>
        <v>#DIV/0!</v>
      </c>
      <c r="N128" t="e">
        <f t="shared" si="40"/>
        <v>#DIV/0!</v>
      </c>
      <c r="O128" t="e">
        <f t="shared" si="40"/>
        <v>#DIV/0!</v>
      </c>
      <c r="P128" t="e">
        <f t="shared" si="43"/>
        <v>#DIV/0!</v>
      </c>
      <c r="Q128" t="e">
        <f t="shared" si="44"/>
        <v>#DIV/0!</v>
      </c>
    </row>
    <row r="129" spans="1:17">
      <c r="A129" s="65">
        <v>5</v>
      </c>
      <c r="B129" s="128">
        <v>7.333333333333333</v>
      </c>
      <c r="C129">
        <v>0</v>
      </c>
      <c r="D129">
        <v>0</v>
      </c>
      <c r="E129">
        <v>0</v>
      </c>
      <c r="I129" t="e">
        <f t="shared" si="41"/>
        <v>#DIV/0!</v>
      </c>
      <c r="J129" t="e">
        <f t="shared" si="41"/>
        <v>#DIV/0!</v>
      </c>
      <c r="K129" t="e">
        <f t="shared" si="41"/>
        <v>#DIV/0!</v>
      </c>
      <c r="L129">
        <v>4</v>
      </c>
      <c r="M129" t="e">
        <f t="shared" si="42"/>
        <v>#DIV/0!</v>
      </c>
      <c r="N129" t="e">
        <f t="shared" si="40"/>
        <v>#DIV/0!</v>
      </c>
      <c r="O129" t="e">
        <f t="shared" si="40"/>
        <v>#DIV/0!</v>
      </c>
      <c r="P129" t="e">
        <f t="shared" si="43"/>
        <v>#DIV/0!</v>
      </c>
      <c r="Q129" t="e">
        <f>AVERAGE(M129:O129)</f>
        <v>#DIV/0!</v>
      </c>
    </row>
    <row r="130" spans="1:17">
      <c r="A130" s="65">
        <v>6</v>
      </c>
      <c r="B130" s="128">
        <v>8.6666666666666661</v>
      </c>
      <c r="C130">
        <v>0</v>
      </c>
      <c r="D130">
        <v>0</v>
      </c>
      <c r="E130">
        <v>0</v>
      </c>
      <c r="I130" t="e">
        <f t="shared" si="41"/>
        <v>#DIV/0!</v>
      </c>
      <c r="J130" t="e">
        <f t="shared" si="41"/>
        <v>#DIV/0!</v>
      </c>
      <c r="K130" t="e">
        <f t="shared" si="41"/>
        <v>#DIV/0!</v>
      </c>
      <c r="L130">
        <v>4</v>
      </c>
      <c r="M130" t="e">
        <f t="shared" si="42"/>
        <v>#DIV/0!</v>
      </c>
      <c r="N130" t="e">
        <f t="shared" si="40"/>
        <v>#DIV/0!</v>
      </c>
      <c r="O130" t="e">
        <f t="shared" si="40"/>
        <v>#DIV/0!</v>
      </c>
      <c r="P130" t="e">
        <f t="shared" si="43"/>
        <v>#DIV/0!</v>
      </c>
      <c r="Q130" t="e">
        <f t="shared" ref="Q130:Q140" si="45">AVERAGE(M130:O130)</f>
        <v>#DIV/0!</v>
      </c>
    </row>
    <row r="131" spans="1:17">
      <c r="A131" s="65">
        <v>7</v>
      </c>
      <c r="B131" s="128">
        <v>10</v>
      </c>
      <c r="C131">
        <v>0</v>
      </c>
      <c r="D131">
        <v>0</v>
      </c>
      <c r="E131">
        <v>0</v>
      </c>
      <c r="I131" t="e">
        <f t="shared" si="41"/>
        <v>#DIV/0!</v>
      </c>
      <c r="J131" t="e">
        <f t="shared" si="41"/>
        <v>#DIV/0!</v>
      </c>
      <c r="K131" t="e">
        <f t="shared" si="41"/>
        <v>#DIV/0!</v>
      </c>
      <c r="L131">
        <v>4</v>
      </c>
      <c r="M131" t="e">
        <f t="shared" si="42"/>
        <v>#DIV/0!</v>
      </c>
      <c r="N131" t="e">
        <f t="shared" si="40"/>
        <v>#DIV/0!</v>
      </c>
      <c r="O131" t="e">
        <f t="shared" si="40"/>
        <v>#DIV/0!</v>
      </c>
      <c r="P131" t="e">
        <f t="shared" si="43"/>
        <v>#DIV/0!</v>
      </c>
      <c r="Q131" t="e">
        <f t="shared" si="45"/>
        <v>#DIV/0!</v>
      </c>
    </row>
    <row r="132" spans="1:17">
      <c r="A132" s="65">
        <v>8</v>
      </c>
      <c r="B132" s="128">
        <v>11.333333333333334</v>
      </c>
      <c r="C132">
        <v>0</v>
      </c>
      <c r="D132">
        <v>0</v>
      </c>
      <c r="E132">
        <v>0</v>
      </c>
      <c r="I132" t="e">
        <f t="shared" si="41"/>
        <v>#DIV/0!</v>
      </c>
      <c r="J132" t="e">
        <f t="shared" si="41"/>
        <v>#DIV/0!</v>
      </c>
      <c r="K132" t="e">
        <f t="shared" si="41"/>
        <v>#DIV/0!</v>
      </c>
      <c r="L132">
        <v>4</v>
      </c>
      <c r="M132" t="e">
        <f t="shared" si="42"/>
        <v>#DIV/0!</v>
      </c>
      <c r="N132" t="e">
        <f t="shared" si="40"/>
        <v>#DIV/0!</v>
      </c>
      <c r="O132" t="e">
        <f t="shared" si="40"/>
        <v>#DIV/0!</v>
      </c>
      <c r="P132" t="e">
        <f t="shared" si="43"/>
        <v>#DIV/0!</v>
      </c>
      <c r="Q132" t="e">
        <f t="shared" si="45"/>
        <v>#DIV/0!</v>
      </c>
    </row>
    <row r="133" spans="1:17">
      <c r="A133" s="65">
        <v>9</v>
      </c>
      <c r="B133" s="128">
        <v>12.666666666666666</v>
      </c>
      <c r="C133">
        <v>0</v>
      </c>
      <c r="D133">
        <v>0</v>
      </c>
      <c r="E133">
        <v>0</v>
      </c>
      <c r="I133" t="e">
        <f t="shared" si="41"/>
        <v>#DIV/0!</v>
      </c>
      <c r="J133" t="e">
        <f t="shared" si="41"/>
        <v>#DIV/0!</v>
      </c>
      <c r="K133" t="e">
        <f t="shared" si="41"/>
        <v>#DIV/0!</v>
      </c>
      <c r="L133">
        <v>4</v>
      </c>
      <c r="M133" t="e">
        <f t="shared" si="42"/>
        <v>#DIV/0!</v>
      </c>
      <c r="N133" t="e">
        <f t="shared" si="40"/>
        <v>#DIV/0!</v>
      </c>
      <c r="O133" t="e">
        <f t="shared" si="40"/>
        <v>#DIV/0!</v>
      </c>
      <c r="P133" t="e">
        <f t="shared" si="43"/>
        <v>#DIV/0!</v>
      </c>
      <c r="Q133" t="e">
        <f t="shared" si="45"/>
        <v>#DIV/0!</v>
      </c>
    </row>
    <row r="134" spans="1:17">
      <c r="A134" s="65">
        <v>10</v>
      </c>
      <c r="B134" s="128">
        <v>14</v>
      </c>
      <c r="C134">
        <v>0</v>
      </c>
      <c r="D134">
        <v>0</v>
      </c>
      <c r="E134">
        <v>0</v>
      </c>
      <c r="I134" t="e">
        <f t="shared" si="41"/>
        <v>#DIV/0!</v>
      </c>
      <c r="J134" t="e">
        <f t="shared" si="41"/>
        <v>#DIV/0!</v>
      </c>
      <c r="K134" t="e">
        <f t="shared" si="41"/>
        <v>#DIV/0!</v>
      </c>
      <c r="L134">
        <v>4</v>
      </c>
      <c r="M134" t="e">
        <f t="shared" si="42"/>
        <v>#DIV/0!</v>
      </c>
      <c r="N134" t="e">
        <f t="shared" si="40"/>
        <v>#DIV/0!</v>
      </c>
      <c r="O134" t="e">
        <f t="shared" si="40"/>
        <v>#DIV/0!</v>
      </c>
      <c r="P134" t="e">
        <f t="shared" si="43"/>
        <v>#DIV/0!</v>
      </c>
      <c r="Q134" t="e">
        <f t="shared" si="45"/>
        <v>#DIV/0!</v>
      </c>
    </row>
    <row r="135" spans="1:17">
      <c r="A135" s="65">
        <v>11</v>
      </c>
      <c r="B135" s="128">
        <v>15.333333333333334</v>
      </c>
      <c r="C135">
        <v>0</v>
      </c>
      <c r="D135">
        <v>0</v>
      </c>
      <c r="E135">
        <v>0</v>
      </c>
      <c r="I135" t="e">
        <f t="shared" si="41"/>
        <v>#DIV/0!</v>
      </c>
      <c r="J135" t="e">
        <f t="shared" si="41"/>
        <v>#DIV/0!</v>
      </c>
      <c r="K135" t="e">
        <f t="shared" si="41"/>
        <v>#DIV/0!</v>
      </c>
      <c r="L135">
        <v>4</v>
      </c>
      <c r="M135" t="e">
        <f t="shared" si="42"/>
        <v>#DIV/0!</v>
      </c>
      <c r="N135" t="e">
        <f t="shared" si="40"/>
        <v>#DIV/0!</v>
      </c>
      <c r="O135" t="e">
        <f t="shared" si="40"/>
        <v>#DIV/0!</v>
      </c>
      <c r="P135" t="e">
        <f t="shared" si="43"/>
        <v>#DIV/0!</v>
      </c>
      <c r="Q135" t="e">
        <f t="shared" si="45"/>
        <v>#DIV/0!</v>
      </c>
    </row>
    <row r="136" spans="1:17">
      <c r="A136" s="65">
        <v>12</v>
      </c>
      <c r="B136" s="128">
        <v>16.666666666666668</v>
      </c>
      <c r="C136">
        <v>0</v>
      </c>
      <c r="D136">
        <v>0</v>
      </c>
      <c r="E136">
        <v>0</v>
      </c>
      <c r="I136" t="e">
        <f t="shared" si="41"/>
        <v>#DIV/0!</v>
      </c>
      <c r="J136" t="e">
        <f t="shared" si="41"/>
        <v>#DIV/0!</v>
      </c>
      <c r="K136" t="e">
        <f t="shared" si="41"/>
        <v>#DIV/0!</v>
      </c>
      <c r="L136">
        <v>4</v>
      </c>
      <c r="M136" t="e">
        <f t="shared" si="42"/>
        <v>#DIV/0!</v>
      </c>
      <c r="N136" t="e">
        <f t="shared" si="40"/>
        <v>#DIV/0!</v>
      </c>
      <c r="O136" t="e">
        <f t="shared" si="40"/>
        <v>#DIV/0!</v>
      </c>
      <c r="P136" t="e">
        <f t="shared" si="43"/>
        <v>#DIV/0!</v>
      </c>
      <c r="Q136" t="e">
        <f t="shared" si="45"/>
        <v>#DIV/0!</v>
      </c>
    </row>
    <row r="137" spans="1:17">
      <c r="A137" s="65">
        <v>13</v>
      </c>
      <c r="B137" s="128">
        <v>18</v>
      </c>
      <c r="C137">
        <v>0</v>
      </c>
      <c r="D137">
        <v>0</v>
      </c>
      <c r="E137">
        <v>0</v>
      </c>
      <c r="I137" t="e">
        <f t="shared" si="41"/>
        <v>#DIV/0!</v>
      </c>
      <c r="J137" t="e">
        <f t="shared" si="41"/>
        <v>#DIV/0!</v>
      </c>
      <c r="K137" t="e">
        <f>E137/H137</f>
        <v>#DIV/0!</v>
      </c>
      <c r="L137">
        <v>4</v>
      </c>
      <c r="M137" t="e">
        <f t="shared" si="42"/>
        <v>#DIV/0!</v>
      </c>
      <c r="N137" t="e">
        <f t="shared" si="40"/>
        <v>#DIV/0!</v>
      </c>
      <c r="O137" t="e">
        <f t="shared" si="40"/>
        <v>#DIV/0!</v>
      </c>
      <c r="P137" t="e">
        <f t="shared" si="43"/>
        <v>#DIV/0!</v>
      </c>
      <c r="Q137" t="e">
        <f t="shared" si="45"/>
        <v>#DIV/0!</v>
      </c>
    </row>
    <row r="138" spans="1:17">
      <c r="A138" s="65">
        <v>14</v>
      </c>
      <c r="B138" s="128">
        <v>19.333333333333332</v>
      </c>
      <c r="C138">
        <v>0</v>
      </c>
      <c r="D138">
        <v>0</v>
      </c>
      <c r="E138">
        <v>0</v>
      </c>
      <c r="I138" t="e">
        <f t="shared" si="41"/>
        <v>#DIV/0!</v>
      </c>
      <c r="J138" t="e">
        <f t="shared" si="41"/>
        <v>#DIV/0!</v>
      </c>
      <c r="K138" t="e">
        <f t="shared" si="41"/>
        <v>#DIV/0!</v>
      </c>
      <c r="L138">
        <v>4</v>
      </c>
      <c r="M138" t="e">
        <f t="shared" si="42"/>
        <v>#DIV/0!</v>
      </c>
      <c r="N138" t="e">
        <f t="shared" si="40"/>
        <v>#DIV/0!</v>
      </c>
      <c r="O138" t="e">
        <f t="shared" si="40"/>
        <v>#DIV/0!</v>
      </c>
      <c r="P138" t="e">
        <f t="shared" si="43"/>
        <v>#DIV/0!</v>
      </c>
      <c r="Q138" t="e">
        <f t="shared" si="45"/>
        <v>#DIV/0!</v>
      </c>
    </row>
    <row r="139" spans="1:17">
      <c r="A139" s="65">
        <v>15</v>
      </c>
      <c r="B139" s="128">
        <v>24.166666666666668</v>
      </c>
      <c r="C139">
        <v>0</v>
      </c>
      <c r="D139">
        <v>0</v>
      </c>
      <c r="E139">
        <v>0</v>
      </c>
      <c r="I139" t="e">
        <f t="shared" si="41"/>
        <v>#DIV/0!</v>
      </c>
      <c r="J139" t="e">
        <f t="shared" si="41"/>
        <v>#DIV/0!</v>
      </c>
      <c r="K139" t="e">
        <f t="shared" si="41"/>
        <v>#DIV/0!</v>
      </c>
      <c r="L139">
        <v>4</v>
      </c>
      <c r="M139" t="e">
        <f t="shared" si="42"/>
        <v>#DIV/0!</v>
      </c>
      <c r="N139" t="e">
        <f t="shared" si="42"/>
        <v>#DIV/0!</v>
      </c>
      <c r="O139" t="e">
        <f t="shared" si="42"/>
        <v>#DIV/0!</v>
      </c>
      <c r="P139" t="e">
        <f t="shared" si="43"/>
        <v>#DIV/0!</v>
      </c>
      <c r="Q139" t="e">
        <f t="shared" si="45"/>
        <v>#DIV/0!</v>
      </c>
    </row>
    <row r="140" spans="1:17">
      <c r="A140" s="65">
        <v>16</v>
      </c>
      <c r="B140" s="128">
        <v>30.166666666666668</v>
      </c>
      <c r="C140">
        <v>0</v>
      </c>
      <c r="D140">
        <v>0</v>
      </c>
      <c r="E140">
        <v>0</v>
      </c>
      <c r="I140" t="e">
        <f t="shared" si="41"/>
        <v>#DIV/0!</v>
      </c>
      <c r="J140" t="e">
        <f t="shared" si="41"/>
        <v>#DIV/0!</v>
      </c>
      <c r="K140" t="e">
        <f t="shared" si="41"/>
        <v>#DIV/0!</v>
      </c>
      <c r="L140">
        <v>4</v>
      </c>
      <c r="M140" t="e">
        <f t="shared" ref="M140:O141" si="46">((I140-$B$143)/($B$142))*L140</f>
        <v>#DIV/0!</v>
      </c>
      <c r="N140" t="e">
        <f t="shared" si="46"/>
        <v>#DIV/0!</v>
      </c>
      <c r="O140" t="e">
        <f t="shared" si="46"/>
        <v>#DIV/0!</v>
      </c>
      <c r="P140" t="e">
        <f t="shared" si="43"/>
        <v>#DIV/0!</v>
      </c>
      <c r="Q140" t="e">
        <f t="shared" si="45"/>
        <v>#DIV/0!</v>
      </c>
    </row>
    <row r="141" spans="1:17">
      <c r="A141" s="65">
        <v>17</v>
      </c>
      <c r="B141" s="128">
        <v>48.166666666666664</v>
      </c>
      <c r="C141">
        <v>0</v>
      </c>
      <c r="D141">
        <v>0</v>
      </c>
      <c r="E141">
        <v>0</v>
      </c>
      <c r="I141" t="e">
        <f>C141/F141</f>
        <v>#DIV/0!</v>
      </c>
      <c r="J141" t="e">
        <f t="shared" ref="J141:K141" si="47">D141/G141</f>
        <v>#DIV/0!</v>
      </c>
      <c r="K141" t="e">
        <f t="shared" si="47"/>
        <v>#DIV/0!</v>
      </c>
      <c r="L141">
        <v>4</v>
      </c>
      <c r="M141" t="e">
        <f t="shared" si="46"/>
        <v>#DIV/0!</v>
      </c>
      <c r="N141" t="e">
        <f t="shared" si="46"/>
        <v>#DIV/0!</v>
      </c>
      <c r="O141" t="e">
        <f>((K141-$B$143)/($B$142))*N141</f>
        <v>#DIV/0!</v>
      </c>
      <c r="P141" t="e">
        <f>STDEV(M141:O141)</f>
        <v>#DIV/0!</v>
      </c>
      <c r="Q141" t="e">
        <f>AVERAGE(M141:O141)</f>
        <v>#DIV/0!</v>
      </c>
    </row>
    <row r="142" spans="1:17">
      <c r="A142" t="s">
        <v>278</v>
      </c>
      <c r="B142" s="130">
        <f>'Calibration isovaleric acid'!J2</f>
        <v>0</v>
      </c>
      <c r="C142" t="s">
        <v>279</v>
      </c>
    </row>
    <row r="143" spans="1:17">
      <c r="A143" t="s">
        <v>218</v>
      </c>
      <c r="B143" s="130">
        <f>'Calibration isovaleric acid'!K2</f>
        <v>0</v>
      </c>
      <c r="C143" t="s">
        <v>280</v>
      </c>
    </row>
    <row r="145" spans="1:17" ht="15" thickBot="1">
      <c r="A145" t="s">
        <v>283</v>
      </c>
      <c r="C145" t="s">
        <v>61</v>
      </c>
      <c r="D145">
        <v>102.13</v>
      </c>
      <c r="E145" t="s">
        <v>39</v>
      </c>
      <c r="K145" s="131"/>
      <c r="M145" t="s">
        <v>262</v>
      </c>
      <c r="O145" t="s">
        <v>263</v>
      </c>
    </row>
    <row r="146" spans="1:17" ht="15" thickTop="1">
      <c r="A146" s="30" t="s">
        <v>4</v>
      </c>
      <c r="B146" s="30" t="s">
        <v>5</v>
      </c>
      <c r="C146" s="30" t="s">
        <v>264</v>
      </c>
      <c r="D146" s="30" t="s">
        <v>265</v>
      </c>
      <c r="E146" s="30" t="s">
        <v>266</v>
      </c>
      <c r="F146" s="30" t="s">
        <v>267</v>
      </c>
      <c r="G146" s="30" t="s">
        <v>268</v>
      </c>
      <c r="H146" s="30" t="s">
        <v>269</v>
      </c>
      <c r="I146" s="30" t="s">
        <v>270</v>
      </c>
      <c r="J146" s="30" t="s">
        <v>271</v>
      </c>
      <c r="K146" s="30" t="s">
        <v>272</v>
      </c>
      <c r="L146" s="30" t="s">
        <v>19</v>
      </c>
      <c r="M146" s="30" t="s">
        <v>273</v>
      </c>
      <c r="N146" s="30" t="s">
        <v>274</v>
      </c>
      <c r="O146" s="30" t="s">
        <v>275</v>
      </c>
      <c r="P146" s="30" t="s">
        <v>276</v>
      </c>
      <c r="Q146" s="30" t="s">
        <v>277</v>
      </c>
    </row>
    <row r="147" spans="1:17">
      <c r="A147" s="64">
        <v>0</v>
      </c>
      <c r="B147" s="127">
        <v>-0.16666666666666666</v>
      </c>
      <c r="C147">
        <v>0</v>
      </c>
      <c r="D147">
        <v>0</v>
      </c>
      <c r="E147">
        <v>0</v>
      </c>
      <c r="I147" t="e">
        <f>C147/F147</f>
        <v>#DIV/0!</v>
      </c>
      <c r="J147" t="e">
        <f>D147/G147</f>
        <v>#DIV/0!</v>
      </c>
      <c r="K147" t="e">
        <f>E147/H147</f>
        <v>#DIV/0!</v>
      </c>
      <c r="L147">
        <v>4</v>
      </c>
      <c r="M147" t="e">
        <f>((I147-$B$167)/($B$166))*L147</f>
        <v>#DIV/0!</v>
      </c>
      <c r="N147" t="e">
        <f t="shared" ref="N147:O162" si="48">((J147-$B$167)/($B$166))*M147</f>
        <v>#DIV/0!</v>
      </c>
      <c r="O147" t="e">
        <f t="shared" si="48"/>
        <v>#DIV/0!</v>
      </c>
      <c r="P147" t="e">
        <f>STDEV(M147:O147)</f>
        <v>#DIV/0!</v>
      </c>
      <c r="Q147" t="e">
        <f>AVERAGE(M147:O147)</f>
        <v>#DIV/0!</v>
      </c>
    </row>
    <row r="148" spans="1:17">
      <c r="A148" s="65">
        <v>0</v>
      </c>
      <c r="B148" s="128">
        <v>0.16666666666666666</v>
      </c>
      <c r="C148">
        <v>0</v>
      </c>
      <c r="D148">
        <v>0</v>
      </c>
      <c r="E148">
        <v>0</v>
      </c>
      <c r="I148" t="e">
        <f t="shared" ref="I148:K164" si="49">C148/F148</f>
        <v>#DIV/0!</v>
      </c>
      <c r="J148" t="e">
        <f t="shared" si="49"/>
        <v>#DIV/0!</v>
      </c>
      <c r="K148" t="e">
        <f t="shared" si="49"/>
        <v>#DIV/0!</v>
      </c>
      <c r="L148">
        <v>4</v>
      </c>
      <c r="M148" t="e">
        <f t="shared" ref="M148:O163" si="50">((I148-$B$167)/($B$166))*L148</f>
        <v>#DIV/0!</v>
      </c>
      <c r="N148" t="e">
        <f t="shared" si="48"/>
        <v>#DIV/0!</v>
      </c>
      <c r="O148" t="e">
        <f t="shared" si="48"/>
        <v>#DIV/0!</v>
      </c>
      <c r="P148" t="e">
        <f t="shared" ref="P148:P164" si="51">STDEV(M148:O148)</f>
        <v>#DIV/0!</v>
      </c>
      <c r="Q148" t="e">
        <f t="shared" ref="Q148:Q152" si="52">AVERAGE(M148:O148)</f>
        <v>#DIV/0!</v>
      </c>
    </row>
    <row r="149" spans="1:17">
      <c r="A149" s="65">
        <v>1</v>
      </c>
      <c r="B149" s="128">
        <v>2</v>
      </c>
      <c r="C149">
        <v>0</v>
      </c>
      <c r="D149">
        <v>0</v>
      </c>
      <c r="E149">
        <v>0</v>
      </c>
      <c r="I149" t="e">
        <f t="shared" si="49"/>
        <v>#DIV/0!</v>
      </c>
      <c r="J149" t="e">
        <f t="shared" si="49"/>
        <v>#DIV/0!</v>
      </c>
      <c r="K149" t="e">
        <f t="shared" si="49"/>
        <v>#DIV/0!</v>
      </c>
      <c r="L149">
        <v>4</v>
      </c>
      <c r="M149" t="e">
        <f t="shared" si="50"/>
        <v>#DIV/0!</v>
      </c>
      <c r="N149" t="e">
        <f t="shared" si="48"/>
        <v>#DIV/0!</v>
      </c>
      <c r="O149" t="e">
        <f t="shared" si="48"/>
        <v>#DIV/0!</v>
      </c>
      <c r="P149" t="e">
        <f t="shared" si="51"/>
        <v>#DIV/0!</v>
      </c>
      <c r="Q149" t="e">
        <f t="shared" si="52"/>
        <v>#DIV/0!</v>
      </c>
    </row>
    <row r="150" spans="1:17">
      <c r="A150" s="65">
        <v>2</v>
      </c>
      <c r="B150" s="128">
        <v>3.3333333333333335</v>
      </c>
      <c r="C150">
        <v>0</v>
      </c>
      <c r="D150">
        <v>0</v>
      </c>
      <c r="E150">
        <v>0</v>
      </c>
      <c r="I150" t="e">
        <f t="shared" si="49"/>
        <v>#DIV/0!</v>
      </c>
      <c r="J150" t="e">
        <f t="shared" si="49"/>
        <v>#DIV/0!</v>
      </c>
      <c r="K150" t="e">
        <f t="shared" si="49"/>
        <v>#DIV/0!</v>
      </c>
      <c r="L150">
        <v>4</v>
      </c>
      <c r="M150" t="e">
        <f t="shared" si="50"/>
        <v>#DIV/0!</v>
      </c>
      <c r="N150" t="e">
        <f t="shared" si="48"/>
        <v>#DIV/0!</v>
      </c>
      <c r="O150" t="e">
        <f t="shared" si="48"/>
        <v>#DIV/0!</v>
      </c>
      <c r="P150" t="e">
        <f t="shared" si="51"/>
        <v>#DIV/0!</v>
      </c>
      <c r="Q150" t="e">
        <f t="shared" si="52"/>
        <v>#DIV/0!</v>
      </c>
    </row>
    <row r="151" spans="1:17">
      <c r="A151" s="65">
        <v>3</v>
      </c>
      <c r="B151" s="128">
        <v>4.666666666666667</v>
      </c>
      <c r="C151">
        <v>0</v>
      </c>
      <c r="D151">
        <v>0</v>
      </c>
      <c r="E151">
        <v>0</v>
      </c>
      <c r="I151" t="e">
        <f t="shared" si="49"/>
        <v>#DIV/0!</v>
      </c>
      <c r="J151" t="e">
        <f t="shared" si="49"/>
        <v>#DIV/0!</v>
      </c>
      <c r="K151" t="e">
        <f t="shared" si="49"/>
        <v>#DIV/0!</v>
      </c>
      <c r="L151">
        <v>4</v>
      </c>
      <c r="M151" t="e">
        <f t="shared" si="50"/>
        <v>#DIV/0!</v>
      </c>
      <c r="N151" t="e">
        <f t="shared" si="48"/>
        <v>#DIV/0!</v>
      </c>
      <c r="O151" t="e">
        <f t="shared" si="48"/>
        <v>#DIV/0!</v>
      </c>
      <c r="P151" t="e">
        <f t="shared" si="51"/>
        <v>#DIV/0!</v>
      </c>
      <c r="Q151" t="e">
        <f t="shared" si="52"/>
        <v>#DIV/0!</v>
      </c>
    </row>
    <row r="152" spans="1:17">
      <c r="A152" s="65">
        <v>4</v>
      </c>
      <c r="B152" s="128">
        <v>6</v>
      </c>
      <c r="C152">
        <v>0</v>
      </c>
      <c r="D152">
        <v>0</v>
      </c>
      <c r="E152">
        <v>0</v>
      </c>
      <c r="I152" t="e">
        <f t="shared" si="49"/>
        <v>#DIV/0!</v>
      </c>
      <c r="J152" t="e">
        <f t="shared" si="49"/>
        <v>#DIV/0!</v>
      </c>
      <c r="K152" t="e">
        <f t="shared" si="49"/>
        <v>#DIV/0!</v>
      </c>
      <c r="L152">
        <v>4</v>
      </c>
      <c r="M152" t="e">
        <f t="shared" si="50"/>
        <v>#DIV/0!</v>
      </c>
      <c r="N152" t="e">
        <f t="shared" si="48"/>
        <v>#DIV/0!</v>
      </c>
      <c r="O152" t="e">
        <f t="shared" si="48"/>
        <v>#DIV/0!</v>
      </c>
      <c r="P152" t="e">
        <f t="shared" si="51"/>
        <v>#DIV/0!</v>
      </c>
      <c r="Q152" t="e">
        <f t="shared" si="52"/>
        <v>#DIV/0!</v>
      </c>
    </row>
    <row r="153" spans="1:17">
      <c r="A153" s="65">
        <v>5</v>
      </c>
      <c r="B153" s="128">
        <v>7.333333333333333</v>
      </c>
      <c r="C153">
        <v>0</v>
      </c>
      <c r="D153">
        <v>0</v>
      </c>
      <c r="E153">
        <v>0</v>
      </c>
      <c r="I153" t="e">
        <f t="shared" si="49"/>
        <v>#DIV/0!</v>
      </c>
      <c r="J153" t="e">
        <f t="shared" si="49"/>
        <v>#DIV/0!</v>
      </c>
      <c r="K153" t="e">
        <f t="shared" si="49"/>
        <v>#DIV/0!</v>
      </c>
      <c r="L153">
        <v>4</v>
      </c>
      <c r="M153" t="e">
        <f t="shared" si="50"/>
        <v>#DIV/0!</v>
      </c>
      <c r="N153" t="e">
        <f t="shared" si="48"/>
        <v>#DIV/0!</v>
      </c>
      <c r="O153" t="e">
        <f t="shared" si="48"/>
        <v>#DIV/0!</v>
      </c>
      <c r="P153" t="e">
        <f t="shared" si="51"/>
        <v>#DIV/0!</v>
      </c>
      <c r="Q153" t="e">
        <f>AVERAGE(M153:O153)</f>
        <v>#DIV/0!</v>
      </c>
    </row>
    <row r="154" spans="1:17">
      <c r="A154" s="65">
        <v>6</v>
      </c>
      <c r="B154" s="128">
        <v>8.6666666666666661</v>
      </c>
      <c r="C154">
        <v>0</v>
      </c>
      <c r="D154">
        <v>0</v>
      </c>
      <c r="E154">
        <v>0</v>
      </c>
      <c r="I154" t="e">
        <f t="shared" si="49"/>
        <v>#DIV/0!</v>
      </c>
      <c r="J154" t="e">
        <f t="shared" si="49"/>
        <v>#DIV/0!</v>
      </c>
      <c r="K154" t="e">
        <f t="shared" si="49"/>
        <v>#DIV/0!</v>
      </c>
      <c r="L154">
        <v>4</v>
      </c>
      <c r="M154" t="e">
        <f t="shared" si="50"/>
        <v>#DIV/0!</v>
      </c>
      <c r="N154" t="e">
        <f t="shared" si="48"/>
        <v>#DIV/0!</v>
      </c>
      <c r="O154" t="e">
        <f t="shared" si="48"/>
        <v>#DIV/0!</v>
      </c>
      <c r="P154" t="e">
        <f t="shared" si="51"/>
        <v>#DIV/0!</v>
      </c>
      <c r="Q154" t="e">
        <f t="shared" ref="Q154:Q164" si="53">AVERAGE(M154:O154)</f>
        <v>#DIV/0!</v>
      </c>
    </row>
    <row r="155" spans="1:17">
      <c r="A155" s="65">
        <v>7</v>
      </c>
      <c r="B155" s="128">
        <v>10</v>
      </c>
      <c r="C155">
        <v>0</v>
      </c>
      <c r="D155">
        <v>0</v>
      </c>
      <c r="E155">
        <v>0</v>
      </c>
      <c r="I155" t="e">
        <f t="shared" si="49"/>
        <v>#DIV/0!</v>
      </c>
      <c r="J155" t="e">
        <f t="shared" si="49"/>
        <v>#DIV/0!</v>
      </c>
      <c r="K155" t="e">
        <f t="shared" si="49"/>
        <v>#DIV/0!</v>
      </c>
      <c r="L155">
        <v>4</v>
      </c>
      <c r="M155" t="e">
        <f t="shared" si="50"/>
        <v>#DIV/0!</v>
      </c>
      <c r="N155" t="e">
        <f t="shared" si="48"/>
        <v>#DIV/0!</v>
      </c>
      <c r="O155" t="e">
        <f t="shared" si="48"/>
        <v>#DIV/0!</v>
      </c>
      <c r="P155" t="e">
        <f t="shared" si="51"/>
        <v>#DIV/0!</v>
      </c>
      <c r="Q155" t="e">
        <f t="shared" si="53"/>
        <v>#DIV/0!</v>
      </c>
    </row>
    <row r="156" spans="1:17">
      <c r="A156" s="65">
        <v>8</v>
      </c>
      <c r="B156" s="128">
        <v>11.333333333333334</v>
      </c>
      <c r="C156">
        <v>0</v>
      </c>
      <c r="D156">
        <v>0</v>
      </c>
      <c r="E156">
        <v>0</v>
      </c>
      <c r="I156" t="e">
        <f t="shared" si="49"/>
        <v>#DIV/0!</v>
      </c>
      <c r="J156" t="e">
        <f t="shared" si="49"/>
        <v>#DIV/0!</v>
      </c>
      <c r="K156" t="e">
        <f t="shared" si="49"/>
        <v>#DIV/0!</v>
      </c>
      <c r="L156">
        <v>4</v>
      </c>
      <c r="M156" t="e">
        <f t="shared" si="50"/>
        <v>#DIV/0!</v>
      </c>
      <c r="N156" t="e">
        <f t="shared" si="48"/>
        <v>#DIV/0!</v>
      </c>
      <c r="O156" t="e">
        <f t="shared" si="48"/>
        <v>#DIV/0!</v>
      </c>
      <c r="P156" t="e">
        <f t="shared" si="51"/>
        <v>#DIV/0!</v>
      </c>
      <c r="Q156" t="e">
        <f t="shared" si="53"/>
        <v>#DIV/0!</v>
      </c>
    </row>
    <row r="157" spans="1:17">
      <c r="A157" s="65">
        <v>9</v>
      </c>
      <c r="B157" s="128">
        <v>12.666666666666666</v>
      </c>
      <c r="C157">
        <v>0</v>
      </c>
      <c r="D157">
        <v>0</v>
      </c>
      <c r="E157">
        <v>0</v>
      </c>
      <c r="I157" t="e">
        <f t="shared" si="49"/>
        <v>#DIV/0!</v>
      </c>
      <c r="J157" t="e">
        <f t="shared" si="49"/>
        <v>#DIV/0!</v>
      </c>
      <c r="K157" t="e">
        <f t="shared" si="49"/>
        <v>#DIV/0!</v>
      </c>
      <c r="L157">
        <v>4</v>
      </c>
      <c r="M157" t="e">
        <f t="shared" si="50"/>
        <v>#DIV/0!</v>
      </c>
      <c r="N157" t="e">
        <f t="shared" si="48"/>
        <v>#DIV/0!</v>
      </c>
      <c r="O157" t="e">
        <f t="shared" si="48"/>
        <v>#DIV/0!</v>
      </c>
      <c r="P157" t="e">
        <f t="shared" si="51"/>
        <v>#DIV/0!</v>
      </c>
      <c r="Q157" t="e">
        <f t="shared" si="53"/>
        <v>#DIV/0!</v>
      </c>
    </row>
    <row r="158" spans="1:17">
      <c r="A158" s="65">
        <v>10</v>
      </c>
      <c r="B158" s="128">
        <v>14</v>
      </c>
      <c r="C158">
        <v>0</v>
      </c>
      <c r="D158">
        <v>0</v>
      </c>
      <c r="E158">
        <v>0</v>
      </c>
      <c r="I158" t="e">
        <f t="shared" si="49"/>
        <v>#DIV/0!</v>
      </c>
      <c r="J158" t="e">
        <f t="shared" si="49"/>
        <v>#DIV/0!</v>
      </c>
      <c r="K158" t="e">
        <f t="shared" si="49"/>
        <v>#DIV/0!</v>
      </c>
      <c r="L158">
        <v>4</v>
      </c>
      <c r="M158" t="e">
        <f t="shared" si="50"/>
        <v>#DIV/0!</v>
      </c>
      <c r="N158" t="e">
        <f t="shared" si="48"/>
        <v>#DIV/0!</v>
      </c>
      <c r="O158" t="e">
        <f t="shared" si="48"/>
        <v>#DIV/0!</v>
      </c>
      <c r="P158" t="e">
        <f t="shared" si="51"/>
        <v>#DIV/0!</v>
      </c>
      <c r="Q158" t="e">
        <f t="shared" si="53"/>
        <v>#DIV/0!</v>
      </c>
    </row>
    <row r="159" spans="1:17">
      <c r="A159" s="65">
        <v>11</v>
      </c>
      <c r="B159" s="128">
        <v>15.333333333333334</v>
      </c>
      <c r="C159">
        <v>0</v>
      </c>
      <c r="D159">
        <v>0</v>
      </c>
      <c r="E159">
        <v>0</v>
      </c>
      <c r="I159" t="e">
        <f t="shared" si="49"/>
        <v>#DIV/0!</v>
      </c>
      <c r="J159" t="e">
        <f t="shared" si="49"/>
        <v>#DIV/0!</v>
      </c>
      <c r="K159" t="e">
        <f t="shared" si="49"/>
        <v>#DIV/0!</v>
      </c>
      <c r="L159">
        <v>4</v>
      </c>
      <c r="M159" t="e">
        <f t="shared" si="50"/>
        <v>#DIV/0!</v>
      </c>
      <c r="N159" t="e">
        <f t="shared" si="48"/>
        <v>#DIV/0!</v>
      </c>
      <c r="O159" t="e">
        <f t="shared" si="48"/>
        <v>#DIV/0!</v>
      </c>
      <c r="P159" t="e">
        <f t="shared" si="51"/>
        <v>#DIV/0!</v>
      </c>
      <c r="Q159" t="e">
        <f t="shared" si="53"/>
        <v>#DIV/0!</v>
      </c>
    </row>
    <row r="160" spans="1:17">
      <c r="A160" s="65">
        <v>12</v>
      </c>
      <c r="B160" s="128">
        <v>16.666666666666668</v>
      </c>
      <c r="C160">
        <v>0</v>
      </c>
      <c r="D160">
        <v>0</v>
      </c>
      <c r="E160">
        <v>0</v>
      </c>
      <c r="I160" t="e">
        <f t="shared" si="49"/>
        <v>#DIV/0!</v>
      </c>
      <c r="J160" t="e">
        <f t="shared" si="49"/>
        <v>#DIV/0!</v>
      </c>
      <c r="K160" t="e">
        <f t="shared" si="49"/>
        <v>#DIV/0!</v>
      </c>
      <c r="L160">
        <v>4</v>
      </c>
      <c r="M160" t="e">
        <f t="shared" si="50"/>
        <v>#DIV/0!</v>
      </c>
      <c r="N160" t="e">
        <f t="shared" si="48"/>
        <v>#DIV/0!</v>
      </c>
      <c r="O160" t="e">
        <f t="shared" si="48"/>
        <v>#DIV/0!</v>
      </c>
      <c r="P160" t="e">
        <f t="shared" si="51"/>
        <v>#DIV/0!</v>
      </c>
      <c r="Q160" t="e">
        <f t="shared" si="53"/>
        <v>#DIV/0!</v>
      </c>
    </row>
    <row r="161" spans="1:17">
      <c r="A161" s="65">
        <v>13</v>
      </c>
      <c r="B161" s="128">
        <v>18</v>
      </c>
      <c r="C161">
        <v>0</v>
      </c>
      <c r="D161">
        <v>0</v>
      </c>
      <c r="E161">
        <v>0</v>
      </c>
      <c r="I161" t="e">
        <f t="shared" si="49"/>
        <v>#DIV/0!</v>
      </c>
      <c r="J161" t="e">
        <f t="shared" si="49"/>
        <v>#DIV/0!</v>
      </c>
      <c r="K161" t="e">
        <f>E161/H161</f>
        <v>#DIV/0!</v>
      </c>
      <c r="L161">
        <v>4</v>
      </c>
      <c r="M161" t="e">
        <f t="shared" si="50"/>
        <v>#DIV/0!</v>
      </c>
      <c r="N161" t="e">
        <f t="shared" si="48"/>
        <v>#DIV/0!</v>
      </c>
      <c r="O161" t="e">
        <f t="shared" si="48"/>
        <v>#DIV/0!</v>
      </c>
      <c r="P161" t="e">
        <f t="shared" si="51"/>
        <v>#DIV/0!</v>
      </c>
      <c r="Q161" t="e">
        <f t="shared" si="53"/>
        <v>#DIV/0!</v>
      </c>
    </row>
    <row r="162" spans="1:17">
      <c r="A162" s="65">
        <v>14</v>
      </c>
      <c r="B162" s="128">
        <v>19.333333333333332</v>
      </c>
      <c r="C162">
        <v>0</v>
      </c>
      <c r="D162">
        <v>0</v>
      </c>
      <c r="E162">
        <v>0</v>
      </c>
      <c r="I162" t="e">
        <f t="shared" si="49"/>
        <v>#DIV/0!</v>
      </c>
      <c r="J162" t="e">
        <f t="shared" si="49"/>
        <v>#DIV/0!</v>
      </c>
      <c r="K162" t="e">
        <f t="shared" si="49"/>
        <v>#DIV/0!</v>
      </c>
      <c r="L162">
        <v>4</v>
      </c>
      <c r="M162" t="e">
        <f t="shared" si="50"/>
        <v>#DIV/0!</v>
      </c>
      <c r="N162" t="e">
        <f t="shared" si="48"/>
        <v>#DIV/0!</v>
      </c>
      <c r="O162" t="e">
        <f t="shared" si="48"/>
        <v>#DIV/0!</v>
      </c>
      <c r="P162" t="e">
        <f t="shared" si="51"/>
        <v>#DIV/0!</v>
      </c>
      <c r="Q162" t="e">
        <f t="shared" si="53"/>
        <v>#DIV/0!</v>
      </c>
    </row>
    <row r="163" spans="1:17">
      <c r="A163" s="65">
        <v>15</v>
      </c>
      <c r="B163" s="128">
        <v>24.166666666666668</v>
      </c>
      <c r="C163">
        <v>0</v>
      </c>
      <c r="D163">
        <v>0</v>
      </c>
      <c r="E163">
        <v>0</v>
      </c>
      <c r="I163" t="e">
        <f t="shared" si="49"/>
        <v>#DIV/0!</v>
      </c>
      <c r="J163" t="e">
        <f t="shared" si="49"/>
        <v>#DIV/0!</v>
      </c>
      <c r="K163" t="e">
        <f t="shared" si="49"/>
        <v>#DIV/0!</v>
      </c>
      <c r="L163">
        <v>4</v>
      </c>
      <c r="M163" t="e">
        <f t="shared" si="50"/>
        <v>#DIV/0!</v>
      </c>
      <c r="N163" t="e">
        <f t="shared" si="50"/>
        <v>#DIV/0!</v>
      </c>
      <c r="O163" t="e">
        <f t="shared" si="50"/>
        <v>#DIV/0!</v>
      </c>
      <c r="P163" t="e">
        <f t="shared" si="51"/>
        <v>#DIV/0!</v>
      </c>
      <c r="Q163" t="e">
        <f t="shared" si="53"/>
        <v>#DIV/0!</v>
      </c>
    </row>
    <row r="164" spans="1:17">
      <c r="A164" s="65">
        <v>16</v>
      </c>
      <c r="B164" s="128">
        <v>30.166666666666668</v>
      </c>
      <c r="C164">
        <v>0</v>
      </c>
      <c r="D164">
        <v>0</v>
      </c>
      <c r="E164">
        <v>0</v>
      </c>
      <c r="I164" t="e">
        <f t="shared" si="49"/>
        <v>#DIV/0!</v>
      </c>
      <c r="J164" t="e">
        <f t="shared" si="49"/>
        <v>#DIV/0!</v>
      </c>
      <c r="K164" t="e">
        <f t="shared" si="49"/>
        <v>#DIV/0!</v>
      </c>
      <c r="L164">
        <v>4</v>
      </c>
      <c r="M164" t="e">
        <f t="shared" ref="M164:O165" si="54">((I164-$B$167)/($B$166))*L164</f>
        <v>#DIV/0!</v>
      </c>
      <c r="N164" t="e">
        <f t="shared" si="54"/>
        <v>#DIV/0!</v>
      </c>
      <c r="O164" t="e">
        <f t="shared" si="54"/>
        <v>#DIV/0!</v>
      </c>
      <c r="P164" t="e">
        <f t="shared" si="51"/>
        <v>#DIV/0!</v>
      </c>
      <c r="Q164" t="e">
        <f t="shared" si="53"/>
        <v>#DIV/0!</v>
      </c>
    </row>
    <row r="165" spans="1:17">
      <c r="A165" s="65">
        <v>17</v>
      </c>
      <c r="B165" s="128">
        <v>48.166666666666664</v>
      </c>
      <c r="C165">
        <v>0</v>
      </c>
      <c r="D165">
        <v>0</v>
      </c>
      <c r="E165">
        <v>0</v>
      </c>
      <c r="I165" t="e">
        <f>C165/F165</f>
        <v>#DIV/0!</v>
      </c>
      <c r="J165" t="e">
        <f t="shared" ref="J165:K165" si="55">D165/G165</f>
        <v>#DIV/0!</v>
      </c>
      <c r="K165" t="e">
        <f t="shared" si="55"/>
        <v>#DIV/0!</v>
      </c>
      <c r="L165">
        <v>4</v>
      </c>
      <c r="M165" t="e">
        <f t="shared" si="54"/>
        <v>#DIV/0!</v>
      </c>
      <c r="N165" t="e">
        <f>((J165-$B$167)/($B$166))*M165</f>
        <v>#DIV/0!</v>
      </c>
      <c r="O165" t="e">
        <f t="shared" si="54"/>
        <v>#DIV/0!</v>
      </c>
      <c r="P165" t="e">
        <f>STDEV(M165:O165)</f>
        <v>#DIV/0!</v>
      </c>
      <c r="Q165" t="e">
        <f>AVERAGE(M165:O165)</f>
        <v>#DIV/0!</v>
      </c>
    </row>
    <row r="166" spans="1:17">
      <c r="A166" t="s">
        <v>278</v>
      </c>
      <c r="B166" s="130">
        <f>'Calibration 2-methylbutyric a'!J2</f>
        <v>0</v>
      </c>
      <c r="C166" t="s">
        <v>279</v>
      </c>
    </row>
    <row r="167" spans="1:17">
      <c r="A167" t="s">
        <v>218</v>
      </c>
      <c r="B167" s="130">
        <f>'Calibration 2-methylbutyric a'!K2</f>
        <v>0</v>
      </c>
      <c r="C167" t="s">
        <v>280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J22" sqref="J22"/>
    </sheetView>
  </sheetViews>
  <sheetFormatPr baseColWidth="10" defaultColWidth="8.83203125" defaultRowHeight="14" x14ac:dyDescent="0"/>
  <cols>
    <col min="1" max="3" width="8.83203125" style="2"/>
    <col min="4" max="4" width="9.1640625" style="2" bestFit="1" customWidth="1"/>
    <col min="5" max="5" width="12.5" style="2" bestFit="1" customWidth="1"/>
    <col min="6" max="6" width="11.33203125" style="2" bestFit="1" customWidth="1"/>
    <col min="7" max="8" width="8.83203125" style="2"/>
    <col min="9" max="9" width="15" style="2" bestFit="1" customWidth="1"/>
    <col min="10" max="10" width="10.6640625" style="2" bestFit="1" customWidth="1"/>
    <col min="11" max="11" width="38.1640625" style="2" customWidth="1"/>
    <col min="12" max="16384" width="8.83203125" style="2"/>
  </cols>
  <sheetData>
    <row r="1" spans="1:11">
      <c r="A1" s="139" t="s">
        <v>4</v>
      </c>
      <c r="B1" s="139" t="s">
        <v>116</v>
      </c>
      <c r="C1" s="139" t="s">
        <v>116</v>
      </c>
      <c r="D1" s="139" t="s">
        <v>5</v>
      </c>
      <c r="E1" s="4" t="s">
        <v>7</v>
      </c>
      <c r="F1" s="4" t="s">
        <v>9</v>
      </c>
      <c r="G1" s="138" t="s">
        <v>11</v>
      </c>
      <c r="H1" s="138" t="s">
        <v>12</v>
      </c>
      <c r="I1" s="4" t="s">
        <v>13</v>
      </c>
      <c r="J1" s="4" t="s">
        <v>16</v>
      </c>
      <c r="K1" s="4" t="s">
        <v>16</v>
      </c>
    </row>
    <row r="2" spans="1:11">
      <c r="A2" s="140"/>
      <c r="B2" s="140"/>
      <c r="C2" s="140"/>
      <c r="D2" s="140"/>
      <c r="E2" s="5" t="s">
        <v>8</v>
      </c>
      <c r="F2" s="5" t="s">
        <v>10</v>
      </c>
      <c r="G2" s="138"/>
      <c r="H2" s="138"/>
      <c r="I2" s="5" t="s">
        <v>14</v>
      </c>
      <c r="J2" s="5" t="s">
        <v>17</v>
      </c>
      <c r="K2" s="5" t="s">
        <v>144</v>
      </c>
    </row>
    <row r="3" spans="1:11">
      <c r="A3" s="33" t="s">
        <v>6</v>
      </c>
      <c r="B3" s="32">
        <v>-10</v>
      </c>
      <c r="C3" s="32">
        <f>B3</f>
        <v>-10</v>
      </c>
      <c r="D3" s="13">
        <f>C3/60</f>
        <v>-0.16666666666666666</v>
      </c>
      <c r="E3" s="3">
        <v>51</v>
      </c>
      <c r="F3" s="1">
        <f>E3</f>
        <v>51</v>
      </c>
      <c r="G3" s="1">
        <v>0</v>
      </c>
      <c r="H3" s="1">
        <v>0</v>
      </c>
      <c r="I3" s="1">
        <f>$F$23+G3+H3</f>
        <v>1500</v>
      </c>
      <c r="J3" s="13">
        <f>F3*1500/I3</f>
        <v>51</v>
      </c>
      <c r="K3" s="13">
        <f>$F$24-J3</f>
        <v>1524</v>
      </c>
    </row>
    <row r="4" spans="1:11">
      <c r="A4" s="1">
        <v>0</v>
      </c>
      <c r="B4" s="32">
        <v>10</v>
      </c>
      <c r="C4" s="32">
        <f>B4</f>
        <v>10</v>
      </c>
      <c r="D4" s="13">
        <f t="shared" ref="D4:D21" si="0">C4/60</f>
        <v>0.16666666666666666</v>
      </c>
      <c r="E4" s="1">
        <v>45</v>
      </c>
      <c r="F4" s="1">
        <f>E4+F3</f>
        <v>96</v>
      </c>
      <c r="G4" s="40">
        <v>0</v>
      </c>
      <c r="H4" s="40">
        <v>0</v>
      </c>
      <c r="I4" s="1">
        <f t="shared" ref="I4:I11" si="1">$F$24-F3+G4+H4</f>
        <v>1524</v>
      </c>
      <c r="J4" s="13">
        <f>E4*K3/I4</f>
        <v>45</v>
      </c>
      <c r="K4" s="13">
        <f>K3-J4</f>
        <v>1479</v>
      </c>
    </row>
    <row r="5" spans="1:11">
      <c r="A5" s="1">
        <v>1</v>
      </c>
      <c r="B5" s="32">
        <v>110</v>
      </c>
      <c r="C5" s="32">
        <f>C4+B5</f>
        <v>120</v>
      </c>
      <c r="D5" s="13">
        <f t="shared" si="0"/>
        <v>2</v>
      </c>
      <c r="E5" s="1">
        <v>44</v>
      </c>
      <c r="F5" s="1">
        <f t="shared" ref="F5:F21" si="2">E5+F4</f>
        <v>140</v>
      </c>
      <c r="G5" s="40">
        <v>0</v>
      </c>
      <c r="H5" s="40">
        <v>0</v>
      </c>
      <c r="I5" s="40">
        <f t="shared" si="1"/>
        <v>1479</v>
      </c>
      <c r="J5" s="13">
        <f t="shared" ref="J5:J13" si="3">E5*K4/I5</f>
        <v>44</v>
      </c>
      <c r="K5" s="13">
        <f>K4-J5</f>
        <v>1435</v>
      </c>
    </row>
    <row r="6" spans="1:11">
      <c r="A6" s="1">
        <v>2</v>
      </c>
      <c r="B6" s="32">
        <v>80</v>
      </c>
      <c r="C6" s="32">
        <f>C5+B6</f>
        <v>200</v>
      </c>
      <c r="D6" s="13">
        <f t="shared" si="0"/>
        <v>3.3333333333333335</v>
      </c>
      <c r="E6" s="1">
        <v>53</v>
      </c>
      <c r="F6" s="1">
        <f t="shared" si="2"/>
        <v>193</v>
      </c>
      <c r="G6" s="40">
        <v>0</v>
      </c>
      <c r="H6" s="40">
        <v>0</v>
      </c>
      <c r="I6" s="40">
        <f t="shared" si="1"/>
        <v>1435</v>
      </c>
      <c r="J6" s="13">
        <f>E6*K5/I6</f>
        <v>53</v>
      </c>
      <c r="K6" s="13">
        <f t="shared" ref="K6:K13" si="4">K5-J6</f>
        <v>1382</v>
      </c>
    </row>
    <row r="7" spans="1:11">
      <c r="A7" s="1">
        <v>3</v>
      </c>
      <c r="B7" s="32">
        <v>80</v>
      </c>
      <c r="C7" s="32">
        <f>C6+B7</f>
        <v>280</v>
      </c>
      <c r="D7" s="13">
        <f t="shared" si="0"/>
        <v>4.666666666666667</v>
      </c>
      <c r="E7" s="1">
        <v>49</v>
      </c>
      <c r="F7" s="1">
        <f t="shared" si="2"/>
        <v>242</v>
      </c>
      <c r="G7" s="40">
        <v>0</v>
      </c>
      <c r="H7" s="40">
        <v>0</v>
      </c>
      <c r="I7" s="40">
        <f t="shared" si="1"/>
        <v>1382</v>
      </c>
      <c r="J7" s="13">
        <f>E7*K6/I7</f>
        <v>49</v>
      </c>
      <c r="K7" s="13">
        <f>K6-J7</f>
        <v>1333</v>
      </c>
    </row>
    <row r="8" spans="1:11">
      <c r="A8" s="40">
        <v>4</v>
      </c>
      <c r="B8" s="32">
        <v>80</v>
      </c>
      <c r="C8" s="32">
        <f t="shared" ref="C8:C21" si="5">C7+B8</f>
        <v>360</v>
      </c>
      <c r="D8" s="13">
        <f t="shared" si="0"/>
        <v>6</v>
      </c>
      <c r="E8" s="1">
        <v>44</v>
      </c>
      <c r="F8" s="1">
        <f t="shared" si="2"/>
        <v>286</v>
      </c>
      <c r="G8" s="40">
        <v>0</v>
      </c>
      <c r="H8" s="40">
        <v>0</v>
      </c>
      <c r="I8" s="40">
        <f t="shared" si="1"/>
        <v>1333</v>
      </c>
      <c r="J8" s="13">
        <f t="shared" si="3"/>
        <v>44</v>
      </c>
      <c r="K8" s="13">
        <f t="shared" si="4"/>
        <v>1289</v>
      </c>
    </row>
    <row r="9" spans="1:11">
      <c r="A9" s="40">
        <v>5</v>
      </c>
      <c r="B9" s="32">
        <v>80</v>
      </c>
      <c r="C9" s="32">
        <f t="shared" si="5"/>
        <v>440</v>
      </c>
      <c r="D9" s="13">
        <f t="shared" si="0"/>
        <v>7.333333333333333</v>
      </c>
      <c r="E9" s="1">
        <v>51</v>
      </c>
      <c r="F9" s="1">
        <f t="shared" si="2"/>
        <v>337</v>
      </c>
      <c r="G9" s="40">
        <v>1</v>
      </c>
      <c r="H9" s="40">
        <v>0</v>
      </c>
      <c r="I9" s="40">
        <f t="shared" si="1"/>
        <v>1290</v>
      </c>
      <c r="J9" s="13">
        <f t="shared" si="3"/>
        <v>50.960465116279067</v>
      </c>
      <c r="K9" s="13">
        <f t="shared" si="4"/>
        <v>1238.039534883721</v>
      </c>
    </row>
    <row r="10" spans="1:11">
      <c r="A10" s="40">
        <v>6</v>
      </c>
      <c r="B10" s="32">
        <v>80</v>
      </c>
      <c r="C10" s="32">
        <f t="shared" si="5"/>
        <v>520</v>
      </c>
      <c r="D10" s="13">
        <f t="shared" si="0"/>
        <v>8.6666666666666661</v>
      </c>
      <c r="E10" s="1">
        <v>49</v>
      </c>
      <c r="F10" s="40">
        <f t="shared" si="2"/>
        <v>386</v>
      </c>
      <c r="G10" s="40">
        <v>2</v>
      </c>
      <c r="H10" s="40">
        <v>0</v>
      </c>
      <c r="I10" s="40">
        <f t="shared" si="1"/>
        <v>1240</v>
      </c>
      <c r="J10" s="13">
        <f t="shared" si="3"/>
        <v>48.922530007501877</v>
      </c>
      <c r="K10" s="13">
        <f t="shared" si="4"/>
        <v>1189.1170048762192</v>
      </c>
    </row>
    <row r="11" spans="1:11">
      <c r="A11" s="40">
        <v>7</v>
      </c>
      <c r="B11" s="32">
        <v>80</v>
      </c>
      <c r="C11" s="32">
        <f t="shared" si="5"/>
        <v>600</v>
      </c>
      <c r="D11" s="13">
        <f t="shared" si="0"/>
        <v>10</v>
      </c>
      <c r="E11" s="1">
        <v>50</v>
      </c>
      <c r="F11" s="40">
        <f t="shared" si="2"/>
        <v>436</v>
      </c>
      <c r="G11" s="40">
        <v>5</v>
      </c>
      <c r="H11" s="40">
        <v>0</v>
      </c>
      <c r="I11" s="40">
        <f t="shared" si="1"/>
        <v>1194</v>
      </c>
      <c r="J11" s="13">
        <f t="shared" si="3"/>
        <v>49.795519467178359</v>
      </c>
      <c r="K11" s="13">
        <f t="shared" si="4"/>
        <v>1139.3214854090409</v>
      </c>
    </row>
    <row r="12" spans="1:11">
      <c r="A12" s="40">
        <v>8</v>
      </c>
      <c r="B12" s="32">
        <v>80</v>
      </c>
      <c r="C12" s="32">
        <f t="shared" si="5"/>
        <v>680</v>
      </c>
      <c r="D12" s="13">
        <f t="shared" si="0"/>
        <v>11.333333333333334</v>
      </c>
      <c r="E12" s="1">
        <v>40</v>
      </c>
      <c r="F12" s="40">
        <f t="shared" si="2"/>
        <v>476</v>
      </c>
      <c r="G12" s="40">
        <v>8</v>
      </c>
      <c r="H12" s="40">
        <v>0</v>
      </c>
      <c r="I12" s="40">
        <f t="shared" ref="I12:I21" si="6">$F$24-F11+G12+H12</f>
        <v>1147</v>
      </c>
      <c r="J12" s="13">
        <f t="shared" si="3"/>
        <v>39.732222682093841</v>
      </c>
      <c r="K12" s="13">
        <f t="shared" si="4"/>
        <v>1099.589262726947</v>
      </c>
    </row>
    <row r="13" spans="1:11">
      <c r="A13" s="40">
        <v>9</v>
      </c>
      <c r="B13" s="32">
        <v>80</v>
      </c>
      <c r="C13" s="32">
        <f t="shared" si="5"/>
        <v>760</v>
      </c>
      <c r="D13" s="13">
        <f>C13/60</f>
        <v>12.666666666666666</v>
      </c>
      <c r="E13" s="1">
        <v>47</v>
      </c>
      <c r="F13" s="40">
        <f t="shared" si="2"/>
        <v>523</v>
      </c>
      <c r="G13" s="40">
        <v>12</v>
      </c>
      <c r="H13" s="40">
        <v>0</v>
      </c>
      <c r="I13" s="40">
        <f t="shared" si="6"/>
        <v>1111</v>
      </c>
      <c r="J13" s="13">
        <f t="shared" si="3"/>
        <v>46.517277541103972</v>
      </c>
      <c r="K13" s="13">
        <f t="shared" si="4"/>
        <v>1053.071985185843</v>
      </c>
    </row>
    <row r="14" spans="1:11">
      <c r="A14" s="40">
        <v>10</v>
      </c>
      <c r="B14" s="32">
        <v>80</v>
      </c>
      <c r="C14" s="32">
        <f t="shared" si="5"/>
        <v>840</v>
      </c>
      <c r="D14" s="13">
        <f t="shared" si="0"/>
        <v>14</v>
      </c>
      <c r="E14" s="3">
        <v>38</v>
      </c>
      <c r="F14" s="40">
        <f t="shared" si="2"/>
        <v>561</v>
      </c>
      <c r="G14" s="40">
        <v>14</v>
      </c>
      <c r="H14" s="40">
        <v>0</v>
      </c>
      <c r="I14" s="40">
        <f t="shared" si="6"/>
        <v>1066</v>
      </c>
      <c r="J14" s="13">
        <f t="shared" ref="J14:J20" si="7">E14*K13/I14</f>
        <v>37.539151441896841</v>
      </c>
      <c r="K14" s="13">
        <f t="shared" ref="K14:K21" si="8">K13-J14</f>
        <v>1015.5328337439462</v>
      </c>
    </row>
    <row r="15" spans="1:11">
      <c r="A15" s="40">
        <v>11</v>
      </c>
      <c r="B15" s="32">
        <v>80</v>
      </c>
      <c r="C15" s="32">
        <f t="shared" si="5"/>
        <v>920</v>
      </c>
      <c r="D15" s="13">
        <f t="shared" si="0"/>
        <v>15.333333333333334</v>
      </c>
      <c r="E15" s="37">
        <v>42</v>
      </c>
      <c r="F15" s="40">
        <f t="shared" si="2"/>
        <v>603</v>
      </c>
      <c r="G15" s="40">
        <v>15</v>
      </c>
      <c r="H15" s="40">
        <v>0</v>
      </c>
      <c r="I15" s="40">
        <f t="shared" si="6"/>
        <v>1029</v>
      </c>
      <c r="J15" s="13">
        <f t="shared" si="7"/>
        <v>41.450319744650862</v>
      </c>
      <c r="K15" s="13">
        <f t="shared" si="8"/>
        <v>974.08251399929532</v>
      </c>
    </row>
    <row r="16" spans="1:11">
      <c r="A16" s="40">
        <v>12</v>
      </c>
      <c r="B16" s="32">
        <v>80</v>
      </c>
      <c r="C16" s="32">
        <f t="shared" si="5"/>
        <v>1000</v>
      </c>
      <c r="D16" s="13">
        <f t="shared" si="0"/>
        <v>16.666666666666668</v>
      </c>
      <c r="E16" s="37">
        <v>46</v>
      </c>
      <c r="F16" s="40">
        <f t="shared" si="2"/>
        <v>649</v>
      </c>
      <c r="G16" s="40">
        <v>15</v>
      </c>
      <c r="H16" s="40">
        <v>0</v>
      </c>
      <c r="I16" s="40">
        <f t="shared" si="6"/>
        <v>987</v>
      </c>
      <c r="J16" s="13">
        <f t="shared" si="7"/>
        <v>45.397969244141422</v>
      </c>
      <c r="K16" s="13">
        <f t="shared" si="8"/>
        <v>928.68454475515387</v>
      </c>
    </row>
    <row r="17" spans="1:11">
      <c r="A17" s="40">
        <v>13</v>
      </c>
      <c r="B17" s="32">
        <v>80</v>
      </c>
      <c r="C17" s="32">
        <f t="shared" si="5"/>
        <v>1080</v>
      </c>
      <c r="D17" s="13">
        <f t="shared" si="0"/>
        <v>18</v>
      </c>
      <c r="E17" s="37">
        <v>39</v>
      </c>
      <c r="F17" s="40">
        <f t="shared" si="2"/>
        <v>688</v>
      </c>
      <c r="G17" s="40">
        <v>15</v>
      </c>
      <c r="H17" s="40">
        <v>0</v>
      </c>
      <c r="I17" s="40">
        <f t="shared" si="6"/>
        <v>941</v>
      </c>
      <c r="J17" s="13">
        <f t="shared" si="7"/>
        <v>38.489582620032948</v>
      </c>
      <c r="K17" s="13">
        <f t="shared" si="8"/>
        <v>890.19496213512093</v>
      </c>
    </row>
    <row r="18" spans="1:11">
      <c r="A18" s="40">
        <v>14</v>
      </c>
      <c r="B18" s="32">
        <v>80</v>
      </c>
      <c r="C18" s="32">
        <f t="shared" si="5"/>
        <v>1160</v>
      </c>
      <c r="D18" s="13">
        <f t="shared" si="0"/>
        <v>19.333333333333332</v>
      </c>
      <c r="E18" s="37">
        <v>43</v>
      </c>
      <c r="F18" s="40">
        <f t="shared" si="2"/>
        <v>731</v>
      </c>
      <c r="G18" s="40">
        <v>15</v>
      </c>
      <c r="H18" s="40">
        <v>0</v>
      </c>
      <c r="I18" s="40">
        <f t="shared" si="6"/>
        <v>902</v>
      </c>
      <c r="J18" s="13">
        <f t="shared" si="7"/>
        <v>42.437232119523507</v>
      </c>
      <c r="K18" s="13">
        <f t="shared" si="8"/>
        <v>847.75773001559742</v>
      </c>
    </row>
    <row r="19" spans="1:11">
      <c r="A19" s="40">
        <v>15</v>
      </c>
      <c r="B19" s="32">
        <v>290</v>
      </c>
      <c r="C19" s="32">
        <f t="shared" si="5"/>
        <v>1450</v>
      </c>
      <c r="D19" s="13">
        <f t="shared" si="0"/>
        <v>24.166666666666668</v>
      </c>
      <c r="E19" s="37">
        <v>55</v>
      </c>
      <c r="F19" s="40">
        <f t="shared" si="2"/>
        <v>786</v>
      </c>
      <c r="G19" s="40">
        <v>15</v>
      </c>
      <c r="H19" s="40">
        <v>3</v>
      </c>
      <c r="I19" s="40">
        <f t="shared" si="6"/>
        <v>862</v>
      </c>
      <c r="J19" s="13">
        <f t="shared" si="7"/>
        <v>54.091270476633248</v>
      </c>
      <c r="K19" s="13">
        <f t="shared" si="8"/>
        <v>793.6664595389642</v>
      </c>
    </row>
    <row r="20" spans="1:11">
      <c r="A20" s="40">
        <v>16</v>
      </c>
      <c r="B20" s="32">
        <v>360</v>
      </c>
      <c r="C20" s="32">
        <f t="shared" si="5"/>
        <v>1810</v>
      </c>
      <c r="D20" s="13">
        <f>C20/60</f>
        <v>30.166666666666668</v>
      </c>
      <c r="E20" s="32">
        <v>43</v>
      </c>
      <c r="F20" s="40">
        <f t="shared" si="2"/>
        <v>829</v>
      </c>
      <c r="G20" s="40">
        <v>15</v>
      </c>
      <c r="H20" s="32">
        <v>6</v>
      </c>
      <c r="I20" s="40">
        <f t="shared" si="6"/>
        <v>810</v>
      </c>
      <c r="J20" s="13">
        <f t="shared" si="7"/>
        <v>42.132910815031437</v>
      </c>
      <c r="K20" s="13">
        <f t="shared" si="8"/>
        <v>751.53354872393277</v>
      </c>
    </row>
    <row r="21" spans="1:11">
      <c r="A21" s="40">
        <v>17</v>
      </c>
      <c r="B21" s="32">
        <v>1080</v>
      </c>
      <c r="C21" s="32">
        <f t="shared" si="5"/>
        <v>2890</v>
      </c>
      <c r="D21" s="13">
        <f t="shared" si="0"/>
        <v>48.166666666666664</v>
      </c>
      <c r="E21" s="40">
        <v>51</v>
      </c>
      <c r="F21" s="40">
        <f t="shared" si="2"/>
        <v>880</v>
      </c>
      <c r="G21" s="40">
        <v>15</v>
      </c>
      <c r="H21" s="40">
        <v>8</v>
      </c>
      <c r="I21" s="40">
        <f t="shared" si="6"/>
        <v>769</v>
      </c>
      <c r="J21" s="13">
        <f>E21*K20/I21</f>
        <v>49.841626768427275</v>
      </c>
      <c r="K21" s="13">
        <f t="shared" si="8"/>
        <v>701.69192195550545</v>
      </c>
    </row>
    <row r="23" spans="1:11">
      <c r="A23" s="135" t="s">
        <v>15</v>
      </c>
      <c r="B23" s="136"/>
      <c r="C23" s="136"/>
      <c r="D23" s="136"/>
      <c r="E23" s="137"/>
      <c r="F23" s="1">
        <v>1500</v>
      </c>
    </row>
    <row r="24" spans="1:11">
      <c r="A24" s="135" t="s">
        <v>15</v>
      </c>
      <c r="B24" s="136"/>
      <c r="C24" s="136"/>
      <c r="D24" s="136"/>
      <c r="E24" s="137"/>
      <c r="F24" s="40">
        <v>1575</v>
      </c>
    </row>
  </sheetData>
  <mergeCells count="8">
    <mergeCell ref="A24:E24"/>
    <mergeCell ref="A1:A2"/>
    <mergeCell ref="D1:D2"/>
    <mergeCell ref="G1:G2"/>
    <mergeCell ref="H1:H2"/>
    <mergeCell ref="A23:E23"/>
    <mergeCell ref="B1:B2"/>
    <mergeCell ref="C1:C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E38" sqref="E38"/>
    </sheetView>
  </sheetViews>
  <sheetFormatPr baseColWidth="10" defaultColWidth="8.83203125" defaultRowHeight="14" x14ac:dyDescent="0"/>
  <cols>
    <col min="2" max="2" width="18.5" customWidth="1"/>
    <col min="3" max="3" width="13.1640625" customWidth="1"/>
    <col min="4" max="4" width="17.5" bestFit="1" customWidth="1"/>
    <col min="5" max="5" width="17.1640625" customWidth="1"/>
  </cols>
  <sheetData>
    <row r="1" spans="1:11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J1" t="s">
        <v>278</v>
      </c>
      <c r="K1" t="s">
        <v>218</v>
      </c>
    </row>
    <row r="2" spans="1:11">
      <c r="A2">
        <v>1</v>
      </c>
      <c r="B2" s="132">
        <f>B3/2</f>
        <v>7.1624999999999996E-3</v>
      </c>
      <c r="C2" s="133">
        <f>B2*20</f>
        <v>0.14324999999999999</v>
      </c>
      <c r="D2" s="58">
        <f>C2/'Results Focus GC'!$D$1*1000</f>
        <v>3.1093987410462338</v>
      </c>
      <c r="E2" s="58">
        <f t="shared" ref="E2:E8" si="0">D2/4</f>
        <v>0.77734968526155845</v>
      </c>
      <c r="F2">
        <v>0</v>
      </c>
      <c r="H2" t="e">
        <f>F2/G2</f>
        <v>#DIV/0!</v>
      </c>
    </row>
    <row r="3" spans="1:11">
      <c r="A3">
        <v>2</v>
      </c>
      <c r="B3" s="132">
        <f>B4/2</f>
        <v>1.4324999999999999E-2</v>
      </c>
      <c r="C3" s="133">
        <f t="shared" ref="C3:C6" si="1">B3*20</f>
        <v>0.28649999999999998</v>
      </c>
      <c r="D3" s="58">
        <f>C3/'Results Focus GC'!$D$1*1000</f>
        <v>6.2187974820924676</v>
      </c>
      <c r="E3" s="58">
        <f t="shared" si="0"/>
        <v>1.5546993705231169</v>
      </c>
      <c r="F3">
        <v>0</v>
      </c>
      <c r="H3" t="e">
        <f t="shared" ref="H3:H8" si="2">F3/G3</f>
        <v>#DIV/0!</v>
      </c>
    </row>
    <row r="4" spans="1:11">
      <c r="A4">
        <v>3</v>
      </c>
      <c r="B4" s="132">
        <f>B5/2</f>
        <v>2.8649999999999998E-2</v>
      </c>
      <c r="C4" s="133">
        <f t="shared" si="1"/>
        <v>0.57299999999999995</v>
      </c>
      <c r="D4" s="58">
        <f>C4/'Results Focus GC'!$D$1*1000</f>
        <v>12.437594964184935</v>
      </c>
      <c r="E4" s="58">
        <f t="shared" si="0"/>
        <v>3.1093987410462338</v>
      </c>
      <c r="F4">
        <v>0</v>
      </c>
      <c r="H4" t="e">
        <f t="shared" si="2"/>
        <v>#DIV/0!</v>
      </c>
    </row>
    <row r="5" spans="1:11">
      <c r="A5">
        <v>4</v>
      </c>
      <c r="B5" s="132">
        <f>B6/2</f>
        <v>5.7299999999999997E-2</v>
      </c>
      <c r="C5" s="133">
        <f t="shared" si="1"/>
        <v>1.1459999999999999</v>
      </c>
      <c r="D5" s="58">
        <f>C5/'Results Focus GC'!$D$1*1000</f>
        <v>24.875189928369871</v>
      </c>
      <c r="E5" s="58">
        <f t="shared" si="0"/>
        <v>6.2187974820924676</v>
      </c>
      <c r="F5">
        <v>0</v>
      </c>
      <c r="H5" t="e">
        <f>F5/G5</f>
        <v>#DIV/0!</v>
      </c>
    </row>
    <row r="6" spans="1:11">
      <c r="A6">
        <v>5</v>
      </c>
      <c r="B6" s="132">
        <f>B7/2</f>
        <v>0.11459999999999999</v>
      </c>
      <c r="C6" s="133">
        <f t="shared" si="1"/>
        <v>2.2919999999999998</v>
      </c>
      <c r="D6" s="58">
        <f>C6/'Results Focus GC'!$D$1*1000</f>
        <v>49.750379856739741</v>
      </c>
      <c r="E6" s="58">
        <f t="shared" si="0"/>
        <v>12.437594964184935</v>
      </c>
      <c r="F6">
        <v>0</v>
      </c>
      <c r="H6" t="e">
        <f t="shared" si="2"/>
        <v>#DIV/0!</v>
      </c>
    </row>
    <row r="7" spans="1:11">
      <c r="A7">
        <v>6</v>
      </c>
      <c r="B7" s="132">
        <f t="shared" ref="B7:B8" si="3">B8/2</f>
        <v>0.22919999999999999</v>
      </c>
      <c r="C7" s="133">
        <f>B7*20</f>
        <v>4.5839999999999996</v>
      </c>
      <c r="D7" s="58">
        <f>C7/'Results Focus GC'!$D$1*1000</f>
        <v>99.500759713479482</v>
      </c>
      <c r="E7" s="58">
        <f t="shared" si="0"/>
        <v>24.875189928369871</v>
      </c>
      <c r="F7">
        <v>0</v>
      </c>
      <c r="H7" t="e">
        <f t="shared" si="2"/>
        <v>#DIV/0!</v>
      </c>
    </row>
    <row r="8" spans="1:11">
      <c r="A8">
        <v>7</v>
      </c>
      <c r="B8" s="132">
        <f t="shared" si="3"/>
        <v>0.45839999999999997</v>
      </c>
      <c r="C8" s="133">
        <f>B8*20</f>
        <v>9.1679999999999993</v>
      </c>
      <c r="D8" s="58">
        <f>C8/'Results Focus GC'!$D$1*1000</f>
        <v>199.00151942695896</v>
      </c>
      <c r="E8" s="58">
        <f t="shared" si="0"/>
        <v>49.750379856739741</v>
      </c>
      <c r="F8">
        <v>0</v>
      </c>
      <c r="H8" t="e">
        <f t="shared" si="2"/>
        <v>#DIV/0!</v>
      </c>
    </row>
    <row r="9" spans="1:11">
      <c r="A9">
        <v>8</v>
      </c>
      <c r="B9" s="132">
        <v>0.91679999999999995</v>
      </c>
      <c r="C9" s="133">
        <f>B9*20</f>
        <v>18.335999999999999</v>
      </c>
      <c r="D9" s="58">
        <f>C9/'Results Focus GC'!$D$1*1000</f>
        <v>398.00303885391793</v>
      </c>
      <c r="E9" s="58">
        <f>D9/4</f>
        <v>99.500759713479482</v>
      </c>
      <c r="F9">
        <v>0</v>
      </c>
      <c r="H9" t="e">
        <f>F9/G9</f>
        <v>#DIV/0!</v>
      </c>
    </row>
    <row r="13" spans="1:11">
      <c r="A13" t="s">
        <v>292</v>
      </c>
    </row>
    <row r="14" spans="1:11">
      <c r="A14" t="s">
        <v>293</v>
      </c>
    </row>
    <row r="15" spans="1:11">
      <c r="A15" t="s">
        <v>294</v>
      </c>
    </row>
    <row r="16" spans="1:11">
      <c r="A16" t="s">
        <v>295</v>
      </c>
    </row>
    <row r="17" spans="1:1">
      <c r="A17" t="s">
        <v>296</v>
      </c>
    </row>
    <row r="18" spans="1:1">
      <c r="A18" t="s">
        <v>297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A125" workbookViewId="0">
      <selection activeCell="M161" sqref="M161"/>
    </sheetView>
  </sheetViews>
  <sheetFormatPr baseColWidth="10" defaultColWidth="8.83203125" defaultRowHeight="14" x14ac:dyDescent="0"/>
  <sheetData>
    <row r="1" spans="1:11">
      <c r="A1" t="s">
        <v>298</v>
      </c>
      <c r="B1" t="s">
        <v>299</v>
      </c>
      <c r="C1" t="s">
        <v>300</v>
      </c>
      <c r="D1" t="s">
        <v>287</v>
      </c>
      <c r="E1" t="s">
        <v>301</v>
      </c>
      <c r="F1" t="s">
        <v>289</v>
      </c>
      <c r="G1" t="s">
        <v>290</v>
      </c>
      <c r="H1" t="s">
        <v>291</v>
      </c>
      <c r="J1" t="s">
        <v>278</v>
      </c>
      <c r="K1" t="s">
        <v>218</v>
      </c>
    </row>
    <row r="2" spans="1:11">
      <c r="A2">
        <v>1</v>
      </c>
      <c r="B2">
        <f t="shared" ref="B2:B8" si="0">B3/2</f>
        <v>9.3703125000000002E-3</v>
      </c>
      <c r="C2" s="133">
        <f t="shared" ref="C2:C9" si="1">B2*20</f>
        <v>0.18740625</v>
      </c>
      <c r="D2">
        <f>C2/'Results Focus GC'!$D$25*1000</f>
        <v>3.1208368026644462</v>
      </c>
      <c r="E2">
        <f t="shared" ref="E2:E9" si="2">D2/4</f>
        <v>0.78020920066611155</v>
      </c>
      <c r="G2" s="58"/>
      <c r="H2" t="e">
        <f t="shared" ref="H2:H9" si="3">F2/G2</f>
        <v>#DIV/0!</v>
      </c>
    </row>
    <row r="3" spans="1:11">
      <c r="A3">
        <v>2</v>
      </c>
      <c r="B3">
        <f t="shared" si="0"/>
        <v>1.8740625E-2</v>
      </c>
      <c r="C3" s="133">
        <f t="shared" si="1"/>
        <v>0.37481249999999999</v>
      </c>
      <c r="D3">
        <f>C3/'Results Focus GC'!$D$25*1000</f>
        <v>6.2416736053288924</v>
      </c>
      <c r="E3">
        <f t="shared" si="2"/>
        <v>1.5604184013322231</v>
      </c>
      <c r="G3" s="58"/>
      <c r="H3" t="e">
        <f t="shared" si="3"/>
        <v>#DIV/0!</v>
      </c>
    </row>
    <row r="4" spans="1:11">
      <c r="A4">
        <v>3</v>
      </c>
      <c r="B4">
        <f t="shared" si="0"/>
        <v>3.7481250000000001E-2</v>
      </c>
      <c r="C4" s="133">
        <f t="shared" si="1"/>
        <v>0.74962499999999999</v>
      </c>
      <c r="D4">
        <f>C4/'Results Focus GC'!$D$25*1000</f>
        <v>12.483347210657785</v>
      </c>
      <c r="E4">
        <f t="shared" si="2"/>
        <v>3.1208368026644462</v>
      </c>
      <c r="G4" s="58"/>
      <c r="H4" t="e">
        <f t="shared" si="3"/>
        <v>#DIV/0!</v>
      </c>
    </row>
    <row r="5" spans="1:11">
      <c r="A5">
        <v>4</v>
      </c>
      <c r="B5">
        <f t="shared" si="0"/>
        <v>7.4962500000000001E-2</v>
      </c>
      <c r="C5" s="133">
        <f t="shared" si="1"/>
        <v>1.49925</v>
      </c>
      <c r="D5">
        <f>C5/'Results Focus GC'!$D$25*1000</f>
        <v>24.966694421315569</v>
      </c>
      <c r="E5">
        <f t="shared" si="2"/>
        <v>6.2416736053288924</v>
      </c>
      <c r="G5" s="58"/>
      <c r="H5" t="e">
        <f t="shared" si="3"/>
        <v>#DIV/0!</v>
      </c>
    </row>
    <row r="6" spans="1:11">
      <c r="A6">
        <v>5</v>
      </c>
      <c r="B6">
        <f t="shared" si="0"/>
        <v>0.149925</v>
      </c>
      <c r="C6" s="133">
        <f t="shared" si="1"/>
        <v>2.9984999999999999</v>
      </c>
      <c r="D6">
        <f>C6/'Results Focus GC'!$D$25*1000</f>
        <v>49.933388842631139</v>
      </c>
      <c r="E6">
        <f t="shared" si="2"/>
        <v>12.483347210657785</v>
      </c>
      <c r="G6" s="58"/>
      <c r="H6" t="e">
        <f t="shared" si="3"/>
        <v>#DIV/0!</v>
      </c>
    </row>
    <row r="7" spans="1:11">
      <c r="A7">
        <v>6</v>
      </c>
      <c r="B7">
        <f t="shared" si="0"/>
        <v>0.29985000000000001</v>
      </c>
      <c r="C7" s="133">
        <f t="shared" si="1"/>
        <v>5.9969999999999999</v>
      </c>
      <c r="D7">
        <f>C7/'Results Focus GC'!$D$25*1000</f>
        <v>99.866777685262278</v>
      </c>
      <c r="E7">
        <f t="shared" si="2"/>
        <v>24.966694421315569</v>
      </c>
      <c r="G7" s="58"/>
      <c r="H7" t="e">
        <f t="shared" si="3"/>
        <v>#DIV/0!</v>
      </c>
    </row>
    <row r="8" spans="1:11">
      <c r="A8">
        <v>7</v>
      </c>
      <c r="B8">
        <f t="shared" si="0"/>
        <v>0.59970000000000001</v>
      </c>
      <c r="C8" s="133">
        <f t="shared" si="1"/>
        <v>11.994</v>
      </c>
      <c r="D8">
        <f>C8/'Results Focus GC'!$D$25*1000</f>
        <v>199.73355537052456</v>
      </c>
      <c r="E8">
        <f t="shared" si="2"/>
        <v>49.933388842631139</v>
      </c>
      <c r="G8" s="58"/>
      <c r="H8" t="e">
        <f t="shared" si="3"/>
        <v>#DIV/0!</v>
      </c>
    </row>
    <row r="9" spans="1:11">
      <c r="A9">
        <v>8</v>
      </c>
      <c r="B9">
        <v>1.1994</v>
      </c>
      <c r="C9" s="133">
        <f t="shared" si="1"/>
        <v>23.988</v>
      </c>
      <c r="D9">
        <f>C9/'Results Focus GC'!$D$25*1000</f>
        <v>399.46711074104911</v>
      </c>
      <c r="E9">
        <f t="shared" si="2"/>
        <v>99.866777685262278</v>
      </c>
      <c r="G9" s="58"/>
      <c r="H9" t="e">
        <f t="shared" si="3"/>
        <v>#DIV/0!</v>
      </c>
    </row>
    <row r="12" spans="1:11">
      <c r="A12" t="s">
        <v>292</v>
      </c>
    </row>
    <row r="13" spans="1:11">
      <c r="A13" t="s">
        <v>293</v>
      </c>
    </row>
    <row r="14" spans="1:11">
      <c r="A14" t="s">
        <v>294</v>
      </c>
    </row>
    <row r="15" spans="1:11">
      <c r="A15" t="s">
        <v>295</v>
      </c>
    </row>
    <row r="16" spans="1:11">
      <c r="A16" t="s">
        <v>296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M161" sqref="M161"/>
    </sheetView>
  </sheetViews>
  <sheetFormatPr baseColWidth="10" defaultColWidth="8.83203125" defaultRowHeight="14" x14ac:dyDescent="0"/>
  <cols>
    <col min="6" max="6" width="9.5" bestFit="1" customWidth="1"/>
  </cols>
  <sheetData>
    <row r="1" spans="1:11">
      <c r="A1" t="s">
        <v>298</v>
      </c>
      <c r="B1" t="s">
        <v>299</v>
      </c>
      <c r="C1" t="s">
        <v>302</v>
      </c>
      <c r="D1" t="s">
        <v>287</v>
      </c>
      <c r="E1" t="s">
        <v>303</v>
      </c>
      <c r="F1" t="s">
        <v>289</v>
      </c>
      <c r="G1" t="s">
        <v>290</v>
      </c>
      <c r="H1" t="s">
        <v>291</v>
      </c>
      <c r="J1" t="s">
        <v>278</v>
      </c>
      <c r="K1" t="s">
        <v>218</v>
      </c>
    </row>
    <row r="2" spans="1:11">
      <c r="A2">
        <v>1</v>
      </c>
      <c r="B2" s="132">
        <f t="shared" ref="B2:B8" si="0">B3/2</f>
        <v>6.1624999999999996E-3</v>
      </c>
      <c r="C2" s="133">
        <f t="shared" ref="C2:C9" si="1">B2*20</f>
        <v>0.12325</v>
      </c>
      <c r="D2">
        <f>C2/'Results Focus GC'!$D$49*1000</f>
        <v>1.6637419006479481</v>
      </c>
      <c r="E2">
        <f t="shared" ref="E2:E9" si="2">D2/4</f>
        <v>0.41593547516198703</v>
      </c>
      <c r="G2" s="58"/>
      <c r="H2" t="e">
        <f>F2/G2</f>
        <v>#DIV/0!</v>
      </c>
    </row>
    <row r="3" spans="1:11">
      <c r="A3">
        <v>2</v>
      </c>
      <c r="B3" s="132">
        <f t="shared" si="0"/>
        <v>1.2324999999999999E-2</v>
      </c>
      <c r="C3" s="133">
        <f t="shared" si="1"/>
        <v>0.2465</v>
      </c>
      <c r="D3">
        <f>C3/'Results Focus GC'!$D$49*1000</f>
        <v>3.3274838012958963</v>
      </c>
      <c r="E3">
        <f t="shared" si="2"/>
        <v>0.83187095032397407</v>
      </c>
      <c r="G3" s="58"/>
      <c r="H3" t="e">
        <f t="shared" ref="H3:H8" si="3">F3/G3</f>
        <v>#DIV/0!</v>
      </c>
    </row>
    <row r="4" spans="1:11">
      <c r="A4">
        <v>3</v>
      </c>
      <c r="B4" s="132">
        <f t="shared" si="0"/>
        <v>2.4649999999999998E-2</v>
      </c>
      <c r="C4" s="133">
        <f t="shared" si="1"/>
        <v>0.49299999999999999</v>
      </c>
      <c r="D4">
        <f>C4/'Results Focus GC'!$D$49*1000</f>
        <v>6.6549676025917925</v>
      </c>
      <c r="E4">
        <f t="shared" si="2"/>
        <v>1.6637419006479481</v>
      </c>
      <c r="G4" s="58"/>
      <c r="H4" t="e">
        <f t="shared" si="3"/>
        <v>#DIV/0!</v>
      </c>
    </row>
    <row r="5" spans="1:11">
      <c r="A5">
        <v>4</v>
      </c>
      <c r="B5" s="132">
        <f t="shared" si="0"/>
        <v>4.9299999999999997E-2</v>
      </c>
      <c r="C5" s="133">
        <f t="shared" si="1"/>
        <v>0.98599999999999999</v>
      </c>
      <c r="D5">
        <f>C5/'Results Focus GC'!$D$49*1000</f>
        <v>13.309935205183585</v>
      </c>
      <c r="E5">
        <f t="shared" si="2"/>
        <v>3.3274838012958963</v>
      </c>
      <c r="G5" s="58"/>
      <c r="H5" t="e">
        <f t="shared" si="3"/>
        <v>#DIV/0!</v>
      </c>
    </row>
    <row r="6" spans="1:11">
      <c r="A6">
        <v>5</v>
      </c>
      <c r="B6" s="132">
        <f t="shared" si="0"/>
        <v>9.8599999999999993E-2</v>
      </c>
      <c r="C6" s="133">
        <f t="shared" si="1"/>
        <v>1.972</v>
      </c>
      <c r="D6">
        <f>C6/'Results Focus GC'!$D$49*1000</f>
        <v>26.61987041036717</v>
      </c>
      <c r="E6">
        <f t="shared" si="2"/>
        <v>6.6549676025917925</v>
      </c>
      <c r="G6" s="58"/>
      <c r="H6" t="e">
        <f t="shared" si="3"/>
        <v>#DIV/0!</v>
      </c>
    </row>
    <row r="7" spans="1:11">
      <c r="A7">
        <v>6</v>
      </c>
      <c r="B7" s="132">
        <f t="shared" si="0"/>
        <v>0.19719999999999999</v>
      </c>
      <c r="C7" s="133">
        <f t="shared" si="1"/>
        <v>3.944</v>
      </c>
      <c r="D7">
        <f>C7/'Results Focus GC'!$D$49*1000</f>
        <v>53.23974082073434</v>
      </c>
      <c r="E7">
        <f t="shared" si="2"/>
        <v>13.309935205183585</v>
      </c>
      <c r="G7" s="58"/>
      <c r="H7" t="e">
        <f t="shared" si="3"/>
        <v>#DIV/0!</v>
      </c>
    </row>
    <row r="8" spans="1:11">
      <c r="A8">
        <v>7</v>
      </c>
      <c r="B8" s="132">
        <f t="shared" si="0"/>
        <v>0.39439999999999997</v>
      </c>
      <c r="C8" s="133">
        <f t="shared" si="1"/>
        <v>7.8879999999999999</v>
      </c>
      <c r="D8">
        <f>C8/'Results Focus GC'!$D$49*1000</f>
        <v>106.47948164146868</v>
      </c>
      <c r="E8">
        <f t="shared" si="2"/>
        <v>26.61987041036717</v>
      </c>
      <c r="G8" s="58"/>
      <c r="H8" t="e">
        <f t="shared" si="3"/>
        <v>#DIV/0!</v>
      </c>
    </row>
    <row r="9" spans="1:11">
      <c r="A9">
        <v>8</v>
      </c>
      <c r="B9" s="132">
        <v>0.78879999999999995</v>
      </c>
      <c r="C9" s="133">
        <f t="shared" si="1"/>
        <v>15.776</v>
      </c>
      <c r="D9">
        <f>C9/'Results Focus GC'!$D$49*1000</f>
        <v>212.95896328293736</v>
      </c>
      <c r="E9">
        <f t="shared" si="2"/>
        <v>53.23974082073434</v>
      </c>
      <c r="G9" s="58"/>
      <c r="H9" t="e">
        <f>F9/G9</f>
        <v>#DIV/0!</v>
      </c>
    </row>
    <row r="13" spans="1:11">
      <c r="A13" t="s">
        <v>292</v>
      </c>
    </row>
    <row r="14" spans="1:11">
      <c r="A14" t="s">
        <v>293</v>
      </c>
    </row>
    <row r="15" spans="1:11">
      <c r="A15" t="s">
        <v>294</v>
      </c>
    </row>
    <row r="16" spans="1:11">
      <c r="A16" t="s">
        <v>295</v>
      </c>
    </row>
    <row r="17" spans="1:1">
      <c r="A17" t="s">
        <v>304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M161" sqref="M161"/>
    </sheetView>
  </sheetViews>
  <sheetFormatPr baseColWidth="10" defaultRowHeight="14" x14ac:dyDescent="0"/>
  <sheetData>
    <row r="1" spans="1:11">
      <c r="A1" t="s">
        <v>298</v>
      </c>
      <c r="B1" t="s">
        <v>299</v>
      </c>
      <c r="C1" t="s">
        <v>300</v>
      </c>
      <c r="D1" t="s">
        <v>287</v>
      </c>
      <c r="E1" t="s">
        <v>303</v>
      </c>
      <c r="F1" t="s">
        <v>289</v>
      </c>
      <c r="G1" t="s">
        <v>290</v>
      </c>
      <c r="H1" t="s">
        <v>291</v>
      </c>
      <c r="J1" t="s">
        <v>278</v>
      </c>
      <c r="K1" t="s">
        <v>218</v>
      </c>
    </row>
    <row r="2" spans="1:11">
      <c r="A2">
        <v>1</v>
      </c>
      <c r="B2" s="132">
        <f t="shared" ref="B2:B8" si="0">B3/2</f>
        <v>1.361328125E-2</v>
      </c>
      <c r="C2" s="133">
        <f t="shared" ref="C2:C9" si="1">B2*20</f>
        <v>0.27226562500000001</v>
      </c>
      <c r="D2">
        <f>C2/'Results Focus GC'!$D$73*1000</f>
        <v>3.0900649755986835</v>
      </c>
      <c r="E2">
        <f t="shared" ref="E2:E9" si="2">D2/4</f>
        <v>0.77251624389967088</v>
      </c>
      <c r="G2" s="58"/>
      <c r="H2" t="e">
        <f>F2/G2</f>
        <v>#DIV/0!</v>
      </c>
    </row>
    <row r="3" spans="1:11">
      <c r="A3">
        <v>2</v>
      </c>
      <c r="B3" s="132">
        <f t="shared" si="0"/>
        <v>2.7226562499999999E-2</v>
      </c>
      <c r="C3" s="133">
        <f t="shared" si="1"/>
        <v>0.54453125000000002</v>
      </c>
      <c r="D3">
        <f>C3/'Results Focus GC'!$D$73*1000</f>
        <v>6.1801299511973671</v>
      </c>
      <c r="E3">
        <f t="shared" si="2"/>
        <v>1.5450324877993418</v>
      </c>
      <c r="G3" s="58"/>
      <c r="H3" t="e">
        <f t="shared" ref="H3:H8" si="3">F3/G3</f>
        <v>#DIV/0!</v>
      </c>
    </row>
    <row r="4" spans="1:11">
      <c r="A4">
        <v>3</v>
      </c>
      <c r="B4" s="132">
        <f t="shared" si="0"/>
        <v>5.4453124999999998E-2</v>
      </c>
      <c r="C4" s="133">
        <f t="shared" si="1"/>
        <v>1.0890625</v>
      </c>
      <c r="D4">
        <f>C4/'Results Focus GC'!$D$73*1000</f>
        <v>12.360259902394734</v>
      </c>
      <c r="E4">
        <f t="shared" si="2"/>
        <v>3.0900649755986835</v>
      </c>
      <c r="G4" s="58"/>
      <c r="H4" t="e">
        <f t="shared" si="3"/>
        <v>#DIV/0!</v>
      </c>
    </row>
    <row r="5" spans="1:11">
      <c r="A5">
        <v>4</v>
      </c>
      <c r="B5" s="132">
        <f t="shared" si="0"/>
        <v>0.10890625</v>
      </c>
      <c r="C5" s="133">
        <f t="shared" si="1"/>
        <v>2.1781250000000001</v>
      </c>
      <c r="D5">
        <f>C5/'Results Focus GC'!$D$73*1000</f>
        <v>24.720519804789468</v>
      </c>
      <c r="E5">
        <f t="shared" si="2"/>
        <v>6.1801299511973671</v>
      </c>
      <c r="G5" s="58"/>
      <c r="H5" t="e">
        <f t="shared" si="3"/>
        <v>#DIV/0!</v>
      </c>
    </row>
    <row r="6" spans="1:11">
      <c r="A6">
        <v>5</v>
      </c>
      <c r="B6" s="132">
        <f t="shared" si="0"/>
        <v>0.21781249999999999</v>
      </c>
      <c r="C6" s="133">
        <f t="shared" si="1"/>
        <v>4.3562500000000002</v>
      </c>
      <c r="D6">
        <f>C6/'Results Focus GC'!$D$73*1000</f>
        <v>49.441039609578937</v>
      </c>
      <c r="E6">
        <f t="shared" si="2"/>
        <v>12.360259902394734</v>
      </c>
      <c r="G6" s="58"/>
      <c r="H6" t="e">
        <f t="shared" si="3"/>
        <v>#DIV/0!</v>
      </c>
    </row>
    <row r="7" spans="1:11">
      <c r="A7">
        <v>6</v>
      </c>
      <c r="B7" s="132">
        <f t="shared" si="0"/>
        <v>0.43562499999999998</v>
      </c>
      <c r="C7" s="133">
        <f t="shared" si="1"/>
        <v>8.7125000000000004</v>
      </c>
      <c r="D7">
        <f>C7/'Results Focus GC'!$D$73*1000</f>
        <v>98.882079219157873</v>
      </c>
      <c r="E7">
        <f t="shared" si="2"/>
        <v>24.720519804789468</v>
      </c>
      <c r="G7" s="58"/>
      <c r="H7" t="e">
        <f t="shared" si="3"/>
        <v>#DIV/0!</v>
      </c>
    </row>
    <row r="8" spans="1:11">
      <c r="A8">
        <v>7</v>
      </c>
      <c r="B8" s="132">
        <f t="shared" si="0"/>
        <v>0.87124999999999997</v>
      </c>
      <c r="C8" s="133">
        <f t="shared" si="1"/>
        <v>17.425000000000001</v>
      </c>
      <c r="D8">
        <f>C8/'Results Focus GC'!$D$73*1000</f>
        <v>197.76415843831575</v>
      </c>
      <c r="E8">
        <f t="shared" si="2"/>
        <v>49.441039609578937</v>
      </c>
      <c r="G8" s="58"/>
      <c r="H8" t="e">
        <f t="shared" si="3"/>
        <v>#DIV/0!</v>
      </c>
    </row>
    <row r="9" spans="1:11">
      <c r="A9">
        <v>8</v>
      </c>
      <c r="B9" s="132">
        <v>1.7424999999999999</v>
      </c>
      <c r="C9" s="133">
        <f t="shared" si="1"/>
        <v>34.85</v>
      </c>
      <c r="D9">
        <f>C9/'Results Focus GC'!$D$73*1000</f>
        <v>395.52831687663149</v>
      </c>
      <c r="E9">
        <f t="shared" si="2"/>
        <v>98.882079219157873</v>
      </c>
      <c r="G9" s="58"/>
      <c r="H9" t="e">
        <f>F9/G9</f>
        <v>#DIV/0!</v>
      </c>
    </row>
    <row r="13" spans="1:11">
      <c r="A13" t="s">
        <v>292</v>
      </c>
    </row>
    <row r="14" spans="1:11">
      <c r="A14" t="s">
        <v>293</v>
      </c>
    </row>
    <row r="15" spans="1:11">
      <c r="A15" t="s">
        <v>294</v>
      </c>
    </row>
    <row r="16" spans="1:11">
      <c r="A16" t="s">
        <v>295</v>
      </c>
    </row>
    <row r="17" spans="1:1">
      <c r="A17" t="s">
        <v>296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M161" sqref="M161"/>
    </sheetView>
  </sheetViews>
  <sheetFormatPr baseColWidth="10" defaultRowHeight="14" x14ac:dyDescent="0"/>
  <sheetData>
    <row r="1" spans="1:11">
      <c r="A1" t="s">
        <v>298</v>
      </c>
      <c r="B1" t="s">
        <v>299</v>
      </c>
      <c r="C1" t="s">
        <v>300</v>
      </c>
      <c r="D1" t="s">
        <v>287</v>
      </c>
      <c r="E1" t="s">
        <v>303</v>
      </c>
      <c r="F1" t="s">
        <v>289</v>
      </c>
      <c r="G1" t="s">
        <v>290</v>
      </c>
      <c r="H1" t="s">
        <v>291</v>
      </c>
      <c r="J1" t="s">
        <v>278</v>
      </c>
      <c r="K1" t="s">
        <v>218</v>
      </c>
    </row>
    <row r="2" spans="1:11">
      <c r="A2">
        <v>1</v>
      </c>
      <c r="B2" s="132">
        <f t="shared" ref="B2:B8" si="0">B3/2</f>
        <v>6.8828125E-3</v>
      </c>
      <c r="C2" s="133">
        <f t="shared" ref="C2:C9" si="1">B2*20</f>
        <v>0.13765625000000001</v>
      </c>
      <c r="D2">
        <f>C2/'Results Focus GC'!$D$97*1000</f>
        <v>1.5623226648507549</v>
      </c>
      <c r="E2">
        <f t="shared" ref="E2:E9" si="2">D2/4</f>
        <v>0.39058066621268872</v>
      </c>
      <c r="G2" s="58"/>
      <c r="H2" t="e">
        <f>F2/G2</f>
        <v>#DIV/0!</v>
      </c>
    </row>
    <row r="3" spans="1:11">
      <c r="A3">
        <v>2</v>
      </c>
      <c r="B3" s="132">
        <f t="shared" si="0"/>
        <v>1.3765625E-2</v>
      </c>
      <c r="C3" s="133">
        <f t="shared" si="1"/>
        <v>0.27531250000000002</v>
      </c>
      <c r="D3">
        <f>C3/'Results Focus GC'!$D$97*1000</f>
        <v>3.1246453297015098</v>
      </c>
      <c r="E3">
        <f t="shared" si="2"/>
        <v>0.78116133242537744</v>
      </c>
      <c r="G3" s="58"/>
      <c r="H3" t="e">
        <f t="shared" ref="H3:H9" si="3">F3/G3</f>
        <v>#DIV/0!</v>
      </c>
    </row>
    <row r="4" spans="1:11">
      <c r="A4">
        <v>3</v>
      </c>
      <c r="B4" s="132">
        <f t="shared" si="0"/>
        <v>2.753125E-2</v>
      </c>
      <c r="C4" s="133">
        <f t="shared" si="1"/>
        <v>0.55062500000000003</v>
      </c>
      <c r="D4">
        <f>C4/'Results Focus GC'!$D$97*1000</f>
        <v>6.2492906594030195</v>
      </c>
      <c r="E4">
        <f t="shared" si="2"/>
        <v>1.5623226648507549</v>
      </c>
      <c r="G4" s="58"/>
      <c r="H4" t="e">
        <f t="shared" si="3"/>
        <v>#DIV/0!</v>
      </c>
    </row>
    <row r="5" spans="1:11">
      <c r="A5">
        <v>4</v>
      </c>
      <c r="B5" s="132">
        <f t="shared" si="0"/>
        <v>5.50625E-2</v>
      </c>
      <c r="C5" s="133">
        <f t="shared" si="1"/>
        <v>1.1012500000000001</v>
      </c>
      <c r="D5">
        <f>C5/'Results Focus GC'!$D$97*1000</f>
        <v>12.498581318806039</v>
      </c>
      <c r="E5">
        <f t="shared" si="2"/>
        <v>3.1246453297015098</v>
      </c>
      <c r="G5" s="58"/>
      <c r="H5" t="e">
        <f t="shared" si="3"/>
        <v>#DIV/0!</v>
      </c>
    </row>
    <row r="6" spans="1:11">
      <c r="A6">
        <v>5</v>
      </c>
      <c r="B6" s="132">
        <f t="shared" si="0"/>
        <v>0.110125</v>
      </c>
      <c r="C6" s="133">
        <f t="shared" si="1"/>
        <v>2.2025000000000001</v>
      </c>
      <c r="D6">
        <f>C6/'Results Focus GC'!$D$97*1000</f>
        <v>24.997162637612078</v>
      </c>
      <c r="E6">
        <f t="shared" si="2"/>
        <v>6.2492906594030195</v>
      </c>
      <c r="G6" s="58"/>
      <c r="H6" t="e">
        <f t="shared" si="3"/>
        <v>#DIV/0!</v>
      </c>
    </row>
    <row r="7" spans="1:11">
      <c r="A7">
        <v>6</v>
      </c>
      <c r="B7" s="132">
        <f t="shared" si="0"/>
        <v>0.22025</v>
      </c>
      <c r="C7" s="133">
        <f t="shared" si="1"/>
        <v>4.4050000000000002</v>
      </c>
      <c r="D7">
        <f>C7/'Results Focus GC'!$D$97*1000</f>
        <v>49.994325275224156</v>
      </c>
      <c r="E7">
        <f t="shared" si="2"/>
        <v>12.498581318806039</v>
      </c>
      <c r="G7" s="58"/>
      <c r="H7" t="e">
        <f t="shared" si="3"/>
        <v>#DIV/0!</v>
      </c>
    </row>
    <row r="8" spans="1:11">
      <c r="A8">
        <v>7</v>
      </c>
      <c r="B8" s="132">
        <f t="shared" si="0"/>
        <v>0.4405</v>
      </c>
      <c r="C8" s="133">
        <f t="shared" si="1"/>
        <v>8.81</v>
      </c>
      <c r="D8">
        <f>C8/'Results Focus GC'!$D$97*1000</f>
        <v>99.988650550448313</v>
      </c>
      <c r="E8">
        <f t="shared" si="2"/>
        <v>24.997162637612078</v>
      </c>
      <c r="G8" s="58"/>
      <c r="H8" t="e">
        <f t="shared" si="3"/>
        <v>#DIV/0!</v>
      </c>
    </row>
    <row r="9" spans="1:11">
      <c r="A9">
        <v>8</v>
      </c>
      <c r="B9" s="132">
        <v>0.88100000000000001</v>
      </c>
      <c r="C9" s="133">
        <f t="shared" si="1"/>
        <v>17.62</v>
      </c>
      <c r="D9">
        <f>C9/'Results Focus GC'!$D$97*1000</f>
        <v>199.97730110089663</v>
      </c>
      <c r="E9">
        <f t="shared" si="2"/>
        <v>49.994325275224156</v>
      </c>
      <c r="G9" s="58"/>
      <c r="H9" t="e">
        <f t="shared" si="3"/>
        <v>#DIV/0!</v>
      </c>
    </row>
    <row r="13" spans="1:11">
      <c r="A13" t="s">
        <v>292</v>
      </c>
    </row>
    <row r="14" spans="1:11">
      <c r="A14" t="s">
        <v>293</v>
      </c>
    </row>
    <row r="15" spans="1:11">
      <c r="A15" t="s">
        <v>294</v>
      </c>
    </row>
    <row r="16" spans="1:11">
      <c r="A16" t="s">
        <v>295</v>
      </c>
    </row>
    <row r="17" spans="1:1">
      <c r="A17" t="s">
        <v>296</v>
      </c>
    </row>
    <row r="21" spans="1:1">
      <c r="A21" t="s">
        <v>305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M161" sqref="M161"/>
    </sheetView>
  </sheetViews>
  <sheetFormatPr baseColWidth="10" defaultRowHeight="14" x14ac:dyDescent="0"/>
  <sheetData>
    <row r="1" spans="1:11">
      <c r="A1" t="s">
        <v>298</v>
      </c>
      <c r="B1" t="s">
        <v>299</v>
      </c>
      <c r="C1" t="s">
        <v>300</v>
      </c>
      <c r="D1" t="s">
        <v>287</v>
      </c>
      <c r="E1" t="s">
        <v>303</v>
      </c>
      <c r="F1" t="s">
        <v>289</v>
      </c>
      <c r="G1" t="s">
        <v>290</v>
      </c>
      <c r="H1" t="s">
        <v>291</v>
      </c>
      <c r="J1" t="s">
        <v>278</v>
      </c>
      <c r="K1" t="s">
        <v>218</v>
      </c>
    </row>
    <row r="2" spans="1:11">
      <c r="A2">
        <v>1</v>
      </c>
      <c r="B2" s="132">
        <f t="shared" ref="B2:B8" si="0">B3/2</f>
        <v>7.9773437499999992E-3</v>
      </c>
      <c r="C2" s="133">
        <f t="shared" ref="C2:C9" si="1">B2*20</f>
        <v>0.15954687499999998</v>
      </c>
      <c r="D2">
        <f>C2/'Results Focus GC'!$D$121*1000</f>
        <v>1.562194017428767</v>
      </c>
      <c r="E2">
        <f t="shared" ref="E2:E9" si="2">D2/4</f>
        <v>0.39054850435719174</v>
      </c>
      <c r="G2" s="58"/>
      <c r="H2" t="e">
        <f>F2/G2</f>
        <v>#DIV/0!</v>
      </c>
    </row>
    <row r="3" spans="1:11">
      <c r="A3">
        <v>2</v>
      </c>
      <c r="B3" s="132">
        <f t="shared" si="0"/>
        <v>1.5954687499999998E-2</v>
      </c>
      <c r="C3" s="133">
        <f t="shared" si="1"/>
        <v>0.31909374999999995</v>
      </c>
      <c r="D3">
        <f>C3/'Results Focus GC'!$D$121*1000</f>
        <v>3.1243880348575339</v>
      </c>
      <c r="E3">
        <f t="shared" si="2"/>
        <v>0.78109700871438348</v>
      </c>
      <c r="G3" s="58"/>
      <c r="H3" t="e">
        <f t="shared" ref="H3:H9" si="3">F3/G3</f>
        <v>#DIV/0!</v>
      </c>
    </row>
    <row r="4" spans="1:11">
      <c r="A4">
        <v>3</v>
      </c>
      <c r="B4" s="132">
        <f t="shared" si="0"/>
        <v>3.1909374999999997E-2</v>
      </c>
      <c r="C4" s="133">
        <f t="shared" si="1"/>
        <v>0.63818749999999991</v>
      </c>
      <c r="D4">
        <f>C4/'Results Focus GC'!$D$121*1000</f>
        <v>6.2487760697150678</v>
      </c>
      <c r="E4">
        <f t="shared" si="2"/>
        <v>1.562194017428767</v>
      </c>
      <c r="G4" s="58"/>
      <c r="H4" t="e">
        <f t="shared" si="3"/>
        <v>#DIV/0!</v>
      </c>
    </row>
    <row r="5" spans="1:11">
      <c r="A5">
        <v>4</v>
      </c>
      <c r="B5" s="132">
        <f t="shared" si="0"/>
        <v>6.3818749999999994E-2</v>
      </c>
      <c r="C5" s="133">
        <f t="shared" si="1"/>
        <v>1.2763749999999998</v>
      </c>
      <c r="D5">
        <f>C5/'Results Focus GC'!$D$121*1000</f>
        <v>12.497552139430136</v>
      </c>
      <c r="E5">
        <f t="shared" si="2"/>
        <v>3.1243880348575339</v>
      </c>
      <c r="G5" s="58"/>
      <c r="H5" t="e">
        <f t="shared" si="3"/>
        <v>#DIV/0!</v>
      </c>
    </row>
    <row r="6" spans="1:11">
      <c r="A6">
        <v>5</v>
      </c>
      <c r="B6" s="132">
        <f t="shared" si="0"/>
        <v>0.12763749999999999</v>
      </c>
      <c r="C6" s="133">
        <f t="shared" si="1"/>
        <v>2.5527499999999996</v>
      </c>
      <c r="D6">
        <f>C6/'Results Focus GC'!$D$121*1000</f>
        <v>24.995104278860271</v>
      </c>
      <c r="E6">
        <f t="shared" si="2"/>
        <v>6.2487760697150678</v>
      </c>
      <c r="G6" s="58"/>
      <c r="H6" t="e">
        <f t="shared" si="3"/>
        <v>#DIV/0!</v>
      </c>
    </row>
    <row r="7" spans="1:11">
      <c r="A7">
        <v>6</v>
      </c>
      <c r="B7" s="132">
        <f t="shared" si="0"/>
        <v>0.25527499999999997</v>
      </c>
      <c r="C7" s="133">
        <f t="shared" si="1"/>
        <v>5.1054999999999993</v>
      </c>
      <c r="D7">
        <f>C7/'Results Focus GC'!$D$121*1000</f>
        <v>49.990208557720543</v>
      </c>
      <c r="E7">
        <f t="shared" si="2"/>
        <v>12.497552139430136</v>
      </c>
      <c r="G7" s="58"/>
      <c r="H7" t="e">
        <f t="shared" si="3"/>
        <v>#DIV/0!</v>
      </c>
    </row>
    <row r="8" spans="1:11">
      <c r="A8">
        <v>7</v>
      </c>
      <c r="B8" s="132">
        <f t="shared" si="0"/>
        <v>0.51054999999999995</v>
      </c>
      <c r="C8" s="133">
        <f t="shared" si="1"/>
        <v>10.210999999999999</v>
      </c>
      <c r="D8">
        <f>C8/'Results Focus GC'!$D$121*1000</f>
        <v>99.980417115441085</v>
      </c>
      <c r="E8">
        <f t="shared" si="2"/>
        <v>24.995104278860271</v>
      </c>
      <c r="G8" s="58"/>
      <c r="H8" t="e">
        <f t="shared" si="3"/>
        <v>#DIV/0!</v>
      </c>
    </row>
    <row r="9" spans="1:11">
      <c r="A9">
        <v>8</v>
      </c>
      <c r="B9" s="132">
        <v>1.0210999999999999</v>
      </c>
      <c r="C9" s="133">
        <f t="shared" si="1"/>
        <v>20.421999999999997</v>
      </c>
      <c r="D9">
        <f>C9/'Results Focus GC'!$D$121*1000</f>
        <v>199.96083423088217</v>
      </c>
      <c r="E9">
        <f t="shared" si="2"/>
        <v>49.990208557720543</v>
      </c>
      <c r="G9" s="58"/>
      <c r="H9" t="e">
        <f t="shared" si="3"/>
        <v>#DIV/0!</v>
      </c>
    </row>
    <row r="13" spans="1:11">
      <c r="A13" t="s">
        <v>292</v>
      </c>
    </row>
    <row r="14" spans="1:11">
      <c r="A14" t="s">
        <v>293</v>
      </c>
    </row>
    <row r="15" spans="1:11">
      <c r="A15" t="s">
        <v>294</v>
      </c>
    </row>
    <row r="16" spans="1:11">
      <c r="A16" t="s">
        <v>295</v>
      </c>
    </row>
    <row r="17" spans="1:1">
      <c r="A17" t="s">
        <v>296</v>
      </c>
    </row>
    <row r="20" spans="1:1">
      <c r="A20" t="s">
        <v>306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M161" sqref="M161"/>
    </sheetView>
  </sheetViews>
  <sheetFormatPr baseColWidth="10" defaultRowHeight="14" x14ac:dyDescent="0"/>
  <sheetData>
    <row r="1" spans="1:11">
      <c r="A1" t="s">
        <v>298</v>
      </c>
      <c r="B1" t="s">
        <v>299</v>
      </c>
      <c r="C1" t="s">
        <v>300</v>
      </c>
      <c r="D1" t="s">
        <v>287</v>
      </c>
      <c r="E1" t="s">
        <v>303</v>
      </c>
      <c r="F1" t="s">
        <v>289</v>
      </c>
      <c r="G1" t="s">
        <v>290</v>
      </c>
      <c r="H1" t="s">
        <v>291</v>
      </c>
      <c r="J1" t="s">
        <v>278</v>
      </c>
      <c r="K1" t="s">
        <v>218</v>
      </c>
    </row>
    <row r="2" spans="1:11">
      <c r="A2">
        <v>1</v>
      </c>
      <c r="B2" s="132">
        <f t="shared" ref="B2:B8" si="0">B3/2</f>
        <v>8.1218750000000006E-3</v>
      </c>
      <c r="C2" s="133">
        <f t="shared" ref="C2:C9" si="1">B2*20</f>
        <v>0.16243750000000001</v>
      </c>
      <c r="D2">
        <f>C2/'Results Focus GC'!$D$145*1000</f>
        <v>1.590497405267796</v>
      </c>
      <c r="E2">
        <f t="shared" ref="E2:E9" si="2">D2/4</f>
        <v>0.39762435131694901</v>
      </c>
      <c r="G2" s="58"/>
      <c r="H2" t="e">
        <f>F2/G2</f>
        <v>#DIV/0!</v>
      </c>
    </row>
    <row r="3" spans="1:11">
      <c r="A3">
        <v>2</v>
      </c>
      <c r="B3" s="132">
        <f t="shared" si="0"/>
        <v>1.6243750000000001E-2</v>
      </c>
      <c r="C3" s="133">
        <f t="shared" si="1"/>
        <v>0.32487500000000002</v>
      </c>
      <c r="D3">
        <f>C3/'Results Focus GC'!$D$145*1000</f>
        <v>3.1809948105355921</v>
      </c>
      <c r="E3">
        <f t="shared" si="2"/>
        <v>0.79524870263389802</v>
      </c>
      <c r="G3" s="58"/>
      <c r="H3" t="e">
        <f t="shared" ref="H3:H9" si="3">F3/G3</f>
        <v>#DIV/0!</v>
      </c>
    </row>
    <row r="4" spans="1:11">
      <c r="A4">
        <v>3</v>
      </c>
      <c r="B4" s="132">
        <f t="shared" si="0"/>
        <v>3.2487500000000002E-2</v>
      </c>
      <c r="C4" s="133">
        <f t="shared" si="1"/>
        <v>0.64975000000000005</v>
      </c>
      <c r="D4">
        <f>C4/'Results Focus GC'!$D$145*1000</f>
        <v>6.3619896210711842</v>
      </c>
      <c r="E4">
        <f t="shared" si="2"/>
        <v>1.590497405267796</v>
      </c>
      <c r="G4" s="58"/>
      <c r="H4" t="e">
        <f t="shared" si="3"/>
        <v>#DIV/0!</v>
      </c>
    </row>
    <row r="5" spans="1:11">
      <c r="A5">
        <v>4</v>
      </c>
      <c r="B5" s="132">
        <f t="shared" si="0"/>
        <v>6.4975000000000005E-2</v>
      </c>
      <c r="C5" s="133">
        <f t="shared" si="1"/>
        <v>1.2995000000000001</v>
      </c>
      <c r="D5">
        <f>C5/'Results Focus GC'!$D$145*1000</f>
        <v>12.723979242142368</v>
      </c>
      <c r="E5">
        <f t="shared" si="2"/>
        <v>3.1809948105355921</v>
      </c>
      <c r="G5" s="58"/>
      <c r="H5" t="e">
        <f t="shared" si="3"/>
        <v>#DIV/0!</v>
      </c>
    </row>
    <row r="6" spans="1:11">
      <c r="A6">
        <v>5</v>
      </c>
      <c r="B6" s="132">
        <f t="shared" si="0"/>
        <v>0.12995000000000001</v>
      </c>
      <c r="C6" s="133">
        <f t="shared" si="1"/>
        <v>2.5990000000000002</v>
      </c>
      <c r="D6">
        <f>C6/'Results Focus GC'!$D$145*1000</f>
        <v>25.447958484284737</v>
      </c>
      <c r="E6">
        <f t="shared" si="2"/>
        <v>6.3619896210711842</v>
      </c>
      <c r="G6" s="58"/>
      <c r="H6" t="e">
        <f t="shared" si="3"/>
        <v>#DIV/0!</v>
      </c>
    </row>
    <row r="7" spans="1:11">
      <c r="A7">
        <v>6</v>
      </c>
      <c r="B7" s="132">
        <f t="shared" si="0"/>
        <v>0.25990000000000002</v>
      </c>
      <c r="C7" s="133">
        <f t="shared" si="1"/>
        <v>5.1980000000000004</v>
      </c>
      <c r="D7">
        <f>C7/'Results Focus GC'!$D$145*1000</f>
        <v>50.895916968569473</v>
      </c>
      <c r="E7">
        <f t="shared" si="2"/>
        <v>12.723979242142368</v>
      </c>
      <c r="G7" s="58"/>
      <c r="H7" t="e">
        <f t="shared" si="3"/>
        <v>#DIV/0!</v>
      </c>
    </row>
    <row r="8" spans="1:11">
      <c r="A8">
        <v>7</v>
      </c>
      <c r="B8" s="132">
        <f t="shared" si="0"/>
        <v>0.51980000000000004</v>
      </c>
      <c r="C8" s="133">
        <f t="shared" si="1"/>
        <v>10.396000000000001</v>
      </c>
      <c r="D8">
        <f>C8/'Results Focus GC'!$D$145*1000</f>
        <v>101.79183393713895</v>
      </c>
      <c r="E8">
        <f t="shared" si="2"/>
        <v>25.447958484284737</v>
      </c>
      <c r="G8" s="58"/>
      <c r="H8" t="e">
        <f t="shared" si="3"/>
        <v>#DIV/0!</v>
      </c>
    </row>
    <row r="9" spans="1:11">
      <c r="A9">
        <v>8</v>
      </c>
      <c r="B9" s="132">
        <v>1.0396000000000001</v>
      </c>
      <c r="C9" s="133">
        <f t="shared" si="1"/>
        <v>20.792000000000002</v>
      </c>
      <c r="D9">
        <f>C9/'Results Focus GC'!$D$145*1000</f>
        <v>203.58366787427789</v>
      </c>
      <c r="E9">
        <f t="shared" si="2"/>
        <v>50.895916968569473</v>
      </c>
      <c r="G9" s="58"/>
      <c r="H9" t="e">
        <f t="shared" si="3"/>
        <v>#DIV/0!</v>
      </c>
    </row>
    <row r="13" spans="1:11">
      <c r="A13" t="s">
        <v>292</v>
      </c>
    </row>
    <row r="14" spans="1:11">
      <c r="A14" t="s">
        <v>293</v>
      </c>
    </row>
    <row r="15" spans="1:11">
      <c r="A15" t="s">
        <v>294</v>
      </c>
    </row>
    <row r="16" spans="1:11">
      <c r="A16" t="s">
        <v>295</v>
      </c>
    </row>
    <row r="17" spans="1:1">
      <c r="A17" t="s">
        <v>296</v>
      </c>
    </row>
    <row r="20" spans="1:1">
      <c r="A20" t="s">
        <v>307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R48"/>
  <sheetViews>
    <sheetView workbookViewId="0">
      <selection activeCell="B13" sqref="B13"/>
    </sheetView>
  </sheetViews>
  <sheetFormatPr baseColWidth="10" defaultColWidth="8.83203125" defaultRowHeight="14" x14ac:dyDescent="0"/>
  <cols>
    <col min="1" max="1" width="23.6640625" bestFit="1" customWidth="1"/>
    <col min="2" max="2" width="11" bestFit="1" customWidth="1"/>
    <col min="9" max="9" width="22.33203125" customWidth="1"/>
    <col min="10" max="10" width="8.83203125" customWidth="1"/>
  </cols>
  <sheetData>
    <row r="1" spans="1:18">
      <c r="B1" s="30" t="s">
        <v>152</v>
      </c>
      <c r="C1" s="30" t="s">
        <v>78</v>
      </c>
    </row>
    <row r="2" spans="1:18">
      <c r="A2" s="30" t="s">
        <v>147</v>
      </c>
      <c r="B2" s="31">
        <f>Metabolites!H4-Metabolites!H20</f>
        <v>25.471934596208865</v>
      </c>
      <c r="C2" s="31">
        <f>Metabolites!I4+Metabolites!I20</f>
        <v>0.58064103895858521</v>
      </c>
      <c r="I2" s="76"/>
      <c r="J2" s="76" t="s">
        <v>159</v>
      </c>
      <c r="K2" s="76"/>
      <c r="L2" s="76" t="s">
        <v>160</v>
      </c>
      <c r="M2" s="76"/>
      <c r="N2" s="76" t="s">
        <v>161</v>
      </c>
      <c r="O2" s="76" t="s">
        <v>162</v>
      </c>
      <c r="P2" s="76" t="s">
        <v>163</v>
      </c>
      <c r="Q2" s="76" t="s">
        <v>164</v>
      </c>
      <c r="R2" s="58"/>
    </row>
    <row r="3" spans="1:18">
      <c r="A3" s="30" t="s">
        <v>183</v>
      </c>
      <c r="B3" s="31">
        <f>Metabolites!P20-Metabolites!P4</f>
        <v>30.659168880362962</v>
      </c>
      <c r="C3" s="31">
        <f>Metabolites!Q4+Metabolites!Q20</f>
        <v>0.70818056442265753</v>
      </c>
      <c r="I3" s="76"/>
      <c r="J3" s="76" t="s">
        <v>165</v>
      </c>
      <c r="K3" s="76"/>
      <c r="L3" s="76"/>
      <c r="M3" s="76"/>
      <c r="N3" s="76"/>
      <c r="O3" s="76"/>
      <c r="P3" s="76"/>
      <c r="Q3" s="76"/>
      <c r="R3" s="58"/>
    </row>
    <row r="4" spans="1:18">
      <c r="A4" s="30" t="s">
        <v>182</v>
      </c>
      <c r="B4" s="31">
        <f>Metabolites!T4-Metabolites!T20</f>
        <v>37.814837550716334</v>
      </c>
      <c r="C4" s="31">
        <f>Metabolites!U4+Metabolites!U20</f>
        <v>1.1804609282153458</v>
      </c>
      <c r="I4" s="76"/>
      <c r="J4" s="76"/>
      <c r="K4" s="76"/>
      <c r="L4" s="76"/>
      <c r="M4" s="76"/>
      <c r="N4" s="76"/>
      <c r="O4" s="76"/>
      <c r="P4" s="76"/>
      <c r="Q4" s="76"/>
      <c r="R4" s="58"/>
    </row>
    <row r="5" spans="1:18">
      <c r="A5" s="30" t="s">
        <v>122</v>
      </c>
      <c r="B5" s="31">
        <f>Metabolites!L20-Metabolites!L4</f>
        <v>7.1574897420063612</v>
      </c>
      <c r="C5" s="31">
        <f>Metabolites!M20+Metabolites!M4</f>
        <v>0.15788421135287711</v>
      </c>
      <c r="I5" s="76"/>
      <c r="J5" s="76"/>
      <c r="K5" s="76"/>
      <c r="L5" s="74" t="s">
        <v>126</v>
      </c>
      <c r="M5" s="74"/>
      <c r="N5" s="74" t="s">
        <v>127</v>
      </c>
      <c r="O5" s="74"/>
      <c r="P5" s="76"/>
      <c r="Q5" s="76"/>
      <c r="R5" s="58"/>
    </row>
    <row r="6" spans="1:18">
      <c r="A6" s="30" t="s">
        <v>123</v>
      </c>
      <c r="B6" s="31">
        <f>Metabolites!L43-Metabolites!L27</f>
        <v>0</v>
      </c>
      <c r="C6" s="31">
        <f>Metabolites!M43+Metabolites!M27</f>
        <v>0</v>
      </c>
      <c r="I6" s="170" t="s">
        <v>166</v>
      </c>
      <c r="J6" s="170"/>
      <c r="K6" s="170"/>
      <c r="L6" s="79" t="s">
        <v>100</v>
      </c>
      <c r="M6" s="74"/>
      <c r="N6" s="80">
        <f>B7-B4</f>
        <v>-2.1916792302114061</v>
      </c>
      <c r="O6" s="79" t="s">
        <v>48</v>
      </c>
      <c r="P6" s="76"/>
      <c r="Q6" s="76"/>
      <c r="R6" s="58"/>
    </row>
    <row r="7" spans="1:18">
      <c r="A7" s="30" t="s">
        <v>79</v>
      </c>
      <c r="B7" s="31">
        <f>'H2'!G101</f>
        <v>35.623158320504928</v>
      </c>
      <c r="I7" s="170" t="s">
        <v>167</v>
      </c>
      <c r="J7" s="170"/>
      <c r="K7" s="170"/>
      <c r="L7" s="79" t="s">
        <v>100</v>
      </c>
      <c r="M7" s="74"/>
      <c r="N7" s="80">
        <f>C23-B3</f>
        <v>-78.828906791197142</v>
      </c>
      <c r="O7" s="79" t="s">
        <v>48</v>
      </c>
      <c r="P7" s="76"/>
      <c r="Q7" s="76"/>
      <c r="R7" s="58"/>
    </row>
    <row r="8" spans="1:18">
      <c r="A8" s="30" t="s">
        <v>80</v>
      </c>
      <c r="B8" s="31">
        <f>'CO2'!G101</f>
        <v>29.894346851908864</v>
      </c>
      <c r="I8" s="76" t="s">
        <v>168</v>
      </c>
      <c r="J8" s="76"/>
      <c r="K8" s="76"/>
      <c r="L8" s="80">
        <f>N6</f>
        <v>-2.1916792302114061</v>
      </c>
      <c r="M8" s="79" t="s">
        <v>48</v>
      </c>
      <c r="N8" s="74" t="s">
        <v>100</v>
      </c>
      <c r="O8" s="74"/>
    </row>
    <row r="9" spans="1:18">
      <c r="A9" s="30" t="s">
        <v>124</v>
      </c>
      <c r="B9" s="31">
        <f>Calculation!G21*1.5/1000</f>
        <v>2.2499999999999999E-2</v>
      </c>
      <c r="I9" s="76" t="s">
        <v>169</v>
      </c>
      <c r="J9" s="76"/>
      <c r="K9" s="76"/>
      <c r="L9" s="80">
        <f>4*N7</f>
        <v>-315.31562716478857</v>
      </c>
      <c r="M9" s="79" t="s">
        <v>48</v>
      </c>
      <c r="N9" s="74"/>
      <c r="O9" s="74"/>
    </row>
    <row r="10" spans="1:18" ht="16">
      <c r="A10" s="30" t="s">
        <v>125</v>
      </c>
      <c r="B10" s="31">
        <f>Calculation!H21*1.5/1000</f>
        <v>1.2E-2</v>
      </c>
      <c r="I10" s="76" t="s">
        <v>170</v>
      </c>
      <c r="J10" s="58"/>
      <c r="K10" s="58"/>
      <c r="L10" s="80">
        <f>2*N7</f>
        <v>-157.65781358239428</v>
      </c>
      <c r="M10" s="79" t="s">
        <v>48</v>
      </c>
      <c r="N10" s="79"/>
      <c r="O10" s="79"/>
    </row>
    <row r="11" spans="1:18">
      <c r="I11" s="76" t="s">
        <v>171</v>
      </c>
      <c r="J11" s="58"/>
      <c r="K11" s="58"/>
      <c r="L11" s="77">
        <f>L8-L9</f>
        <v>313.12394793457713</v>
      </c>
      <c r="M11" s="79" t="s">
        <v>48</v>
      </c>
      <c r="N11" s="77" t="e">
        <f>#REF!</f>
        <v>#REF!</v>
      </c>
      <c r="O11" s="79" t="s">
        <v>48</v>
      </c>
    </row>
    <row r="12" spans="1:18">
      <c r="A12" s="30" t="s">
        <v>81</v>
      </c>
      <c r="B12" s="81">
        <f>((4*$B$6)+(2*$B$3)+(3*$B$5)+(B8))/((6*$B$2)+($B$4))</f>
        <v>0.59106873859103481</v>
      </c>
      <c r="I12" s="76" t="s">
        <v>172</v>
      </c>
      <c r="J12" s="58"/>
      <c r="K12" s="58"/>
      <c r="L12" s="77">
        <f>L8-L10</f>
        <v>155.46613435218288</v>
      </c>
      <c r="M12" s="79" t="s">
        <v>48</v>
      </c>
      <c r="N12" s="77" t="e">
        <f>#REF!</f>
        <v>#REF!</v>
      </c>
      <c r="O12" s="79" t="s">
        <v>48</v>
      </c>
    </row>
    <row r="15" spans="1:18">
      <c r="A15" t="s">
        <v>157</v>
      </c>
      <c r="I15" t="s">
        <v>158</v>
      </c>
    </row>
    <row r="17" spans="1:18">
      <c r="A17" s="58"/>
      <c r="B17" s="58"/>
      <c r="C17" s="58" t="s">
        <v>126</v>
      </c>
      <c r="D17" s="58" t="s">
        <v>127</v>
      </c>
      <c r="I17" s="58"/>
      <c r="J17" s="58"/>
      <c r="K17" s="58" t="s">
        <v>126</v>
      </c>
      <c r="L17" s="58" t="s">
        <v>127</v>
      </c>
      <c r="O17" s="58" t="s">
        <v>126</v>
      </c>
      <c r="P17" s="58" t="s">
        <v>127</v>
      </c>
    </row>
    <row r="18" spans="1:18">
      <c r="A18" s="30" t="s">
        <v>151</v>
      </c>
      <c r="B18" s="58" t="s">
        <v>128</v>
      </c>
      <c r="C18" s="77">
        <f>B2</f>
        <v>25.471934596208865</v>
      </c>
      <c r="D18" s="59" t="s">
        <v>100</v>
      </c>
      <c r="E18" s="58"/>
      <c r="I18" s="30" t="s">
        <v>151</v>
      </c>
      <c r="J18" s="58" t="s">
        <v>128</v>
      </c>
      <c r="K18" s="77">
        <v>48.582741267021902</v>
      </c>
      <c r="L18" s="77">
        <v>48.582741267021902</v>
      </c>
    </row>
    <row r="19" spans="1:18">
      <c r="A19" s="30" t="s">
        <v>129</v>
      </c>
      <c r="B19" s="58" t="s">
        <v>130</v>
      </c>
      <c r="C19" s="77">
        <f>2*C18</f>
        <v>50.943869192417729</v>
      </c>
      <c r="D19" s="59" t="s">
        <v>100</v>
      </c>
      <c r="E19" s="58"/>
      <c r="I19" s="30" t="s">
        <v>129</v>
      </c>
      <c r="J19" s="58" t="s">
        <v>130</v>
      </c>
      <c r="K19" s="77">
        <v>97.165482534043804</v>
      </c>
      <c r="L19" s="77">
        <v>97.165482534043804</v>
      </c>
      <c r="N19" t="s">
        <v>184</v>
      </c>
      <c r="O19" s="31">
        <f>C19-C20</f>
        <v>43.786379450411367</v>
      </c>
      <c r="P19" s="31">
        <f>B3</f>
        <v>30.659168880362962</v>
      </c>
    </row>
    <row r="20" spans="1:18">
      <c r="A20" s="30" t="s">
        <v>131</v>
      </c>
      <c r="B20" s="58" t="s">
        <v>132</v>
      </c>
      <c r="C20" s="77">
        <f>B5</f>
        <v>7.1574897420063612</v>
      </c>
      <c r="D20" s="59" t="s">
        <v>100</v>
      </c>
      <c r="E20" s="58"/>
      <c r="I20" s="30" t="s">
        <v>131</v>
      </c>
      <c r="J20" s="58" t="s">
        <v>132</v>
      </c>
      <c r="K20" s="77">
        <v>5.038793279026887</v>
      </c>
      <c r="L20" s="77">
        <v>5.038793279026887</v>
      </c>
      <c r="N20" t="s">
        <v>185</v>
      </c>
      <c r="P20" s="31">
        <f>O19-P19</f>
        <v>13.127210570048405</v>
      </c>
    </row>
    <row r="21" spans="1:18">
      <c r="A21" s="30" t="s">
        <v>133</v>
      </c>
      <c r="B21" s="58" t="s">
        <v>134</v>
      </c>
      <c r="C21" s="77">
        <f>N6</f>
        <v>-2.1916792302114061</v>
      </c>
      <c r="D21" s="59" t="s">
        <v>100</v>
      </c>
      <c r="E21" s="58"/>
      <c r="I21" s="30" t="s">
        <v>133</v>
      </c>
      <c r="J21" s="58" t="s">
        <v>134</v>
      </c>
      <c r="K21" s="77">
        <v>-1.2165978709537257</v>
      </c>
      <c r="L21" s="77">
        <v>-1.2165978709537257</v>
      </c>
    </row>
    <row r="22" spans="1:18">
      <c r="A22" s="30" t="s">
        <v>135</v>
      </c>
      <c r="B22" s="58" t="s">
        <v>136</v>
      </c>
      <c r="C22" s="78">
        <f>C19-C20-C21</f>
        <v>45.978058680622773</v>
      </c>
      <c r="D22" s="66" t="s">
        <v>100</v>
      </c>
      <c r="E22" s="58"/>
      <c r="I22" s="30" t="s">
        <v>135</v>
      </c>
      <c r="J22" s="58" t="s">
        <v>136</v>
      </c>
      <c r="K22" s="78">
        <v>93.343287125970633</v>
      </c>
      <c r="L22" s="78">
        <v>24.954042808693252</v>
      </c>
    </row>
    <row r="23" spans="1:18">
      <c r="A23" s="30" t="s">
        <v>137</v>
      </c>
      <c r="B23" s="58" t="s">
        <v>138</v>
      </c>
      <c r="C23" s="77">
        <f>C24-C22+C21</f>
        <v>-48.169737910834179</v>
      </c>
      <c r="D23" s="59" t="s">
        <v>100</v>
      </c>
      <c r="E23" s="58"/>
      <c r="I23" s="30" t="s">
        <v>137</v>
      </c>
      <c r="J23" s="58" t="s">
        <v>138</v>
      </c>
      <c r="K23" s="77">
        <v>-33.066171222580749</v>
      </c>
      <c r="L23" s="77">
        <v>-33.066171222580749</v>
      </c>
    </row>
    <row r="24" spans="1:18">
      <c r="A24" s="30" t="s">
        <v>141</v>
      </c>
      <c r="B24" s="58" t="s">
        <v>142</v>
      </c>
      <c r="C24" s="77">
        <f>2*C25</f>
        <v>0</v>
      </c>
      <c r="D24" s="59" t="s">
        <v>100</v>
      </c>
      <c r="E24" s="58"/>
      <c r="I24" s="30" t="s">
        <v>141</v>
      </c>
      <c r="J24" s="58" t="s">
        <v>142</v>
      </c>
      <c r="K24" s="77">
        <v>59.060518032436164</v>
      </c>
      <c r="L24" s="77">
        <v>31.998707695957705</v>
      </c>
    </row>
    <row r="25" spans="1:18">
      <c r="A25" s="30" t="s">
        <v>140</v>
      </c>
      <c r="B25" s="58" t="s">
        <v>143</v>
      </c>
      <c r="C25" s="78">
        <f>D25</f>
        <v>0</v>
      </c>
      <c r="D25" s="67">
        <f>B6</f>
        <v>0</v>
      </c>
      <c r="E25" s="58"/>
      <c r="I25" s="30" t="s">
        <v>140</v>
      </c>
      <c r="J25" s="58" t="s">
        <v>143</v>
      </c>
      <c r="K25" s="78">
        <v>29.530259016218082</v>
      </c>
      <c r="L25" s="78">
        <v>31.998707695957705</v>
      </c>
    </row>
    <row r="26" spans="1:18">
      <c r="A26" s="30" t="s">
        <v>155</v>
      </c>
      <c r="B26" s="58"/>
      <c r="C26" s="74">
        <v>0</v>
      </c>
      <c r="D26">
        <v>0</v>
      </c>
      <c r="E26" s="58"/>
      <c r="I26" s="30" t="s">
        <v>156</v>
      </c>
      <c r="J26" s="58"/>
      <c r="K26" s="74">
        <f>0</f>
        <v>0</v>
      </c>
      <c r="L26" s="77">
        <f>B7</f>
        <v>35.623158320504928</v>
      </c>
    </row>
    <row r="27" spans="1:18">
      <c r="A27" s="58"/>
      <c r="B27" s="58"/>
      <c r="C27" s="58"/>
      <c r="D27" s="58"/>
      <c r="E27" s="58"/>
    </row>
    <row r="28" spans="1:18">
      <c r="A28" s="30" t="s">
        <v>81</v>
      </c>
      <c r="B28" s="68">
        <f>((4*$B$6)+(3*$B$5)+($B$4)+($B$8))/((6*$B$2)+(2*$C$23))</f>
        <v>1.5786561925914182</v>
      </c>
      <c r="C28" s="58"/>
      <c r="D28" s="58"/>
      <c r="E28" s="58"/>
      <c r="I28" s="30" t="s">
        <v>81</v>
      </c>
      <c r="J28" s="68" t="e">
        <f>((4*$B$6)+(3*$B$5)+($B$4)+(J24))/((6*$B$2)+(2*$B$3))</f>
        <v>#VALUE!</v>
      </c>
    </row>
    <row r="31" spans="1:18">
      <c r="B31" t="s">
        <v>173</v>
      </c>
      <c r="I31" s="76"/>
      <c r="J31" s="76"/>
      <c r="K31" s="76"/>
      <c r="L31" s="76"/>
      <c r="M31" s="76"/>
      <c r="N31" s="76"/>
      <c r="O31" s="76"/>
      <c r="P31" s="76"/>
      <c r="Q31" s="76"/>
      <c r="R31" s="58"/>
    </row>
    <row r="32" spans="1:18">
      <c r="I32" s="76"/>
      <c r="J32" s="76"/>
      <c r="K32" s="76"/>
      <c r="L32" s="76"/>
      <c r="M32" s="76"/>
      <c r="N32" s="76"/>
      <c r="O32" s="76"/>
      <c r="P32" s="76"/>
      <c r="Q32" s="76"/>
      <c r="R32" s="58"/>
    </row>
    <row r="33" spans="9:18">
      <c r="I33" s="76"/>
      <c r="J33" s="76"/>
      <c r="K33" s="76"/>
      <c r="L33" s="76"/>
      <c r="M33" s="76"/>
      <c r="N33" s="76"/>
      <c r="O33" s="76"/>
      <c r="P33" s="76"/>
      <c r="Q33" s="76"/>
      <c r="R33" s="58"/>
    </row>
    <row r="34" spans="9:18">
      <c r="I34" s="76"/>
      <c r="J34" s="76"/>
      <c r="K34" s="76"/>
      <c r="L34" s="76"/>
      <c r="M34" s="76"/>
      <c r="N34" s="76"/>
      <c r="O34" s="76"/>
      <c r="P34" s="76"/>
      <c r="Q34" s="76"/>
      <c r="R34" s="58"/>
    </row>
    <row r="35" spans="9:18">
      <c r="I35" s="76"/>
      <c r="J35" s="76"/>
      <c r="K35" s="76"/>
      <c r="L35" s="76"/>
      <c r="M35" s="76"/>
      <c r="N35" s="76"/>
      <c r="O35" s="76"/>
      <c r="P35" s="76"/>
      <c r="Q35" s="76"/>
      <c r="R35" s="58"/>
    </row>
    <row r="36" spans="9:18">
      <c r="I36" s="76"/>
      <c r="J36" s="76"/>
      <c r="K36" s="76"/>
      <c r="L36" s="76"/>
      <c r="M36" s="76"/>
      <c r="N36" s="76"/>
      <c r="O36" s="76"/>
      <c r="P36" s="76"/>
      <c r="Q36" s="76"/>
      <c r="R36" s="58"/>
    </row>
    <row r="37" spans="9:18">
      <c r="I37" s="76"/>
      <c r="J37" s="76"/>
      <c r="K37" s="76"/>
      <c r="L37" s="76"/>
      <c r="M37" s="76"/>
      <c r="N37" s="76"/>
      <c r="O37" s="76"/>
      <c r="P37" s="76"/>
      <c r="Q37" s="76"/>
      <c r="R37" s="58"/>
    </row>
    <row r="38" spans="9:18">
      <c r="I38" s="76"/>
      <c r="J38" s="76"/>
      <c r="K38" s="76"/>
      <c r="L38" s="76"/>
      <c r="M38" s="76"/>
      <c r="N38" s="76"/>
      <c r="O38" s="76"/>
      <c r="P38" s="76"/>
      <c r="Q38" s="76"/>
      <c r="R38" s="58"/>
    </row>
    <row r="39" spans="9:18">
      <c r="P39" s="58"/>
      <c r="Q39" s="58"/>
      <c r="R39" s="58"/>
    </row>
    <row r="40" spans="9:18">
      <c r="P40" s="58"/>
      <c r="Q40" s="58"/>
      <c r="R40" s="58"/>
    </row>
    <row r="41" spans="9:18">
      <c r="P41" s="58"/>
      <c r="Q41" s="58"/>
      <c r="R41" s="58"/>
    </row>
    <row r="42" spans="9:18">
      <c r="P42" s="58"/>
      <c r="Q42" s="58"/>
      <c r="R42" s="58"/>
    </row>
    <row r="43" spans="9:18">
      <c r="P43" s="58"/>
      <c r="Q43" s="58"/>
      <c r="R43" s="58"/>
    </row>
    <row r="44" spans="9:18">
      <c r="P44" s="58"/>
      <c r="Q44" s="58"/>
      <c r="R44" s="58"/>
    </row>
    <row r="45" spans="9:18">
      <c r="P45" s="58"/>
      <c r="Q45" s="58"/>
      <c r="R45" s="58"/>
    </row>
    <row r="46" spans="9:18">
      <c r="P46" s="58"/>
      <c r="Q46" s="58"/>
      <c r="R46" s="58"/>
    </row>
    <row r="47" spans="9:18">
      <c r="P47" s="58"/>
      <c r="Q47" s="58"/>
      <c r="R47" s="58"/>
    </row>
    <row r="48" spans="9:18">
      <c r="P48" s="58"/>
      <c r="Q48" s="58"/>
      <c r="R48" s="58"/>
    </row>
  </sheetData>
  <mergeCells count="2">
    <mergeCell ref="I6:K6"/>
    <mergeCell ref="I7:K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D20" sqref="D20"/>
    </sheetView>
  </sheetViews>
  <sheetFormatPr baseColWidth="10" defaultColWidth="8.83203125" defaultRowHeight="14" x14ac:dyDescent="0"/>
  <cols>
    <col min="1" max="11" width="8.83203125" style="2"/>
    <col min="12" max="12" width="12.83203125" style="2" bestFit="1" customWidth="1"/>
    <col min="13" max="16384" width="8.83203125" style="2"/>
  </cols>
  <sheetData>
    <row r="1" spans="1:19">
      <c r="A1" s="139" t="s">
        <v>4</v>
      </c>
      <c r="B1" s="139" t="s">
        <v>116</v>
      </c>
      <c r="C1" s="139" t="s">
        <v>116</v>
      </c>
      <c r="D1" s="139" t="s">
        <v>5</v>
      </c>
      <c r="E1" s="144" t="s">
        <v>18</v>
      </c>
      <c r="F1" s="144"/>
      <c r="G1" s="144"/>
      <c r="H1" s="144"/>
      <c r="I1" s="144" t="s">
        <v>20</v>
      </c>
      <c r="J1" s="144"/>
      <c r="K1" s="144"/>
      <c r="L1" s="144"/>
      <c r="M1" s="144" t="s">
        <v>21</v>
      </c>
      <c r="N1" s="144"/>
      <c r="O1" s="144"/>
      <c r="P1" s="144"/>
      <c r="Q1" s="38" t="s">
        <v>22</v>
      </c>
      <c r="R1" s="38" t="s">
        <v>22</v>
      </c>
      <c r="S1" s="38" t="s">
        <v>22</v>
      </c>
    </row>
    <row r="2" spans="1:19">
      <c r="A2" s="140"/>
      <c r="B2" s="140"/>
      <c r="C2" s="140"/>
      <c r="D2" s="140"/>
      <c r="E2" s="41" t="s">
        <v>19</v>
      </c>
      <c r="F2" s="41" t="s">
        <v>68</v>
      </c>
      <c r="G2" s="41" t="s">
        <v>117</v>
      </c>
      <c r="H2" s="41" t="s">
        <v>70</v>
      </c>
      <c r="I2" s="41" t="s">
        <v>19</v>
      </c>
      <c r="J2" s="41" t="s">
        <v>68</v>
      </c>
      <c r="K2" s="41" t="s">
        <v>69</v>
      </c>
      <c r="L2" s="41" t="s">
        <v>70</v>
      </c>
      <c r="M2" s="41" t="s">
        <v>19</v>
      </c>
      <c r="N2" s="41" t="s">
        <v>68</v>
      </c>
      <c r="O2" s="41" t="s">
        <v>69</v>
      </c>
      <c r="P2" s="41" t="s">
        <v>71</v>
      </c>
      <c r="Q2" s="39" t="s">
        <v>70</v>
      </c>
      <c r="R2" s="39" t="s">
        <v>23</v>
      </c>
      <c r="S2" s="39" t="s">
        <v>72</v>
      </c>
    </row>
    <row r="3" spans="1:19" s="6" customFormat="1">
      <c r="A3" s="40" t="s">
        <v>6</v>
      </c>
      <c r="B3" s="32">
        <v>-10</v>
      </c>
      <c r="C3" s="32">
        <f>B3</f>
        <v>-10</v>
      </c>
      <c r="D3" s="13">
        <f>C3/60</f>
        <v>-0.16666666666666666</v>
      </c>
      <c r="Q3" s="141"/>
      <c r="R3" s="142"/>
      <c r="S3" s="143"/>
    </row>
    <row r="4" spans="1:19">
      <c r="A4" s="40">
        <v>0</v>
      </c>
      <c r="B4" s="32">
        <v>10</v>
      </c>
      <c r="C4" s="32">
        <f>B4</f>
        <v>10</v>
      </c>
      <c r="D4" s="13">
        <f t="shared" ref="D4:D21" si="0">C4/60</f>
        <v>0.16666666666666666</v>
      </c>
      <c r="Q4" s="45" t="e">
        <f>AVERAGE('Flow cytometer'!P4,'Flow cytometer'!L4,'Flow cytometer'!H4)*Calculation!K4/Calculation!M3</f>
        <v>#DIV/0!</v>
      </c>
      <c r="R4" s="45" t="e">
        <f>STDEV('Flow cytometer'!P4,'Flow cytometer'!L4,'Flow cytometer'!H4)*Calculation!K4/Calculation!M3</f>
        <v>#DIV/0!</v>
      </c>
      <c r="S4" s="46" t="e">
        <f t="shared" ref="S4:S19" si="1">LOG(Q4)</f>
        <v>#DIV/0!</v>
      </c>
    </row>
    <row r="5" spans="1:19">
      <c r="A5" s="40">
        <v>1</v>
      </c>
      <c r="B5" s="32">
        <v>110</v>
      </c>
      <c r="C5" s="32">
        <f>C4+B5</f>
        <v>120</v>
      </c>
      <c r="D5" s="13">
        <f t="shared" si="0"/>
        <v>2</v>
      </c>
      <c r="Q5" s="45" t="e">
        <f>AVERAGE('Flow cytometer'!P5,'Flow cytometer'!L5,'Flow cytometer'!H5)*Calculation!K5/Calculation!M4</f>
        <v>#DIV/0!</v>
      </c>
      <c r="R5" s="45" t="e">
        <f>STDEV('Flow cytometer'!P5,'Flow cytometer'!L5,'Flow cytometer'!H5)*Calculation!K5/Calculation!M4</f>
        <v>#DIV/0!</v>
      </c>
      <c r="S5" s="46" t="e">
        <f t="shared" si="1"/>
        <v>#DIV/0!</v>
      </c>
    </row>
    <row r="6" spans="1:19">
      <c r="A6" s="40">
        <v>2</v>
      </c>
      <c r="B6" s="32">
        <v>80</v>
      </c>
      <c r="C6" s="32">
        <f>C5+B6</f>
        <v>200</v>
      </c>
      <c r="D6" s="13">
        <f t="shared" si="0"/>
        <v>3.3333333333333335</v>
      </c>
      <c r="Q6" s="45" t="e">
        <f>AVERAGE('Flow cytometer'!P6,'Flow cytometer'!L6,'Flow cytometer'!H6)*Calculation!K6/Calculation!M5</f>
        <v>#DIV/0!</v>
      </c>
      <c r="R6" s="45" t="e">
        <f>STDEV('Flow cytometer'!P6,'Flow cytometer'!L6,'Flow cytometer'!H6)*Calculation!K6/Calculation!M5</f>
        <v>#DIV/0!</v>
      </c>
      <c r="S6" s="46" t="e">
        <f t="shared" si="1"/>
        <v>#DIV/0!</v>
      </c>
    </row>
    <row r="7" spans="1:19">
      <c r="A7" s="40">
        <v>3</v>
      </c>
      <c r="B7" s="32">
        <v>80</v>
      </c>
      <c r="C7" s="32">
        <f>C6+B7</f>
        <v>280</v>
      </c>
      <c r="D7" s="13">
        <f t="shared" si="0"/>
        <v>4.666666666666667</v>
      </c>
      <c r="Q7" s="45" t="e">
        <f>AVERAGE('Flow cytometer'!P7,'Flow cytometer'!L7,'Flow cytometer'!H7)*Calculation!K7/Calculation!M6</f>
        <v>#DIV/0!</v>
      </c>
      <c r="R7" s="45" t="e">
        <f>STDEV('Flow cytometer'!P7,'Flow cytometer'!L7,'Flow cytometer'!H7)*Calculation!K7/Calculation!M6</f>
        <v>#DIV/0!</v>
      </c>
      <c r="S7" s="46" t="e">
        <f t="shared" si="1"/>
        <v>#DIV/0!</v>
      </c>
    </row>
    <row r="8" spans="1:19">
      <c r="A8" s="40">
        <v>4</v>
      </c>
      <c r="B8" s="32">
        <v>80</v>
      </c>
      <c r="C8" s="32">
        <f t="shared" ref="C8:C21" si="2">C7+B8</f>
        <v>360</v>
      </c>
      <c r="D8" s="13">
        <f t="shared" si="0"/>
        <v>6</v>
      </c>
      <c r="Q8" s="45" t="e">
        <f>AVERAGE('Flow cytometer'!P8,'Flow cytometer'!L8,'Flow cytometer'!H8)*Calculation!K8/Calculation!M7</f>
        <v>#DIV/0!</v>
      </c>
      <c r="R8" s="45" t="e">
        <f>STDEV('Flow cytometer'!P8,'Flow cytometer'!L8,'Flow cytometer'!H8)*Calculation!K8/Calculation!M7</f>
        <v>#DIV/0!</v>
      </c>
      <c r="S8" s="46" t="e">
        <f t="shared" si="1"/>
        <v>#DIV/0!</v>
      </c>
    </row>
    <row r="9" spans="1:19">
      <c r="A9" s="40">
        <v>5</v>
      </c>
      <c r="B9" s="32">
        <v>80</v>
      </c>
      <c r="C9" s="32">
        <f t="shared" si="2"/>
        <v>440</v>
      </c>
      <c r="D9" s="13">
        <f t="shared" si="0"/>
        <v>7.333333333333333</v>
      </c>
      <c r="Q9" s="45" t="e">
        <f>AVERAGE('Flow cytometer'!P9,'Flow cytometer'!L9,'Flow cytometer'!H9)*Calculation!K9/Calculation!M8</f>
        <v>#DIV/0!</v>
      </c>
      <c r="R9" s="45" t="e">
        <f>STDEV('Flow cytometer'!P9,'Flow cytometer'!L9,'Flow cytometer'!H9)*Calculation!K9/Calculation!M8</f>
        <v>#DIV/0!</v>
      </c>
      <c r="S9" s="46" t="e">
        <f t="shared" si="1"/>
        <v>#DIV/0!</v>
      </c>
    </row>
    <row r="10" spans="1:19">
      <c r="A10" s="40">
        <v>6</v>
      </c>
      <c r="B10" s="32">
        <v>80</v>
      </c>
      <c r="C10" s="32">
        <f t="shared" si="2"/>
        <v>520</v>
      </c>
      <c r="D10" s="13">
        <f t="shared" si="0"/>
        <v>8.6666666666666661</v>
      </c>
      <c r="Q10" s="45" t="e">
        <f>AVERAGE('Flow cytometer'!P10,'Flow cytometer'!L10,'Flow cytometer'!H10)*Calculation!K10/Calculation!M9</f>
        <v>#DIV/0!</v>
      </c>
      <c r="R10" s="45" t="e">
        <f>STDEV('Flow cytometer'!P10,'Flow cytometer'!L10,'Flow cytometer'!H10)*Calculation!K10/Calculation!M9</f>
        <v>#DIV/0!</v>
      </c>
      <c r="S10" s="46" t="e">
        <f t="shared" si="1"/>
        <v>#DIV/0!</v>
      </c>
    </row>
    <row r="11" spans="1:19">
      <c r="A11" s="40">
        <v>7</v>
      </c>
      <c r="B11" s="32">
        <v>80</v>
      </c>
      <c r="C11" s="32">
        <f t="shared" si="2"/>
        <v>600</v>
      </c>
      <c r="D11" s="13">
        <f t="shared" si="0"/>
        <v>10</v>
      </c>
      <c r="Q11" s="45" t="e">
        <f>AVERAGE('Flow cytometer'!P11,'Flow cytometer'!L11,'Flow cytometer'!H11)*Calculation!K11/Calculation!M10</f>
        <v>#DIV/0!</v>
      </c>
      <c r="R11" s="45" t="e">
        <f>STDEV('Flow cytometer'!P11,'Flow cytometer'!L11,'Flow cytometer'!H11)*Calculation!K11/Calculation!M10</f>
        <v>#DIV/0!</v>
      </c>
      <c r="S11" s="46" t="e">
        <f t="shared" si="1"/>
        <v>#DIV/0!</v>
      </c>
    </row>
    <row r="12" spans="1:19">
      <c r="A12" s="40">
        <v>8</v>
      </c>
      <c r="B12" s="32">
        <v>80</v>
      </c>
      <c r="C12" s="32">
        <f t="shared" si="2"/>
        <v>680</v>
      </c>
      <c r="D12" s="13">
        <f t="shared" si="0"/>
        <v>11.333333333333334</v>
      </c>
      <c r="Q12" s="45" t="e">
        <f>AVERAGE('Flow cytometer'!P12,'Flow cytometer'!L12,'Flow cytometer'!H12)*Calculation!K12/Calculation!M11</f>
        <v>#DIV/0!</v>
      </c>
      <c r="R12" s="45" t="e">
        <f>STDEV('Flow cytometer'!P12,'Flow cytometer'!L12,'Flow cytometer'!H12)*Calculation!K12/Calculation!M11</f>
        <v>#DIV/0!</v>
      </c>
      <c r="S12" s="46" t="e">
        <f t="shared" si="1"/>
        <v>#DIV/0!</v>
      </c>
    </row>
    <row r="13" spans="1:19">
      <c r="A13" s="40">
        <v>9</v>
      </c>
      <c r="B13" s="32">
        <v>80</v>
      </c>
      <c r="C13" s="32">
        <f t="shared" si="2"/>
        <v>760</v>
      </c>
      <c r="D13" s="13">
        <f>C13/60</f>
        <v>12.666666666666666</v>
      </c>
      <c r="Q13" s="45" t="e">
        <f>AVERAGE('Flow cytometer'!P13,'Flow cytometer'!L13,'Flow cytometer'!H13)*Calculation!K13/Calculation!M12</f>
        <v>#DIV/0!</v>
      </c>
      <c r="R13" s="45" t="e">
        <f>STDEV('Flow cytometer'!P13,'Flow cytometer'!L13,'Flow cytometer'!H13)*Calculation!K13/Calculation!M12</f>
        <v>#DIV/0!</v>
      </c>
      <c r="S13" s="46" t="e">
        <f t="shared" si="1"/>
        <v>#DIV/0!</v>
      </c>
    </row>
    <row r="14" spans="1:19">
      <c r="A14" s="40">
        <v>10</v>
      </c>
      <c r="B14" s="32">
        <v>80</v>
      </c>
      <c r="C14" s="32">
        <f t="shared" si="2"/>
        <v>840</v>
      </c>
      <c r="D14" s="13">
        <f t="shared" si="0"/>
        <v>14</v>
      </c>
      <c r="Q14" s="45" t="e">
        <f>AVERAGE('Flow cytometer'!P14,'Flow cytometer'!L14,'Flow cytometer'!H14)*Calculation!K14/Calculation!M13</f>
        <v>#DIV/0!</v>
      </c>
      <c r="R14" s="45" t="e">
        <f>STDEV('Flow cytometer'!P14,'Flow cytometer'!L14,'Flow cytometer'!H14)*Calculation!K14/Calculation!M13</f>
        <v>#DIV/0!</v>
      </c>
      <c r="S14" s="46" t="e">
        <f t="shared" si="1"/>
        <v>#DIV/0!</v>
      </c>
    </row>
    <row r="15" spans="1:19">
      <c r="A15" s="40">
        <v>11</v>
      </c>
      <c r="B15" s="32">
        <v>80</v>
      </c>
      <c r="C15" s="32">
        <f t="shared" si="2"/>
        <v>920</v>
      </c>
      <c r="D15" s="13">
        <f t="shared" si="0"/>
        <v>15.333333333333334</v>
      </c>
      <c r="Q15" s="45" t="e">
        <f>AVERAGE('Flow cytometer'!P15,'Flow cytometer'!L15,'Flow cytometer'!H15)*Calculation!K15/Calculation!M14</f>
        <v>#DIV/0!</v>
      </c>
      <c r="R15" s="45" t="e">
        <f>STDEV('Flow cytometer'!P15,'Flow cytometer'!L15,'Flow cytometer'!H15)*Calculation!K15/Calculation!M14</f>
        <v>#DIV/0!</v>
      </c>
      <c r="S15" s="46" t="e">
        <f t="shared" si="1"/>
        <v>#DIV/0!</v>
      </c>
    </row>
    <row r="16" spans="1:19">
      <c r="A16" s="40">
        <v>12</v>
      </c>
      <c r="B16" s="32">
        <v>80</v>
      </c>
      <c r="C16" s="32">
        <f t="shared" si="2"/>
        <v>1000</v>
      </c>
      <c r="D16" s="13">
        <f t="shared" si="0"/>
        <v>16.666666666666668</v>
      </c>
      <c r="Q16" s="45" t="e">
        <f>AVERAGE('Flow cytometer'!P16,'Flow cytometer'!L16,'Flow cytometer'!H16)*Calculation!K16/Calculation!M15</f>
        <v>#DIV/0!</v>
      </c>
      <c r="R16" s="45" t="e">
        <f>STDEV('Flow cytometer'!P16,'Flow cytometer'!L16,'Flow cytometer'!H16)*Calculation!K16/Calculation!M15</f>
        <v>#DIV/0!</v>
      </c>
      <c r="S16" s="46" t="e">
        <f t="shared" si="1"/>
        <v>#DIV/0!</v>
      </c>
    </row>
    <row r="17" spans="1:19">
      <c r="A17" s="40">
        <v>13</v>
      </c>
      <c r="B17" s="32">
        <v>80</v>
      </c>
      <c r="C17" s="32">
        <f t="shared" si="2"/>
        <v>1080</v>
      </c>
      <c r="D17" s="13">
        <f t="shared" si="0"/>
        <v>18</v>
      </c>
      <c r="Q17" s="45" t="e">
        <f>AVERAGE('Flow cytometer'!P17,'Flow cytometer'!L17,'Flow cytometer'!H17)*Calculation!K17/Calculation!M16</f>
        <v>#DIV/0!</v>
      </c>
      <c r="R17" s="45" t="e">
        <f>STDEV('Flow cytometer'!P17,'Flow cytometer'!L17,'Flow cytometer'!H17)*Calculation!K17/Calculation!M16</f>
        <v>#DIV/0!</v>
      </c>
      <c r="S17" s="46" t="e">
        <f t="shared" si="1"/>
        <v>#DIV/0!</v>
      </c>
    </row>
    <row r="18" spans="1:19">
      <c r="A18" s="40">
        <v>14</v>
      </c>
      <c r="B18" s="32">
        <v>80</v>
      </c>
      <c r="C18" s="32">
        <f t="shared" si="2"/>
        <v>1160</v>
      </c>
      <c r="D18" s="13">
        <f t="shared" si="0"/>
        <v>19.333333333333332</v>
      </c>
      <c r="Q18" s="45" t="e">
        <f>AVERAGE('Flow cytometer'!P18,'Flow cytometer'!L18,'Flow cytometer'!H18)*Calculation!K18/Calculation!M17</f>
        <v>#DIV/0!</v>
      </c>
      <c r="R18" s="45" t="e">
        <f>STDEV('Flow cytometer'!P18,'Flow cytometer'!L18,'Flow cytometer'!H18)*Calculation!K18/Calculation!M17</f>
        <v>#DIV/0!</v>
      </c>
      <c r="S18" s="46" t="e">
        <f t="shared" si="1"/>
        <v>#DIV/0!</v>
      </c>
    </row>
    <row r="19" spans="1:19">
      <c r="A19" s="40">
        <v>15</v>
      </c>
      <c r="B19" s="32">
        <v>290</v>
      </c>
      <c r="C19" s="32">
        <f t="shared" si="2"/>
        <v>1450</v>
      </c>
      <c r="D19" s="13">
        <f t="shared" si="0"/>
        <v>24.166666666666668</v>
      </c>
      <c r="Q19" s="45" t="e">
        <f>AVERAGE('Flow cytometer'!P19,'Flow cytometer'!L19,'Flow cytometer'!H19)*Calculation!K19/Calculation!M18</f>
        <v>#DIV/0!</v>
      </c>
      <c r="R19" s="45" t="e">
        <f>STDEV('Flow cytometer'!P19,'Flow cytometer'!L19,'Flow cytometer'!H19)*Calculation!K19/Calculation!M18</f>
        <v>#DIV/0!</v>
      </c>
      <c r="S19" s="46" t="e">
        <f t="shared" si="1"/>
        <v>#DIV/0!</v>
      </c>
    </row>
    <row r="20" spans="1:19">
      <c r="A20" s="40">
        <v>16</v>
      </c>
      <c r="B20" s="32">
        <v>360</v>
      </c>
      <c r="C20" s="32">
        <f t="shared" si="2"/>
        <v>1810</v>
      </c>
      <c r="D20" s="13">
        <f>C20/60</f>
        <v>30.166666666666668</v>
      </c>
      <c r="Q20" s="45" t="e">
        <f>AVERAGE('Flow cytometer'!P20,'Flow cytometer'!L20,'Flow cytometer'!H20)*Calculation!K21/Calculation!M19</f>
        <v>#DIV/0!</v>
      </c>
      <c r="R20" s="45" t="e">
        <f>STDEV('Flow cytometer'!P20,'Flow cytometer'!L20,'Flow cytometer'!H20)*Calculation!K21/Calculation!M19</f>
        <v>#DIV/0!</v>
      </c>
      <c r="S20" s="46" t="e">
        <f t="shared" ref="S20:S21" si="3">LOG(Q20)</f>
        <v>#DIV/0!</v>
      </c>
    </row>
    <row r="21" spans="1:19">
      <c r="A21" s="40">
        <v>17</v>
      </c>
      <c r="B21" s="32">
        <v>1080</v>
      </c>
      <c r="C21" s="32">
        <f t="shared" si="2"/>
        <v>2890</v>
      </c>
      <c r="D21" s="13">
        <f t="shared" si="0"/>
        <v>48.166666666666664</v>
      </c>
      <c r="Q21" s="45" t="e">
        <f>AVERAGE('Flow cytometer'!P21,'Flow cytometer'!L21,'Flow cytometer'!H21)*Calculation!K21/Calculation!M20</f>
        <v>#DIV/0!</v>
      </c>
      <c r="R21" s="45" t="e">
        <f>STDEV('Flow cytometer'!P21,'Flow cytometer'!L21,'Flow cytometer'!H21)*Calculation!K21/Calculation!M20</f>
        <v>#DIV/0!</v>
      </c>
      <c r="S21" s="46" t="e">
        <f t="shared" si="3"/>
        <v>#DIV/0!</v>
      </c>
    </row>
  </sheetData>
  <mergeCells count="8">
    <mergeCell ref="Q3:S3"/>
    <mergeCell ref="A1:A2"/>
    <mergeCell ref="B1:B2"/>
    <mergeCell ref="C1:C2"/>
    <mergeCell ref="D1:D2"/>
    <mergeCell ref="E1:H1"/>
    <mergeCell ref="I1:L1"/>
    <mergeCell ref="M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X21"/>
  <sheetViews>
    <sheetView topLeftCell="D2" workbookViewId="0">
      <selection activeCell="M6" sqref="M6"/>
    </sheetView>
  </sheetViews>
  <sheetFormatPr baseColWidth="10" defaultColWidth="8.83203125" defaultRowHeight="14" x14ac:dyDescent="0"/>
  <cols>
    <col min="17" max="17" width="9.1640625" bestFit="1" customWidth="1"/>
    <col min="19" max="20" width="14.83203125" bestFit="1" customWidth="1"/>
  </cols>
  <sheetData>
    <row r="1" spans="1:24">
      <c r="A1" s="139" t="s">
        <v>4</v>
      </c>
      <c r="B1" s="139" t="s">
        <v>116</v>
      </c>
      <c r="C1" s="139" t="s">
        <v>116</v>
      </c>
      <c r="D1" s="139" t="s">
        <v>5</v>
      </c>
      <c r="E1" s="138" t="s">
        <v>118</v>
      </c>
      <c r="F1" s="138"/>
      <c r="G1" s="138"/>
      <c r="H1" s="138"/>
      <c r="I1" s="138" t="s">
        <v>119</v>
      </c>
      <c r="J1" s="138"/>
      <c r="K1" s="138"/>
      <c r="L1" s="138"/>
      <c r="M1" s="138" t="s">
        <v>120</v>
      </c>
      <c r="N1" s="138"/>
      <c r="O1" s="138"/>
      <c r="P1" s="138"/>
      <c r="Q1" s="24" t="s">
        <v>121</v>
      </c>
      <c r="R1" s="24" t="s">
        <v>121</v>
      </c>
      <c r="S1" s="24" t="s">
        <v>121</v>
      </c>
      <c r="T1" s="56" t="s">
        <v>121</v>
      </c>
      <c r="U1" s="72" t="s">
        <v>118</v>
      </c>
      <c r="V1" s="72" t="s">
        <v>119</v>
      </c>
      <c r="W1" s="72" t="s">
        <v>120</v>
      </c>
      <c r="X1" s="72" t="s">
        <v>121</v>
      </c>
    </row>
    <row r="2" spans="1:24">
      <c r="A2" s="140"/>
      <c r="B2" s="140"/>
      <c r="C2" s="140"/>
      <c r="D2" s="140"/>
      <c r="E2" s="23" t="s">
        <v>19</v>
      </c>
      <c r="F2" s="23" t="s">
        <v>68</v>
      </c>
      <c r="G2" s="23" t="s">
        <v>69</v>
      </c>
      <c r="H2" s="23" t="s">
        <v>70</v>
      </c>
      <c r="I2" s="23" t="s">
        <v>19</v>
      </c>
      <c r="J2" s="23" t="s">
        <v>68</v>
      </c>
      <c r="K2" s="23" t="s">
        <v>69</v>
      </c>
      <c r="L2" s="23" t="s">
        <v>70</v>
      </c>
      <c r="M2" s="23" t="s">
        <v>19</v>
      </c>
      <c r="N2" s="23" t="s">
        <v>68</v>
      </c>
      <c r="O2" s="23" t="s">
        <v>69</v>
      </c>
      <c r="P2" s="23" t="s">
        <v>71</v>
      </c>
      <c r="Q2" s="25" t="s">
        <v>70</v>
      </c>
      <c r="R2" s="25" t="s">
        <v>23</v>
      </c>
      <c r="S2" s="25" t="s">
        <v>72</v>
      </c>
      <c r="T2" s="57" t="s">
        <v>139</v>
      </c>
      <c r="U2" s="73" t="s">
        <v>153</v>
      </c>
      <c r="V2" s="73" t="s">
        <v>153</v>
      </c>
      <c r="W2" s="73" t="s">
        <v>153</v>
      </c>
      <c r="X2" s="73" t="s">
        <v>154</v>
      </c>
    </row>
    <row r="3" spans="1:24">
      <c r="A3" s="60" t="s">
        <v>6</v>
      </c>
      <c r="B3" s="61">
        <v>-10</v>
      </c>
      <c r="C3" s="61">
        <v>-10</v>
      </c>
      <c r="D3" s="13">
        <f>C3/60</f>
        <v>-0.16666666666666666</v>
      </c>
      <c r="E3" s="43" t="s">
        <v>100</v>
      </c>
      <c r="F3" s="43" t="s">
        <v>100</v>
      </c>
      <c r="G3" s="43" t="s">
        <v>100</v>
      </c>
      <c r="H3" s="44" t="s">
        <v>100</v>
      </c>
      <c r="I3" s="43" t="s">
        <v>100</v>
      </c>
      <c r="J3" s="43" t="s">
        <v>100</v>
      </c>
      <c r="K3" s="43" t="s">
        <v>100</v>
      </c>
      <c r="L3" s="44" t="s">
        <v>100</v>
      </c>
      <c r="M3" s="43" t="s">
        <v>100</v>
      </c>
      <c r="N3" s="43" t="s">
        <v>100</v>
      </c>
      <c r="O3" s="43" t="s">
        <v>100</v>
      </c>
      <c r="P3" s="44" t="s">
        <v>100</v>
      </c>
      <c r="Q3" s="145" t="s">
        <v>100</v>
      </c>
      <c r="R3" s="146"/>
      <c r="S3" s="147"/>
      <c r="T3" s="71"/>
      <c r="U3" s="44" t="s">
        <v>100</v>
      </c>
      <c r="V3" s="44" t="s">
        <v>100</v>
      </c>
      <c r="W3" s="44" t="s">
        <v>100</v>
      </c>
      <c r="X3" s="44" t="s">
        <v>100</v>
      </c>
    </row>
    <row r="4" spans="1:24">
      <c r="A4" s="62">
        <v>0</v>
      </c>
      <c r="B4" s="63">
        <v>10</v>
      </c>
      <c r="C4" s="63">
        <v>10</v>
      </c>
      <c r="D4" s="13">
        <f t="shared" ref="D4:D21" si="0">C4/60</f>
        <v>0.16666666666666666</v>
      </c>
      <c r="E4" s="32">
        <v>1</v>
      </c>
      <c r="F4" s="32">
        <v>9530</v>
      </c>
      <c r="G4" s="32">
        <v>7</v>
      </c>
      <c r="H4" s="44">
        <f>('Flow cytometer'!F4/'Flow cytometer'!G4)*POWER(10,'Flow cytometer'!E4+2)*10.2</f>
        <v>13886571.428571427</v>
      </c>
      <c r="I4" s="32">
        <v>1</v>
      </c>
      <c r="J4" s="32">
        <v>9771</v>
      </c>
      <c r="K4" s="32">
        <v>7</v>
      </c>
      <c r="L4" s="44">
        <f>('Flow cytometer'!J4/'Flow cytometer'!K4)*POWER(10,'Flow cytometer'!I4+2)*10.2</f>
        <v>14237742.857142856</v>
      </c>
      <c r="M4" s="32">
        <v>1</v>
      </c>
      <c r="N4" s="32">
        <v>9371</v>
      </c>
      <c r="O4" s="32">
        <v>7</v>
      </c>
      <c r="P4" s="44">
        <f>('Flow cytometer'!N4/'Flow cytometer'!O4)*POWER(10,'Flow cytometer'!M4+2)*10.2</f>
        <v>13654885.714285713</v>
      </c>
      <c r="Q4" s="47">
        <f>AVERAGE(H4,L4,P4)*Calculation!I4/Calculation!K3</f>
        <v>13926400</v>
      </c>
      <c r="R4" s="48">
        <f>STDEV(H4,L4,P4)*Calculation!I4/Calculation!K3</f>
        <v>293462.68684694619</v>
      </c>
      <c r="S4" s="49">
        <f>LOG(Q4)</f>
        <v>7.1438388650100295</v>
      </c>
      <c r="T4" s="70">
        <f>LN(Q4)</f>
        <v>16.449296877323597</v>
      </c>
      <c r="U4" s="49">
        <f>LOG(H4)</f>
        <v>7.1425950323859873</v>
      </c>
      <c r="V4" s="49">
        <f>LOG(L4)</f>
        <v>7.153441145032196</v>
      </c>
      <c r="W4" s="49">
        <f>LOG(P4)</f>
        <v>7.1352880696267755</v>
      </c>
      <c r="X4" s="49">
        <f xml:space="preserve"> STDEV(U4:W4)*Calculation!I4/Calculation!K3</f>
        <v>9.1338565328273405E-3</v>
      </c>
    </row>
    <row r="5" spans="1:24">
      <c r="A5" s="62">
        <v>1</v>
      </c>
      <c r="B5" s="63">
        <v>110</v>
      </c>
      <c r="C5" s="63">
        <v>120</v>
      </c>
      <c r="D5" s="13">
        <f t="shared" si="0"/>
        <v>2</v>
      </c>
      <c r="E5" s="32">
        <v>1</v>
      </c>
      <c r="F5" s="32">
        <v>15086</v>
      </c>
      <c r="G5" s="32">
        <v>7</v>
      </c>
      <c r="H5" s="44">
        <f>('Flow cytometer'!F5/'Flow cytometer'!G5)*POWER(10,'Flow cytometer'!E5+2)*10.2</f>
        <v>21982457.142857142</v>
      </c>
      <c r="I5" s="32">
        <v>1</v>
      </c>
      <c r="J5" s="32">
        <v>16154</v>
      </c>
      <c r="K5" s="32">
        <v>7</v>
      </c>
      <c r="L5" s="44">
        <f>('Flow cytometer'!J5/'Flow cytometer'!K5)*POWER(10,'Flow cytometer'!I5+2)*10.2</f>
        <v>23538685.714285716</v>
      </c>
      <c r="M5" s="32">
        <v>1</v>
      </c>
      <c r="N5" s="32">
        <v>17248</v>
      </c>
      <c r="O5" s="32">
        <v>7</v>
      </c>
      <c r="P5" s="44">
        <f>('Flow cytometer'!N5/'Flow cytometer'!O5)*POWER(10,'Flow cytometer'!M5+2)*10.2</f>
        <v>25132800</v>
      </c>
      <c r="Q5" s="47">
        <f>AVERAGE(H5,L5,P5)*Calculation!I5/Calculation!K4</f>
        <v>23551314.285714291</v>
      </c>
      <c r="R5" s="48">
        <f>STDEV(H5,L5,P5)*Calculation!I5/Calculation!K4</f>
        <v>1575209.3956042803</v>
      </c>
      <c r="S5" s="49">
        <f t="shared" ref="S5:S19" si="1">LOG(Q5)</f>
        <v>7.3720151480299521</v>
      </c>
      <c r="T5" s="49">
        <f t="shared" ref="T5:T19" si="2">LN(Q5)</f>
        <v>16.974692185180061</v>
      </c>
      <c r="U5" s="49">
        <f t="shared" ref="U5:U20" si="3">LOG(H5)</f>
        <v>7.3420762351275863</v>
      </c>
      <c r="V5" s="49">
        <f t="shared" ref="V5:V20" si="4">LOG(L5)</f>
        <v>7.3717822102929702</v>
      </c>
      <c r="W5" s="49">
        <f t="shared" ref="W5:W20" si="5">LOG(P5)</f>
        <v>7.4002408752543056</v>
      </c>
      <c r="X5" s="49">
        <f xml:space="preserve"> STDEV(U5:W5)*Calculation!I5/Calculation!K4</f>
        <v>2.9084548970712693E-2</v>
      </c>
    </row>
    <row r="6" spans="1:24">
      <c r="A6" s="62">
        <v>2</v>
      </c>
      <c r="B6" s="63">
        <v>80</v>
      </c>
      <c r="C6" s="63">
        <v>200</v>
      </c>
      <c r="D6" s="13">
        <f t="shared" si="0"/>
        <v>3.3333333333333335</v>
      </c>
      <c r="E6" s="32">
        <v>1</v>
      </c>
      <c r="F6" s="32">
        <v>23134</v>
      </c>
      <c r="G6" s="32">
        <v>7</v>
      </c>
      <c r="H6" s="44">
        <f>('Flow cytometer'!F6/'Flow cytometer'!G6)*POWER(10,'Flow cytometer'!E6+2)*10.2</f>
        <v>33709542.857142851</v>
      </c>
      <c r="I6" s="32">
        <v>1</v>
      </c>
      <c r="J6" s="32">
        <v>24294</v>
      </c>
      <c r="K6" s="32">
        <v>7</v>
      </c>
      <c r="L6" s="44">
        <f>('Flow cytometer'!J6/'Flow cytometer'!K6)*POWER(10,'Flow cytometer'!I6+2)*10.2</f>
        <v>35399828.571428567</v>
      </c>
      <c r="M6" s="32">
        <v>1</v>
      </c>
      <c r="N6" s="32">
        <v>24171</v>
      </c>
      <c r="O6" s="32">
        <v>7</v>
      </c>
      <c r="P6" s="44">
        <f>('Flow cytometer'!N6/'Flow cytometer'!O6)*POWER(10,'Flow cytometer'!M6+2)*10.2</f>
        <v>35220600</v>
      </c>
      <c r="Q6" s="47">
        <f>AVERAGE(H6,L6,P6)*Calculation!I6/Calculation!K5</f>
        <v>34776657.142857142</v>
      </c>
      <c r="R6" s="48">
        <f>STDEV(H6,L6,P6)*Calculation!I6/Calculation!K5</f>
        <v>928482.84544504015</v>
      </c>
      <c r="S6" s="49">
        <f t="shared" si="1"/>
        <v>7.5412878337281066</v>
      </c>
      <c r="T6" s="49">
        <f t="shared" si="2"/>
        <v>17.364456947919699</v>
      </c>
      <c r="U6" s="49">
        <f t="shared" si="3"/>
        <v>7.5277528629936361</v>
      </c>
      <c r="V6" s="49">
        <f t="shared" si="4"/>
        <v>7.5490011588997179</v>
      </c>
      <c r="W6" s="49">
        <f t="shared" si="5"/>
        <v>7.5467967501113717</v>
      </c>
      <c r="X6" s="49">
        <f xml:space="preserve"> STDEV(U6:W6)*Calculation!I6/Calculation!K5</f>
        <v>1.1683457918296329E-2</v>
      </c>
    </row>
    <row r="7" spans="1:24">
      <c r="A7" s="62">
        <v>3</v>
      </c>
      <c r="B7" s="63">
        <v>80</v>
      </c>
      <c r="C7" s="63">
        <v>280</v>
      </c>
      <c r="D7" s="13">
        <f t="shared" si="0"/>
        <v>4.666666666666667</v>
      </c>
      <c r="E7" s="32">
        <v>2</v>
      </c>
      <c r="F7" s="32">
        <v>4445</v>
      </c>
      <c r="G7" s="32">
        <v>7</v>
      </c>
      <c r="H7" s="44">
        <f>('Flow cytometer'!F7/'Flow cytometer'!G7)*POWER(10,'Flow cytometer'!E7+2)*10.2</f>
        <v>64769999.999999993</v>
      </c>
      <c r="I7" s="32">
        <v>2</v>
      </c>
      <c r="J7" s="32">
        <v>4626</v>
      </c>
      <c r="K7" s="32">
        <v>7</v>
      </c>
      <c r="L7" s="44">
        <f>('Flow cytometer'!J7/'Flow cytometer'!K7)*POWER(10,'Flow cytometer'!I7+2)*10.2</f>
        <v>67407428.571428567</v>
      </c>
      <c r="M7" s="32">
        <v>2</v>
      </c>
      <c r="N7" s="32">
        <v>4588</v>
      </c>
      <c r="O7" s="32">
        <v>7</v>
      </c>
      <c r="P7" s="44">
        <f>('Flow cytometer'!N7/'Flow cytometer'!O7)*POWER(10,'Flow cytometer'!M7+2)*10.2</f>
        <v>66853714.285714284</v>
      </c>
      <c r="Q7" s="47">
        <f>AVERAGE(H7,L7,P7)*Calculation!I7/Calculation!K6</f>
        <v>66343714.285714291</v>
      </c>
      <c r="R7" s="48">
        <f>STDEV(H7,L7,P7)*Calculation!I7/Calculation!K6</f>
        <v>1390712.8989647522</v>
      </c>
      <c r="S7" s="49">
        <f t="shared" si="1"/>
        <v>7.8217997820558507</v>
      </c>
      <c r="T7" s="49">
        <f t="shared" si="2"/>
        <v>18.010359578545877</v>
      </c>
      <c r="U7" s="49">
        <f t="shared" si="3"/>
        <v>7.8113738970538931</v>
      </c>
      <c r="V7" s="49">
        <f t="shared" si="4"/>
        <v>7.8287077601822617</v>
      </c>
      <c r="W7" s="49">
        <f t="shared" si="5"/>
        <v>7.8251255409768907</v>
      </c>
      <c r="X7" s="49">
        <f xml:space="preserve"> STDEV(U7:W7)*Calculation!I7/Calculation!K6</f>
        <v>9.1506176109708865E-3</v>
      </c>
    </row>
    <row r="8" spans="1:24">
      <c r="A8" s="62">
        <v>4</v>
      </c>
      <c r="B8" s="63">
        <v>80</v>
      </c>
      <c r="C8" s="63">
        <v>360</v>
      </c>
      <c r="D8" s="13">
        <f t="shared" si="0"/>
        <v>6</v>
      </c>
      <c r="E8" s="32">
        <v>2</v>
      </c>
      <c r="F8" s="32">
        <v>7202</v>
      </c>
      <c r="G8" s="32">
        <v>7</v>
      </c>
      <c r="H8" s="44">
        <f>('Flow cytometer'!F8/'Flow cytometer'!G8)*POWER(10,'Flow cytometer'!E8+2)*10.2</f>
        <v>104943428.57142857</v>
      </c>
      <c r="I8" s="32">
        <v>2</v>
      </c>
      <c r="J8" s="32">
        <v>7284</v>
      </c>
      <c r="K8" s="32">
        <v>7</v>
      </c>
      <c r="L8" s="44">
        <f>('Flow cytometer'!J8/'Flow cytometer'!K8)*POWER(10,'Flow cytometer'!I8+2)*10.2</f>
        <v>106138285.71428572</v>
      </c>
      <c r="M8" s="32">
        <v>2</v>
      </c>
      <c r="N8" s="32">
        <v>7136</v>
      </c>
      <c r="O8" s="32">
        <v>7</v>
      </c>
      <c r="P8" s="44">
        <f>('Flow cytometer'!N8/'Flow cytometer'!O8)*POWER(10,'Flow cytometer'!M8+2)*10.2</f>
        <v>103981714.28571428</v>
      </c>
      <c r="Q8" s="47">
        <f>AVERAGE(H8,L8,P8)*Calculation!I8/Calculation!K7</f>
        <v>105021142.85714285</v>
      </c>
      <c r="R8" s="48">
        <f>STDEV(H8,L8,P8)*Calculation!I8/Calculation!K7</f>
        <v>1080384.0586965911</v>
      </c>
      <c r="S8" s="49">
        <f t="shared" si="1"/>
        <v>8.0212767400398803</v>
      </c>
      <c r="T8" s="49">
        <f t="shared" si="2"/>
        <v>18.469672248395703</v>
      </c>
      <c r="U8" s="49">
        <f t="shared" si="3"/>
        <v>8.0209552487829274</v>
      </c>
      <c r="V8" s="49">
        <f t="shared" si="4"/>
        <v>8.0258720688705427</v>
      </c>
      <c r="W8" s="49">
        <f t="shared" si="5"/>
        <v>8.0169569731157271</v>
      </c>
      <c r="X8" s="49">
        <f xml:space="preserve"> STDEV(U8:W8)*Calculation!I8/Calculation!K7</f>
        <v>4.4654275719583567E-3</v>
      </c>
    </row>
    <row r="9" spans="1:24">
      <c r="A9" s="62">
        <v>5</v>
      </c>
      <c r="B9" s="63">
        <v>80</v>
      </c>
      <c r="C9" s="63">
        <v>440</v>
      </c>
      <c r="D9" s="13">
        <f t="shared" si="0"/>
        <v>7.333333333333333</v>
      </c>
      <c r="E9" s="32">
        <v>2</v>
      </c>
      <c r="F9" s="32">
        <v>12215</v>
      </c>
      <c r="G9" s="32">
        <v>7</v>
      </c>
      <c r="H9" s="44">
        <f>('Flow cytometer'!F9/'Flow cytometer'!G9)*POWER(10,'Flow cytometer'!E9+2)*10.2</f>
        <v>177990000</v>
      </c>
      <c r="I9" s="32">
        <v>2</v>
      </c>
      <c r="J9" s="32">
        <v>13006</v>
      </c>
      <c r="K9" s="32">
        <v>7</v>
      </c>
      <c r="L9" s="44">
        <f>('Flow cytometer'!J9/'Flow cytometer'!K9)*POWER(10,'Flow cytometer'!I9+2)*10.2</f>
        <v>189516000</v>
      </c>
      <c r="M9" s="32">
        <v>2</v>
      </c>
      <c r="N9" s="32">
        <v>12356</v>
      </c>
      <c r="O9" s="32">
        <v>7</v>
      </c>
      <c r="P9" s="44">
        <f>('Flow cytometer'!N9/'Flow cytometer'!O9)*POWER(10,'Flow cytometer'!M9+2)*10.2</f>
        <v>180044571.4285714</v>
      </c>
      <c r="Q9" s="47">
        <f>AVERAGE(H9,L9,P9)*Calculation!I9/Calculation!K8</f>
        <v>182658452.84273526</v>
      </c>
      <c r="R9" s="48">
        <f>STDEV(H9,L9,P9)*Calculation!I9/Calculation!K8</f>
        <v>6152640.3794540428</v>
      </c>
      <c r="S9" s="49">
        <f t="shared" si="1"/>
        <v>8.2616397747577004</v>
      </c>
      <c r="T9" s="49">
        <f t="shared" si="2"/>
        <v>19.023128589043765</v>
      </c>
      <c r="U9" s="49">
        <f t="shared" si="3"/>
        <v>8.2503956030571164</v>
      </c>
      <c r="V9" s="49">
        <f t="shared" si="4"/>
        <v>8.2776458814195397</v>
      </c>
      <c r="W9" s="49">
        <f t="shared" si="5"/>
        <v>8.255380031377074</v>
      </c>
      <c r="X9" s="49">
        <f xml:space="preserve"> STDEV(U9:W9)*Calculation!I9/Calculation!K8</f>
        <v>1.4520967534107967E-2</v>
      </c>
    </row>
    <row r="10" spans="1:24">
      <c r="A10" s="62">
        <v>6</v>
      </c>
      <c r="B10" s="63">
        <v>80</v>
      </c>
      <c r="C10" s="63">
        <v>520</v>
      </c>
      <c r="D10" s="13">
        <f t="shared" si="0"/>
        <v>8.6666666666666661</v>
      </c>
      <c r="E10" s="32">
        <v>2</v>
      </c>
      <c r="F10" s="32">
        <v>20891</v>
      </c>
      <c r="G10" s="32">
        <v>7</v>
      </c>
      <c r="H10" s="44">
        <f>('Flow cytometer'!F10/'Flow cytometer'!G10)*POWER(10,'Flow cytometer'!E10+2)*10.2</f>
        <v>304411714.28571427</v>
      </c>
      <c r="I10" s="32">
        <v>2</v>
      </c>
      <c r="J10" s="32">
        <v>22310</v>
      </c>
      <c r="K10" s="32">
        <v>7</v>
      </c>
      <c r="L10" s="44">
        <f>('Flow cytometer'!J10/'Flow cytometer'!K10)*POWER(10,'Flow cytometer'!I10+2)*10.2</f>
        <v>325088571.42857146</v>
      </c>
      <c r="M10" s="32">
        <v>2</v>
      </c>
      <c r="N10" s="32">
        <v>24654</v>
      </c>
      <c r="O10" s="32">
        <v>7</v>
      </c>
      <c r="P10" s="44">
        <f>('Flow cytometer'!N10/'Flow cytometer'!O10)*POWER(10,'Flow cytometer'!M10+2)*10.2</f>
        <v>359244000</v>
      </c>
      <c r="Q10" s="47">
        <f>AVERAGE(H10,L10,P10)*Calculation!I10/Calculation!K9</f>
        <v>330103328.62024117</v>
      </c>
      <c r="R10" s="48">
        <f>STDEV(H10,L10,P10)*Calculation!I10/Calculation!K9</f>
        <v>27734717.919092156</v>
      </c>
      <c r="S10" s="49">
        <f t="shared" si="1"/>
        <v>8.5186499035914895</v>
      </c>
      <c r="T10" s="49">
        <f t="shared" si="2"/>
        <v>19.614916280444927</v>
      </c>
      <c r="U10" s="49">
        <f t="shared" si="3"/>
        <v>8.4834613608178415</v>
      </c>
      <c r="V10" s="49">
        <f t="shared" si="4"/>
        <v>8.5120017020314993</v>
      </c>
      <c r="W10" s="49">
        <f t="shared" si="5"/>
        <v>8.5553895233931758</v>
      </c>
      <c r="X10" s="49">
        <f xml:space="preserve"> STDEV(U10:W10)*Calculation!I10/Calculation!K9</f>
        <v>3.6275936366126922E-2</v>
      </c>
    </row>
    <row r="11" spans="1:24">
      <c r="A11" s="62">
        <v>7</v>
      </c>
      <c r="B11" s="63">
        <v>80</v>
      </c>
      <c r="C11" s="63">
        <v>600</v>
      </c>
      <c r="D11" s="13">
        <f t="shared" si="0"/>
        <v>10</v>
      </c>
      <c r="E11" s="32">
        <v>3</v>
      </c>
      <c r="F11" s="32">
        <v>4425</v>
      </c>
      <c r="G11" s="32">
        <v>7</v>
      </c>
      <c r="H11" s="44">
        <f>('Flow cytometer'!F11/'Flow cytometer'!G11)*POWER(10,'Flow cytometer'!E11+2)*10.2</f>
        <v>644785714.28571415</v>
      </c>
      <c r="I11" s="32">
        <v>3</v>
      </c>
      <c r="J11" s="32">
        <v>4779</v>
      </c>
      <c r="K11" s="32">
        <v>7</v>
      </c>
      <c r="L11" s="44">
        <f>('Flow cytometer'!J11/'Flow cytometer'!K11)*POWER(10,'Flow cytometer'!I11+2)*10.2</f>
        <v>696368571.42857134</v>
      </c>
      <c r="M11" s="32">
        <v>3</v>
      </c>
      <c r="N11" s="32">
        <v>4179</v>
      </c>
      <c r="O11" s="32">
        <v>7</v>
      </c>
      <c r="P11" s="44">
        <f>('Flow cytometer'!N11/'Flow cytometer'!O11)*POWER(10,'Flow cytometer'!M11+2)*10.2</f>
        <v>608940000</v>
      </c>
      <c r="Q11" s="47">
        <f>AVERAGE(H11,L11,P11)*Calculation!I11/Calculation!K10</f>
        <v>652700720.39300907</v>
      </c>
      <c r="R11" s="48">
        <f>STDEV(H11,L11,P11)*Calculation!I11/Calculation!K10</f>
        <v>44130184.193059184</v>
      </c>
      <c r="S11" s="49">
        <f t="shared" si="1"/>
        <v>8.814714092031867</v>
      </c>
      <c r="T11" s="49">
        <f t="shared" si="2"/>
        <v>20.296629267317122</v>
      </c>
      <c r="U11" s="49">
        <f t="shared" si="3"/>
        <v>8.809415406781504</v>
      </c>
      <c r="V11" s="49">
        <f t="shared" si="4"/>
        <v>8.8428391622684543</v>
      </c>
      <c r="W11" s="49">
        <f t="shared" si="5"/>
        <v>8.7845745028912869</v>
      </c>
      <c r="X11" s="49">
        <f xml:space="preserve"> STDEV(U11:W11)*Calculation!I11/Calculation!K10</f>
        <v>2.9357561085217594E-2</v>
      </c>
    </row>
    <row r="12" spans="1:24">
      <c r="A12" s="62">
        <v>8</v>
      </c>
      <c r="B12" s="63">
        <v>80</v>
      </c>
      <c r="C12" s="63">
        <v>680</v>
      </c>
      <c r="D12" s="13">
        <f t="shared" si="0"/>
        <v>11.333333333333334</v>
      </c>
      <c r="E12" s="32">
        <v>3</v>
      </c>
      <c r="F12" s="32">
        <v>7433</v>
      </c>
      <c r="G12" s="32">
        <v>7</v>
      </c>
      <c r="H12" s="44">
        <f>('Flow cytometer'!F12/'Flow cytometer'!G12)*POWER(10,'Flow cytometer'!E12+2)*10.2</f>
        <v>1083094285.7142856</v>
      </c>
      <c r="I12" s="32">
        <v>3</v>
      </c>
      <c r="J12" s="32">
        <v>7780</v>
      </c>
      <c r="K12" s="32">
        <v>7</v>
      </c>
      <c r="L12" s="44">
        <f>('Flow cytometer'!J12/'Flow cytometer'!K12)*POWER(10,'Flow cytometer'!I12+2)*10.2</f>
        <v>1133657142.8571427</v>
      </c>
      <c r="M12" s="32">
        <v>3</v>
      </c>
      <c r="N12" s="32">
        <v>7655</v>
      </c>
      <c r="O12" s="32">
        <v>7</v>
      </c>
      <c r="P12" s="44">
        <f>('Flow cytometer'!N12/'Flow cytometer'!O12)*POWER(10,'Flow cytometer'!M12+2)*10.2</f>
        <v>1115442857.1428571</v>
      </c>
      <c r="Q12" s="47">
        <f>AVERAGE(H12,L12,P12)*Calculation!I12/Calculation!K11</f>
        <v>1118217259.032934</v>
      </c>
      <c r="R12" s="48">
        <f>STDEV(H12,L12,P12)*Calculation!I12/Calculation!K11</f>
        <v>25781159.119442627</v>
      </c>
      <c r="S12" s="49">
        <f t="shared" si="1"/>
        <v>9.0485261910570856</v>
      </c>
      <c r="T12" s="49">
        <f t="shared" si="2"/>
        <v>20.835001521094238</v>
      </c>
      <c r="U12" s="49">
        <f t="shared" si="3"/>
        <v>9.0346662645506104</v>
      </c>
      <c r="V12" s="49">
        <f t="shared" si="4"/>
        <v>9.0544817287373505</v>
      </c>
      <c r="W12" s="49">
        <f t="shared" si="5"/>
        <v>9.0474473267819402</v>
      </c>
      <c r="X12" s="49">
        <f xml:space="preserve"> STDEV(U12:W12)*Calculation!I12/Calculation!K11</f>
        <v>1.011335717356493E-2</v>
      </c>
    </row>
    <row r="13" spans="1:24">
      <c r="A13" s="62">
        <v>9</v>
      </c>
      <c r="B13" s="63">
        <v>80</v>
      </c>
      <c r="C13" s="63">
        <v>760</v>
      </c>
      <c r="D13" s="13">
        <f>C13/60</f>
        <v>12.666666666666666</v>
      </c>
      <c r="E13" s="32">
        <v>3</v>
      </c>
      <c r="F13" s="32">
        <v>14030</v>
      </c>
      <c r="G13" s="32">
        <v>7</v>
      </c>
      <c r="H13" s="44">
        <f>('Flow cytometer'!F13/'Flow cytometer'!G13)*POWER(10,'Flow cytometer'!E13+2)*10.2</f>
        <v>2044371428.5714285</v>
      </c>
      <c r="I13" s="32">
        <v>3</v>
      </c>
      <c r="J13" s="32">
        <v>13974</v>
      </c>
      <c r="K13" s="32">
        <v>7</v>
      </c>
      <c r="L13" s="44">
        <f>('Flow cytometer'!J13/'Flow cytometer'!K13)*POWER(10,'Flow cytometer'!I13+2)*10.2</f>
        <v>2036211428.5714285</v>
      </c>
      <c r="M13" s="32">
        <v>3</v>
      </c>
      <c r="N13" s="32">
        <v>12853</v>
      </c>
      <c r="O13" s="32">
        <v>7</v>
      </c>
      <c r="P13" s="44">
        <f>('Flow cytometer'!N13/'Flow cytometer'!O13)*POWER(10,'Flow cytometer'!M13+2)*10.2</f>
        <v>1872865714.2857139</v>
      </c>
      <c r="Q13" s="47">
        <f>AVERAGE(H13,L13,P13)*Calculation!I13/Calculation!K12</f>
        <v>2005076376.2625117</v>
      </c>
      <c r="R13" s="48">
        <f>STDEV(H13,L13,P13)*Calculation!I13/Calculation!K12</f>
        <v>97753342.316210568</v>
      </c>
      <c r="S13" s="49">
        <f t="shared" si="1"/>
        <v>9.3021309201769533</v>
      </c>
      <c r="T13" s="49">
        <f t="shared" si="2"/>
        <v>21.418947989878436</v>
      </c>
      <c r="U13" s="49">
        <f t="shared" si="3"/>
        <v>9.3105598027760212</v>
      </c>
      <c r="V13" s="49">
        <f t="shared" si="4"/>
        <v>9.3088228706659848</v>
      </c>
      <c r="W13" s="49">
        <f t="shared" si="5"/>
        <v>9.2725066392890447</v>
      </c>
      <c r="X13" s="49">
        <f xml:space="preserve"> STDEV(U13:W13)*Calculation!I13/Calculation!K12</f>
        <v>2.1709121529865646E-2</v>
      </c>
    </row>
    <row r="14" spans="1:24">
      <c r="A14" s="62">
        <v>10</v>
      </c>
      <c r="B14" s="63">
        <v>80</v>
      </c>
      <c r="C14" s="63">
        <v>840</v>
      </c>
      <c r="D14" s="13">
        <f t="shared" si="0"/>
        <v>14</v>
      </c>
      <c r="E14" s="32">
        <v>3</v>
      </c>
      <c r="F14" s="32">
        <v>18640</v>
      </c>
      <c r="G14" s="32">
        <v>7</v>
      </c>
      <c r="H14" s="44">
        <f>('Flow cytometer'!F14/'Flow cytometer'!G14)*POWER(10,'Flow cytometer'!E14+2)*10.2</f>
        <v>2716114285.7142854</v>
      </c>
      <c r="I14" s="32">
        <v>3</v>
      </c>
      <c r="J14" s="32">
        <v>19935</v>
      </c>
      <c r="K14" s="32">
        <v>7</v>
      </c>
      <c r="L14" s="44">
        <f>('Flow cytometer'!J14/'Flow cytometer'!K14)*POWER(10,'Flow cytometer'!I14+2)*10.2</f>
        <v>2904814285.7142854</v>
      </c>
      <c r="M14" s="32">
        <v>3</v>
      </c>
      <c r="N14" s="32">
        <v>20377</v>
      </c>
      <c r="O14" s="32">
        <v>7</v>
      </c>
      <c r="P14" s="44">
        <f>('Flow cytometer'!N14/'Flow cytometer'!O14)*POWER(10,'Flow cytometer'!M14+2)*10.2</f>
        <v>2969220000</v>
      </c>
      <c r="Q14" s="47">
        <f>AVERAGE(H14,L14,P14)*Calculation!I14/Calculation!K13</f>
        <v>2898535113.1296239</v>
      </c>
      <c r="R14" s="48">
        <f>STDEV(H14,L14,P14)*Calculation!I14/Calculation!K13</f>
        <v>133155911.81871383</v>
      </c>
      <c r="S14" s="49">
        <f t="shared" si="1"/>
        <v>9.4621785658232547</v>
      </c>
      <c r="T14" s="49">
        <f t="shared" si="2"/>
        <v>21.787471312912405</v>
      </c>
      <c r="U14" s="49">
        <f t="shared" si="3"/>
        <v>9.4339480397656228</v>
      </c>
      <c r="V14" s="49">
        <f t="shared" si="4"/>
        <v>9.4631183717460736</v>
      </c>
      <c r="W14" s="49">
        <f t="shared" si="5"/>
        <v>9.472642377200728</v>
      </c>
      <c r="X14" s="49">
        <f xml:space="preserve"> STDEV(U14:W14)*Calculation!I14/Calculation!K13</f>
        <v>2.0408803856496245E-2</v>
      </c>
    </row>
    <row r="15" spans="1:24">
      <c r="A15" s="62">
        <v>11</v>
      </c>
      <c r="B15" s="63">
        <v>80</v>
      </c>
      <c r="C15" s="63">
        <v>920</v>
      </c>
      <c r="D15" s="13">
        <f t="shared" si="0"/>
        <v>15.333333333333334</v>
      </c>
      <c r="E15" s="32">
        <v>3</v>
      </c>
      <c r="F15" s="32">
        <v>19540</v>
      </c>
      <c r="G15" s="32">
        <v>7</v>
      </c>
      <c r="H15" s="44">
        <f>('Flow cytometer'!F15/'Flow cytometer'!G15)*POWER(10,'Flow cytometer'!E15+2)*10.2</f>
        <v>2847257142.8571424</v>
      </c>
      <c r="I15" s="32">
        <v>3</v>
      </c>
      <c r="J15" s="32">
        <v>20863</v>
      </c>
      <c r="K15" s="32">
        <v>7</v>
      </c>
      <c r="L15" s="44">
        <f>('Flow cytometer'!J15/'Flow cytometer'!K15)*POWER(10,'Flow cytometer'!I15+2)*10.2</f>
        <v>3040037142.8571424</v>
      </c>
      <c r="M15" s="32">
        <v>3</v>
      </c>
      <c r="N15" s="32">
        <v>19637</v>
      </c>
      <c r="O15" s="32">
        <v>7</v>
      </c>
      <c r="P15" s="44">
        <f>('Flow cytometer'!N15/'Flow cytometer'!O15)*POWER(10,'Flow cytometer'!M15+2)*10.2</f>
        <v>2861391428.5714283</v>
      </c>
      <c r="Q15" s="47">
        <f>AVERAGE(H15,L15,P15)*Calculation!I15/Calculation!K14</f>
        <v>2954901210.7634263</v>
      </c>
      <c r="R15" s="48">
        <f>STDEV(H15,L15,P15)*Calculation!I15/Calculation!K14</f>
        <v>108878986.72686364</v>
      </c>
      <c r="S15" s="49">
        <f t="shared" si="1"/>
        <v>9.4705429659829292</v>
      </c>
      <c r="T15" s="49">
        <f t="shared" si="2"/>
        <v>21.806731056031907</v>
      </c>
      <c r="U15" s="49">
        <f t="shared" si="3"/>
        <v>9.4544266911304149</v>
      </c>
      <c r="V15" s="49">
        <f t="shared" si="4"/>
        <v>9.4828788898059102</v>
      </c>
      <c r="W15" s="49">
        <f t="shared" si="5"/>
        <v>9.4565772718705254</v>
      </c>
      <c r="X15" s="49">
        <f xml:space="preserve"> STDEV(U15:W15)*Calculation!I15/Calculation!K14</f>
        <v>1.6052690887611021E-2</v>
      </c>
    </row>
    <row r="16" spans="1:24">
      <c r="A16" s="62">
        <v>12</v>
      </c>
      <c r="B16" s="63">
        <v>80</v>
      </c>
      <c r="C16" s="63">
        <v>1000</v>
      </c>
      <c r="D16" s="13">
        <f t="shared" si="0"/>
        <v>16.666666666666668</v>
      </c>
      <c r="E16" s="32">
        <v>3</v>
      </c>
      <c r="F16" s="32">
        <v>25927</v>
      </c>
      <c r="G16" s="32">
        <v>7</v>
      </c>
      <c r="H16" s="44">
        <f>('Flow cytometer'!F16/'Flow cytometer'!G16)*POWER(10,'Flow cytometer'!E16+2)*10.2</f>
        <v>3777934285.7142854</v>
      </c>
      <c r="I16" s="32">
        <v>3</v>
      </c>
      <c r="J16" s="32">
        <v>24975</v>
      </c>
      <c r="K16" s="32">
        <v>7</v>
      </c>
      <c r="L16" s="44">
        <f>('Flow cytometer'!J16/'Flow cytometer'!K16)*POWER(10,'Flow cytometer'!I16+2)*10.2</f>
        <v>3639214285.7142854</v>
      </c>
      <c r="M16" s="32">
        <v>3</v>
      </c>
      <c r="N16" s="32">
        <v>24068</v>
      </c>
      <c r="O16" s="32">
        <v>7</v>
      </c>
      <c r="P16" s="44">
        <f>('Flow cytometer'!N16/'Flow cytometer'!O16)*POWER(10,'Flow cytometer'!M16+2)*10.2</f>
        <v>3507051428.5714283</v>
      </c>
      <c r="Q16" s="47">
        <f>AVERAGE(H16,L16,P16)*Calculation!I16/Calculation!K15</f>
        <v>3689689270.002233</v>
      </c>
      <c r="R16" s="48">
        <f>STDEV(H16,L16,P16)*Calculation!I16/Calculation!K15</f>
        <v>137250943.98633951</v>
      </c>
      <c r="S16" s="49">
        <f t="shared" si="1"/>
        <v>9.5669897932578074</v>
      </c>
      <c r="T16" s="49">
        <f t="shared" si="2"/>
        <v>22.028808082781616</v>
      </c>
      <c r="U16" s="49">
        <f t="shared" si="3"/>
        <v>9.5772543994302097</v>
      </c>
      <c r="V16" s="49">
        <f t="shared" si="4"/>
        <v>9.5610076286456813</v>
      </c>
      <c r="W16" s="49">
        <f t="shared" si="5"/>
        <v>9.5449421345672789</v>
      </c>
      <c r="X16" s="49">
        <f xml:space="preserve"> STDEV(U16:W16)*Calculation!I16/Calculation!K15</f>
        <v>1.6370467725140354E-2</v>
      </c>
    </row>
    <row r="17" spans="1:24">
      <c r="A17" s="62">
        <v>13</v>
      </c>
      <c r="B17" s="63">
        <v>80</v>
      </c>
      <c r="C17" s="63">
        <v>1080</v>
      </c>
      <c r="D17" s="13">
        <f t="shared" si="0"/>
        <v>18</v>
      </c>
      <c r="E17" s="32">
        <v>3</v>
      </c>
      <c r="F17" s="32">
        <v>23047</v>
      </c>
      <c r="G17" s="32">
        <v>7</v>
      </c>
      <c r="H17" s="44">
        <f>('Flow cytometer'!F17/'Flow cytometer'!G17)*POWER(10,'Flow cytometer'!E17+2)*10.2</f>
        <v>3358277142.8571424</v>
      </c>
      <c r="I17" s="32">
        <v>3</v>
      </c>
      <c r="J17" s="32">
        <v>23184</v>
      </c>
      <c r="K17" s="32">
        <v>7</v>
      </c>
      <c r="L17" s="44">
        <f>('Flow cytometer'!J17/'Flow cytometer'!K17)*POWER(10,'Flow cytometer'!I17+2)*10.2</f>
        <v>3378240000</v>
      </c>
      <c r="M17" s="32">
        <v>3</v>
      </c>
      <c r="N17" s="32">
        <v>22808</v>
      </c>
      <c r="O17" s="32">
        <v>7</v>
      </c>
      <c r="P17" s="44">
        <f>('Flow cytometer'!N17/'Flow cytometer'!O17)*POWER(10,'Flow cytometer'!M17+2)*10.2</f>
        <v>3323451428.5714283</v>
      </c>
      <c r="Q17" s="47">
        <f>AVERAGE(H17,L17,P17)*Calculation!I17/Calculation!K16</f>
        <v>3397791883.5758858</v>
      </c>
      <c r="R17" s="48">
        <f>STDEV(H17,L17,P17)*Calculation!I17/Calculation!K16</f>
        <v>28095954.85159209</v>
      </c>
      <c r="S17" s="49">
        <f t="shared" si="1"/>
        <v>9.531196774597019</v>
      </c>
      <c r="T17" s="49">
        <f t="shared" si="2"/>
        <v>21.946391611580022</v>
      </c>
      <c r="U17" s="49">
        <f t="shared" si="3"/>
        <v>9.5261165335670626</v>
      </c>
      <c r="V17" s="49">
        <f t="shared" si="4"/>
        <v>9.5286904998747595</v>
      </c>
      <c r="W17" s="49">
        <f t="shared" si="5"/>
        <v>9.5215893360490647</v>
      </c>
      <c r="X17" s="49">
        <f xml:space="preserve"> STDEV(U17:W17)*Calculation!I17/Calculation!K16</f>
        <v>3.6427490547505078E-3</v>
      </c>
    </row>
    <row r="18" spans="1:24">
      <c r="A18" s="62">
        <v>14</v>
      </c>
      <c r="B18" s="63">
        <v>80</v>
      </c>
      <c r="C18" s="63">
        <v>1160</v>
      </c>
      <c r="D18" s="13">
        <f t="shared" si="0"/>
        <v>19.333333333333332</v>
      </c>
      <c r="E18" s="32">
        <v>3</v>
      </c>
      <c r="F18" s="32">
        <v>22694</v>
      </c>
      <c r="G18" s="32">
        <v>7</v>
      </c>
      <c r="H18" s="44">
        <f>('Flow cytometer'!F18/'Flow cytometer'!G18)*POWER(10,'Flow cytometer'!E18+2)*10.2</f>
        <v>3306840000</v>
      </c>
      <c r="I18" s="32">
        <v>3</v>
      </c>
      <c r="J18" s="32">
        <v>21520</v>
      </c>
      <c r="K18" s="32">
        <v>7</v>
      </c>
      <c r="L18" s="44">
        <f>('Flow cytometer'!J18/'Flow cytometer'!K18)*POWER(10,'Flow cytometer'!I18+2)*10.2</f>
        <v>3135771428.5714283</v>
      </c>
      <c r="M18" s="32">
        <v>3</v>
      </c>
      <c r="N18" s="32">
        <v>21153</v>
      </c>
      <c r="O18" s="32">
        <v>7</v>
      </c>
      <c r="P18" s="44">
        <f>('Flow cytometer'!N18/'Flow cytometer'!O18)*POWER(10,'Flow cytometer'!M18+2)*10.2</f>
        <v>3082294285.7142854</v>
      </c>
      <c r="Q18" s="47">
        <f>AVERAGE(H18,L18,P18)*Calculation!I18/Calculation!K17</f>
        <v>3217072409.1267967</v>
      </c>
      <c r="R18" s="48">
        <f>STDEV(H18,L18,P18)*Calculation!I18/Calculation!K17</f>
        <v>118847833.15669881</v>
      </c>
      <c r="S18" s="49">
        <f t="shared" si="1"/>
        <v>9.5074608360124166</v>
      </c>
      <c r="T18" s="49">
        <f t="shared" si="2"/>
        <v>21.891737593226896</v>
      </c>
      <c r="U18" s="49">
        <f t="shared" si="3"/>
        <v>9.5194131822744144</v>
      </c>
      <c r="V18" s="49">
        <f t="shared" si="4"/>
        <v>9.4963443987420124</v>
      </c>
      <c r="W18" s="49">
        <f t="shared" si="5"/>
        <v>9.4888741011443649</v>
      </c>
      <c r="X18" s="49">
        <f xml:space="preserve"> STDEV(U18:W18)*Calculation!I18/Calculation!K17</f>
        <v>1.6130753091143969E-2</v>
      </c>
    </row>
    <row r="19" spans="1:24">
      <c r="A19" s="62">
        <v>15</v>
      </c>
      <c r="B19" s="63">
        <v>290</v>
      </c>
      <c r="C19" s="63">
        <v>1450</v>
      </c>
      <c r="D19" s="13">
        <f t="shared" si="0"/>
        <v>24.166666666666668</v>
      </c>
      <c r="E19" s="32">
        <v>3</v>
      </c>
      <c r="F19" s="32">
        <v>21800</v>
      </c>
      <c r="G19" s="32">
        <v>7</v>
      </c>
      <c r="H19" s="44">
        <f>('Flow cytometer'!F19/'Flow cytometer'!G19)*POWER(10,'Flow cytometer'!E19+2)*10.2</f>
        <v>3176571428.5714283</v>
      </c>
      <c r="I19" s="32">
        <v>3</v>
      </c>
      <c r="J19" s="32">
        <v>22066</v>
      </c>
      <c r="K19" s="32">
        <v>7</v>
      </c>
      <c r="L19" s="44">
        <f>('Flow cytometer'!J19/'Flow cytometer'!K19)*POWER(10,'Flow cytometer'!I19+2)*10.2</f>
        <v>3215331428.5714283</v>
      </c>
      <c r="M19" s="32">
        <v>3</v>
      </c>
      <c r="N19" s="32">
        <v>22946</v>
      </c>
      <c r="O19" s="32">
        <v>7</v>
      </c>
      <c r="P19" s="44">
        <f>('Flow cytometer'!N19/'Flow cytometer'!O19)*POWER(10,'Flow cytometer'!M19+2)*10.2</f>
        <v>3343560000</v>
      </c>
      <c r="Q19" s="47">
        <f>AVERAGE(H19,L19,P19)*Calculation!I19/Calculation!K18</f>
        <v>3299672648.4985838</v>
      </c>
      <c r="R19" s="48">
        <f>STDEV(H19,L19,P19)*Calculation!I19/Calculation!K18</f>
        <v>88865916.363091961</v>
      </c>
      <c r="S19" s="49">
        <f t="shared" si="1"/>
        <v>9.5184708568468359</v>
      </c>
      <c r="T19" s="49">
        <f t="shared" si="2"/>
        <v>21.917089103073785</v>
      </c>
      <c r="U19" s="49">
        <f t="shared" si="3"/>
        <v>9.5019586253522661</v>
      </c>
      <c r="V19" s="49">
        <f t="shared" si="4"/>
        <v>9.5072257455902847</v>
      </c>
      <c r="W19" s="49">
        <f t="shared" si="5"/>
        <v>9.5242091209963977</v>
      </c>
      <c r="X19" s="49">
        <f xml:space="preserve"> STDEV(U19:W19)*Calculation!I19/Calculation!K18</f>
        <v>1.1823348472481588E-2</v>
      </c>
    </row>
    <row r="20" spans="1:24">
      <c r="A20" s="62">
        <v>16</v>
      </c>
      <c r="B20" s="63">
        <v>360</v>
      </c>
      <c r="C20" s="63">
        <v>1810</v>
      </c>
      <c r="D20" s="13">
        <f>C20/60</f>
        <v>30.166666666666668</v>
      </c>
      <c r="E20" s="32">
        <v>3</v>
      </c>
      <c r="F20" s="32">
        <v>23790</v>
      </c>
      <c r="G20" s="32">
        <v>7</v>
      </c>
      <c r="H20" s="44">
        <f>('Flow cytometer'!F20/'Flow cytometer'!G20)*POWER(10,'Flow cytometer'!E20+2)*10.2</f>
        <v>3466542857.1428571</v>
      </c>
      <c r="I20" s="32">
        <v>3</v>
      </c>
      <c r="J20" s="32">
        <v>24961</v>
      </c>
      <c r="K20" s="32">
        <v>7</v>
      </c>
      <c r="L20" s="44">
        <f>('Flow cytometer'!J20/'Flow cytometer'!K20)*POWER(10,'Flow cytometer'!I20+2)*10.2</f>
        <v>3637174285.7142854</v>
      </c>
      <c r="M20" s="32">
        <v>3</v>
      </c>
      <c r="N20" s="32">
        <v>26712</v>
      </c>
      <c r="O20" s="32">
        <v>7</v>
      </c>
      <c r="P20" s="44">
        <f>('Flow cytometer'!N20/'Flow cytometer'!O20)*POWER(10,'Flow cytometer'!M20+2)*10.2</f>
        <v>3892319999.9999995</v>
      </c>
      <c r="Q20" s="47">
        <f>AVERAGE(H20,L20,P20)*Calculation!I21/Calculation!K19</f>
        <v>3551429974.6559157</v>
      </c>
      <c r="R20" s="48">
        <f>STDEV(H20,L20,P20)*Calculation!I21/Calculation!K19</f>
        <v>207622281.02863654</v>
      </c>
      <c r="S20" s="49">
        <f t="shared" ref="S20:S21" si="6">LOG(Q20)</f>
        <v>9.5504032558881669</v>
      </c>
      <c r="T20" s="49">
        <f t="shared" ref="T20:T21" si="7">LN(Q20)</f>
        <v>21.990616169089893</v>
      </c>
      <c r="U20" s="49">
        <f t="shared" si="3"/>
        <v>9.5398965737849277</v>
      </c>
      <c r="V20" s="49">
        <f t="shared" si="4"/>
        <v>9.5607641120281723</v>
      </c>
      <c r="W20" s="49">
        <f t="shared" si="5"/>
        <v>9.5902085377939752</v>
      </c>
      <c r="X20" s="49">
        <f xml:space="preserve"> STDEV(U20:W20)*Calculation!I21/Calculation!K19</f>
        <v>2.4491929493551272E-2</v>
      </c>
    </row>
    <row r="21" spans="1:24">
      <c r="A21" s="62">
        <v>17</v>
      </c>
      <c r="B21" s="63">
        <v>1080</v>
      </c>
      <c r="C21" s="63">
        <v>2890</v>
      </c>
      <c r="D21" s="13">
        <f t="shared" si="0"/>
        <v>48.166666666666664</v>
      </c>
      <c r="E21" s="32">
        <v>3</v>
      </c>
      <c r="F21" s="32">
        <v>24695</v>
      </c>
      <c r="G21" s="32">
        <v>7</v>
      </c>
      <c r="H21" s="44">
        <f>('Flow cytometer'!F21/'Flow cytometer'!G21)*POWER(10,'Flow cytometer'!E21+2)*10.2</f>
        <v>3598414285.7142854</v>
      </c>
      <c r="I21" s="32">
        <v>3</v>
      </c>
      <c r="J21" s="32">
        <v>22065</v>
      </c>
      <c r="K21" s="32">
        <v>7</v>
      </c>
      <c r="L21" s="44">
        <f>('Flow cytometer'!J21/'Flow cytometer'!K21)*POWER(10,'Flow cytometer'!I21+2)*10.2</f>
        <v>3215185714.2857141</v>
      </c>
      <c r="M21" s="32">
        <v>3</v>
      </c>
      <c r="N21" s="32">
        <v>24391</v>
      </c>
      <c r="O21" s="32">
        <v>7</v>
      </c>
      <c r="P21" s="44">
        <f>('Flow cytometer'!N21/'Flow cytometer'!O21)*POWER(10,'Flow cytometer'!M21+2)*10.2</f>
        <v>3554117142.8571424</v>
      </c>
      <c r="Q21" s="47">
        <f>AVERAGE(H21,L21,P21)*Calculation!I21/Calculation!K20</f>
        <v>3536224695.2224221</v>
      </c>
      <c r="R21" s="48">
        <f>STDEV(H21,L21,P21)*Calculation!I21/Calculation!K20</f>
        <v>214515233.48681405</v>
      </c>
      <c r="S21" s="49">
        <f t="shared" si="6"/>
        <v>9.5485398527196708</v>
      </c>
      <c r="T21" s="49">
        <f t="shared" si="7"/>
        <v>21.986325524731875</v>
      </c>
      <c r="U21" s="49">
        <f t="shared" ref="U21" si="8">LOG(H21)</f>
        <v>9.5561111622452284</v>
      </c>
      <c r="V21" s="49">
        <f t="shared" ref="V21" si="9">LOG(L21)</f>
        <v>9.5072060635308713</v>
      </c>
      <c r="W21" s="49">
        <f t="shared" ref="W21" si="10">LOG(P21)</f>
        <v>9.5507317379481904</v>
      </c>
      <c r="X21" s="49">
        <f xml:space="preserve"> STDEV(U21:W21)*Calculation!I21/Calculation!K20</f>
        <v>2.7440962833245614E-2</v>
      </c>
    </row>
  </sheetData>
  <mergeCells count="8">
    <mergeCell ref="Q3:S3"/>
    <mergeCell ref="A1:A2"/>
    <mergeCell ref="E1:H1"/>
    <mergeCell ref="I1:L1"/>
    <mergeCell ref="M1:P1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topLeftCell="C16" workbookViewId="0">
      <selection activeCell="H26" sqref="H26"/>
    </sheetView>
  </sheetViews>
  <sheetFormatPr baseColWidth="10" defaultRowHeight="14" x14ac:dyDescent="0"/>
  <cols>
    <col min="7" max="7" width="11" bestFit="1" customWidth="1"/>
  </cols>
  <sheetData>
    <row r="1" spans="1:22">
      <c r="A1" s="86"/>
      <c r="B1" s="153" t="s">
        <v>4</v>
      </c>
      <c r="C1" s="155" t="s">
        <v>186</v>
      </c>
      <c r="D1" s="156" t="s">
        <v>18</v>
      </c>
      <c r="E1" s="156"/>
      <c r="F1" s="156"/>
      <c r="G1" s="156"/>
      <c r="H1" s="156" t="s">
        <v>20</v>
      </c>
      <c r="I1" s="156"/>
      <c r="J1" s="156"/>
      <c r="K1" s="156"/>
      <c r="L1" s="156" t="s">
        <v>21</v>
      </c>
      <c r="M1" s="156"/>
      <c r="N1" s="156"/>
      <c r="O1" s="156"/>
      <c r="P1" s="118" t="s">
        <v>22</v>
      </c>
      <c r="Q1" s="118" t="s">
        <v>22</v>
      </c>
      <c r="R1" s="118" t="s">
        <v>22</v>
      </c>
      <c r="S1" s="148" t="s">
        <v>237</v>
      </c>
      <c r="T1" s="86"/>
      <c r="U1" s="86"/>
      <c r="V1" s="86"/>
    </row>
    <row r="2" spans="1:22">
      <c r="A2" s="86"/>
      <c r="B2" s="154"/>
      <c r="C2" s="154"/>
      <c r="D2" s="120" t="s">
        <v>19</v>
      </c>
      <c r="E2" s="120" t="s">
        <v>68</v>
      </c>
      <c r="F2" s="120" t="s">
        <v>69</v>
      </c>
      <c r="G2" s="120" t="s">
        <v>70</v>
      </c>
      <c r="H2" s="120" t="s">
        <v>19</v>
      </c>
      <c r="I2" s="120" t="s">
        <v>68</v>
      </c>
      <c r="J2" s="120" t="s">
        <v>69</v>
      </c>
      <c r="K2" s="120" t="s">
        <v>70</v>
      </c>
      <c r="L2" s="120" t="s">
        <v>19</v>
      </c>
      <c r="M2" s="120" t="s">
        <v>68</v>
      </c>
      <c r="N2" s="120" t="s">
        <v>69</v>
      </c>
      <c r="O2" s="120" t="s">
        <v>71</v>
      </c>
      <c r="P2" s="119" t="s">
        <v>70</v>
      </c>
      <c r="Q2" s="119" t="s">
        <v>23</v>
      </c>
      <c r="R2" s="119" t="s">
        <v>72</v>
      </c>
      <c r="S2" s="149"/>
      <c r="T2" s="86"/>
      <c r="U2" s="86"/>
      <c r="V2" s="86"/>
    </row>
    <row r="3" spans="1:22">
      <c r="A3" s="86"/>
      <c r="B3" s="87"/>
      <c r="C3" s="87"/>
      <c r="D3" s="88"/>
      <c r="E3" s="88"/>
      <c r="F3" s="88"/>
      <c r="G3" s="89"/>
      <c r="H3" s="88"/>
      <c r="I3" s="88"/>
      <c r="J3" s="88"/>
      <c r="K3" s="89"/>
      <c r="L3" s="88"/>
      <c r="M3" s="88"/>
      <c r="N3" s="88"/>
      <c r="O3" s="89"/>
      <c r="P3" s="150"/>
      <c r="Q3" s="151"/>
      <c r="R3" s="152"/>
      <c r="S3" s="86"/>
      <c r="T3" s="86"/>
      <c r="U3" s="86"/>
      <c r="V3" s="86"/>
    </row>
    <row r="4" spans="1:22">
      <c r="A4" s="86"/>
      <c r="B4" s="90" t="s">
        <v>187</v>
      </c>
      <c r="C4" s="91">
        <v>500</v>
      </c>
      <c r="D4" s="91">
        <v>2</v>
      </c>
      <c r="E4" s="91">
        <v>11777</v>
      </c>
      <c r="F4" s="91">
        <v>6</v>
      </c>
      <c r="G4" s="89">
        <f>(E4/F4)*(10.2)*POWER(10,D4+2)</f>
        <v>200208999.99999997</v>
      </c>
      <c r="H4" s="91">
        <v>2</v>
      </c>
      <c r="I4" s="91">
        <v>12350</v>
      </c>
      <c r="J4" s="91">
        <v>6</v>
      </c>
      <c r="K4" s="89">
        <f>(I4/J4)*(10.2)*POWER(10,H4+2)</f>
        <v>209950000</v>
      </c>
      <c r="L4" s="91">
        <v>2</v>
      </c>
      <c r="M4" s="91">
        <v>12193</v>
      </c>
      <c r="N4" s="91">
        <v>6</v>
      </c>
      <c r="O4" s="89">
        <f t="shared" ref="O4:O19" si="0">(M4/N4)*(10.2)*POWER(10,L4+2)</f>
        <v>207281000</v>
      </c>
      <c r="P4" s="92">
        <f t="shared" ref="P4:P19" si="1">AVERAGE(O4,K4,G4)</f>
        <v>205813333.33333334</v>
      </c>
      <c r="Q4" s="92">
        <f t="shared" ref="Q4:Q19" si="2">STDEV(O4,K4,G4)</f>
        <v>5033617.4202389978</v>
      </c>
      <c r="R4" s="93">
        <f>LOG(P4)</f>
        <v>8.313473506507659</v>
      </c>
      <c r="S4" s="100"/>
      <c r="T4" s="86"/>
      <c r="U4" s="86"/>
      <c r="V4" s="86"/>
    </row>
    <row r="5" spans="1:22">
      <c r="A5" s="86"/>
      <c r="B5" s="90" t="s">
        <v>188</v>
      </c>
      <c r="C5" s="91">
        <v>500</v>
      </c>
      <c r="D5" s="91">
        <v>1</v>
      </c>
      <c r="E5" s="91">
        <v>10368</v>
      </c>
      <c r="F5" s="91">
        <v>6</v>
      </c>
      <c r="G5" s="89">
        <f t="shared" ref="G5:G19" si="3">(E5/F5)*(10.2)*POWER(10,D5+2)</f>
        <v>17625600</v>
      </c>
      <c r="H5" s="91">
        <v>1</v>
      </c>
      <c r="I5" s="91">
        <v>11649</v>
      </c>
      <c r="J5" s="91">
        <v>6</v>
      </c>
      <c r="K5" s="89">
        <f t="shared" ref="K5:K19" si="4">(I5/J5)*(10.2)*POWER(10,H5+2)</f>
        <v>19803300</v>
      </c>
      <c r="L5" s="91">
        <v>1</v>
      </c>
      <c r="M5" s="91">
        <v>11377</v>
      </c>
      <c r="N5" s="91">
        <v>6</v>
      </c>
      <c r="O5" s="89">
        <f t="shared" si="0"/>
        <v>19340899.999999996</v>
      </c>
      <c r="P5" s="92">
        <f t="shared" si="1"/>
        <v>18923266.666666668</v>
      </c>
      <c r="Q5" s="92">
        <f t="shared" si="2"/>
        <v>1147348.0393208207</v>
      </c>
      <c r="R5" s="93">
        <f t="shared" ref="R5:R19" si="5">LOG(P5)</f>
        <v>7.2769961094890272</v>
      </c>
      <c r="S5" s="86"/>
      <c r="T5" s="86"/>
      <c r="U5" s="86"/>
      <c r="V5" s="86"/>
    </row>
    <row r="6" spans="1:22">
      <c r="A6" s="86"/>
      <c r="B6" s="90" t="s">
        <v>189</v>
      </c>
      <c r="C6" s="91">
        <v>500</v>
      </c>
      <c r="D6" s="91">
        <v>1</v>
      </c>
      <c r="E6" s="91">
        <v>1368</v>
      </c>
      <c r="F6" s="91">
        <v>6</v>
      </c>
      <c r="G6" s="89">
        <f t="shared" si="3"/>
        <v>2325600</v>
      </c>
      <c r="H6" s="91">
        <v>1</v>
      </c>
      <c r="I6" s="91">
        <v>1169</v>
      </c>
      <c r="J6" s="91">
        <v>6</v>
      </c>
      <c r="K6" s="89">
        <f t="shared" si="4"/>
        <v>1987300</v>
      </c>
      <c r="L6" s="91">
        <v>1</v>
      </c>
      <c r="M6" s="91">
        <v>1324</v>
      </c>
      <c r="N6" s="91">
        <v>6</v>
      </c>
      <c r="O6" s="89">
        <f t="shared" si="0"/>
        <v>2250799.9999999995</v>
      </c>
      <c r="P6" s="92">
        <f t="shared" si="1"/>
        <v>2187900</v>
      </c>
      <c r="Q6" s="92">
        <f t="shared" si="2"/>
        <v>177704.89582451005</v>
      </c>
      <c r="R6" s="93">
        <f t="shared" si="5"/>
        <v>6.3400274682826607</v>
      </c>
      <c r="S6" s="86"/>
      <c r="T6" s="86"/>
      <c r="U6" s="86"/>
      <c r="V6" s="86"/>
    </row>
    <row r="7" spans="1:22">
      <c r="A7" s="86"/>
      <c r="B7" s="90" t="s">
        <v>190</v>
      </c>
      <c r="C7" s="91">
        <v>500</v>
      </c>
      <c r="D7" s="91">
        <v>1</v>
      </c>
      <c r="E7" s="91">
        <v>1657</v>
      </c>
      <c r="F7" s="91">
        <v>67</v>
      </c>
      <c r="G7" s="89">
        <f>(E7/F7)*(10.2)*POWER(10,D7+2)</f>
        <v>252259.70149253728</v>
      </c>
      <c r="H7" s="91">
        <v>1</v>
      </c>
      <c r="I7" s="91">
        <v>1712</v>
      </c>
      <c r="J7" s="91">
        <v>67</v>
      </c>
      <c r="K7" s="89">
        <f t="shared" si="4"/>
        <v>260632.83582089547</v>
      </c>
      <c r="L7" s="91">
        <v>1</v>
      </c>
      <c r="M7" s="91">
        <v>1701</v>
      </c>
      <c r="N7" s="91">
        <v>67</v>
      </c>
      <c r="O7" s="89">
        <f t="shared" si="0"/>
        <v>258958.20895522388</v>
      </c>
      <c r="P7" s="92">
        <f t="shared" si="1"/>
        <v>257283.58208955219</v>
      </c>
      <c r="Q7" s="92">
        <f t="shared" si="2"/>
        <v>4430.6462253947329</v>
      </c>
      <c r="R7" s="93">
        <f t="shared" si="5"/>
        <v>5.410412073674765</v>
      </c>
      <c r="S7" s="100"/>
      <c r="T7" s="86"/>
      <c r="U7" s="86"/>
      <c r="V7" s="86"/>
    </row>
    <row r="8" spans="1:22">
      <c r="A8" s="86"/>
      <c r="B8" s="90" t="s">
        <v>191</v>
      </c>
      <c r="C8" s="91">
        <v>500</v>
      </c>
      <c r="D8" s="91">
        <v>1</v>
      </c>
      <c r="E8" s="91">
        <v>1582</v>
      </c>
      <c r="F8" s="91">
        <v>334</v>
      </c>
      <c r="G8" s="89">
        <f t="shared" si="3"/>
        <v>48312.574850299396</v>
      </c>
      <c r="H8" s="91">
        <v>1</v>
      </c>
      <c r="I8" s="91">
        <v>1222</v>
      </c>
      <c r="J8" s="91">
        <v>334</v>
      </c>
      <c r="K8" s="89">
        <f t="shared" si="4"/>
        <v>37318.562874251496</v>
      </c>
      <c r="L8" s="91">
        <v>1</v>
      </c>
      <c r="M8" s="91">
        <v>1331</v>
      </c>
      <c r="N8" s="91">
        <v>334</v>
      </c>
      <c r="O8" s="89">
        <f t="shared" si="0"/>
        <v>40647.305389221554</v>
      </c>
      <c r="P8" s="92">
        <f t="shared" si="1"/>
        <v>42092.814371257482</v>
      </c>
      <c r="Q8" s="92">
        <f t="shared" si="2"/>
        <v>5637.7475107733544</v>
      </c>
      <c r="R8" s="93">
        <f t="shared" si="5"/>
        <v>4.6242079641192557</v>
      </c>
      <c r="S8" s="100"/>
      <c r="T8" s="86"/>
      <c r="U8" s="86"/>
      <c r="V8" s="86"/>
    </row>
    <row r="9" spans="1:22">
      <c r="A9" s="86"/>
      <c r="B9" s="90" t="s">
        <v>192</v>
      </c>
      <c r="C9" s="91">
        <v>900</v>
      </c>
      <c r="D9" s="91">
        <v>2</v>
      </c>
      <c r="E9" s="91">
        <v>14797</v>
      </c>
      <c r="F9" s="91">
        <v>6</v>
      </c>
      <c r="G9" s="89">
        <f t="shared" si="3"/>
        <v>251548999.99999997</v>
      </c>
      <c r="H9" s="91">
        <v>2</v>
      </c>
      <c r="I9" s="91">
        <v>12831</v>
      </c>
      <c r="J9" s="91">
        <v>6</v>
      </c>
      <c r="K9" s="89">
        <f t="shared" si="4"/>
        <v>218126999.99999997</v>
      </c>
      <c r="L9" s="91">
        <v>2</v>
      </c>
      <c r="M9" s="91">
        <v>13557</v>
      </c>
      <c r="N9" s="91">
        <v>6</v>
      </c>
      <c r="O9" s="89">
        <f t="shared" si="0"/>
        <v>230468999.99999997</v>
      </c>
      <c r="P9" s="92">
        <f t="shared" si="1"/>
        <v>233381666.66666663</v>
      </c>
      <c r="Q9" s="92">
        <f t="shared" si="2"/>
        <v>16900302.995311458</v>
      </c>
      <c r="R9" s="93">
        <f t="shared" si="5"/>
        <v>8.3680667369783137</v>
      </c>
      <c r="S9" s="86"/>
      <c r="T9" s="86"/>
      <c r="U9" s="86"/>
      <c r="V9" s="86"/>
    </row>
    <row r="10" spans="1:22">
      <c r="A10" s="86"/>
      <c r="B10" s="90" t="s">
        <v>193</v>
      </c>
      <c r="C10" s="91">
        <v>900</v>
      </c>
      <c r="D10" s="91">
        <v>2</v>
      </c>
      <c r="E10" s="91">
        <v>6167</v>
      </c>
      <c r="F10" s="91">
        <v>6</v>
      </c>
      <c r="G10" s="89">
        <f t="shared" si="3"/>
        <v>104838999.99999999</v>
      </c>
      <c r="H10" s="91">
        <v>2</v>
      </c>
      <c r="I10" s="91">
        <v>6132</v>
      </c>
      <c r="J10" s="91">
        <v>6</v>
      </c>
      <c r="K10" s="89">
        <f t="shared" si="4"/>
        <v>104244000</v>
      </c>
      <c r="L10" s="91">
        <v>2</v>
      </c>
      <c r="M10" s="91">
        <v>5412</v>
      </c>
      <c r="N10" s="91">
        <v>6</v>
      </c>
      <c r="O10" s="89">
        <f t="shared" si="0"/>
        <v>92004000</v>
      </c>
      <c r="P10" s="92">
        <f t="shared" si="1"/>
        <v>100362333.33333333</v>
      </c>
      <c r="Q10" s="92">
        <f t="shared" si="2"/>
        <v>7244639.9726510411</v>
      </c>
      <c r="R10" s="93">
        <f t="shared" si="5"/>
        <v>8.0015707497132311</v>
      </c>
      <c r="S10" s="86"/>
      <c r="T10" s="86"/>
      <c r="U10" s="86"/>
      <c r="V10" s="86"/>
    </row>
    <row r="11" spans="1:22">
      <c r="A11" s="86"/>
      <c r="B11" s="90" t="s">
        <v>194</v>
      </c>
      <c r="C11" s="91">
        <v>900</v>
      </c>
      <c r="D11" s="91">
        <v>2</v>
      </c>
      <c r="E11" s="91">
        <v>2783</v>
      </c>
      <c r="F11" s="91">
        <v>6</v>
      </c>
      <c r="G11" s="89">
        <f t="shared" si="3"/>
        <v>47310999.999999993</v>
      </c>
      <c r="H11" s="91">
        <v>2</v>
      </c>
      <c r="I11" s="91">
        <v>2791</v>
      </c>
      <c r="J11" s="91">
        <v>6</v>
      </c>
      <c r="K11" s="89">
        <f t="shared" si="4"/>
        <v>47447000</v>
      </c>
      <c r="L11" s="91">
        <v>2</v>
      </c>
      <c r="M11" s="91">
        <v>2844</v>
      </c>
      <c r="N11" s="91">
        <v>6</v>
      </c>
      <c r="O11" s="89">
        <f t="shared" si="0"/>
        <v>48347999.999999993</v>
      </c>
      <c r="P11" s="92">
        <f t="shared" si="1"/>
        <v>47702000</v>
      </c>
      <c r="Q11" s="92">
        <f t="shared" si="2"/>
        <v>563569.87144452473</v>
      </c>
      <c r="R11" s="93">
        <f t="shared" si="5"/>
        <v>7.6785365880706147</v>
      </c>
      <c r="S11" s="86"/>
      <c r="T11" s="86"/>
      <c r="U11" s="86"/>
      <c r="V11" s="86"/>
    </row>
    <row r="12" spans="1:22">
      <c r="A12" s="86"/>
      <c r="B12" s="90" t="s">
        <v>195</v>
      </c>
      <c r="C12" s="91">
        <v>900</v>
      </c>
      <c r="D12" s="91">
        <v>1</v>
      </c>
      <c r="E12" s="91">
        <v>14347</v>
      </c>
      <c r="F12" s="91">
        <v>6</v>
      </c>
      <c r="G12" s="89">
        <f t="shared" si="3"/>
        <v>24389899.999999996</v>
      </c>
      <c r="H12" s="91">
        <v>1</v>
      </c>
      <c r="I12" s="91">
        <v>13548</v>
      </c>
      <c r="J12" s="91">
        <v>6</v>
      </c>
      <c r="K12" s="89">
        <f t="shared" si="4"/>
        <v>23031600</v>
      </c>
      <c r="L12" s="91">
        <v>1</v>
      </c>
      <c r="M12" s="91">
        <v>14200</v>
      </c>
      <c r="N12" s="91">
        <v>6</v>
      </c>
      <c r="O12" s="89">
        <f t="shared" si="0"/>
        <v>24139999.999999996</v>
      </c>
      <c r="P12" s="92">
        <f t="shared" si="1"/>
        <v>23853833.333333332</v>
      </c>
      <c r="Q12" s="92">
        <f t="shared" si="2"/>
        <v>722954.52369656716</v>
      </c>
      <c r="R12" s="93">
        <f t="shared" si="5"/>
        <v>7.3775581805140655</v>
      </c>
      <c r="S12" s="86"/>
      <c r="T12" s="86"/>
      <c r="U12" s="86"/>
      <c r="V12" s="86"/>
    </row>
    <row r="13" spans="1:22">
      <c r="A13" s="86"/>
      <c r="B13" s="90" t="s">
        <v>196</v>
      </c>
      <c r="C13" s="91">
        <v>900</v>
      </c>
      <c r="D13" s="91">
        <v>1</v>
      </c>
      <c r="E13" s="91">
        <v>5210</v>
      </c>
      <c r="F13" s="91">
        <v>6</v>
      </c>
      <c r="G13" s="89">
        <f t="shared" si="3"/>
        <v>8857000</v>
      </c>
      <c r="H13" s="91">
        <v>1</v>
      </c>
      <c r="I13" s="91">
        <v>5214</v>
      </c>
      <c r="J13" s="91">
        <v>6</v>
      </c>
      <c r="K13" s="89">
        <f t="shared" si="4"/>
        <v>8863800</v>
      </c>
      <c r="L13" s="91">
        <v>1</v>
      </c>
      <c r="M13" s="91">
        <v>5752</v>
      </c>
      <c r="N13" s="91">
        <v>6</v>
      </c>
      <c r="O13" s="89">
        <f t="shared" si="0"/>
        <v>9778400</v>
      </c>
      <c r="P13" s="92">
        <f t="shared" si="1"/>
        <v>9166400</v>
      </c>
      <c r="Q13" s="92">
        <f t="shared" si="2"/>
        <v>530018.4525089669</v>
      </c>
      <c r="R13" s="93">
        <f t="shared" si="5"/>
        <v>6.9621988049055377</v>
      </c>
      <c r="S13" s="86"/>
      <c r="T13" s="86"/>
      <c r="U13" s="86"/>
      <c r="V13" s="86"/>
    </row>
    <row r="14" spans="1:22">
      <c r="A14" s="86"/>
      <c r="B14" s="90" t="s">
        <v>197</v>
      </c>
      <c r="C14" s="91">
        <v>900</v>
      </c>
      <c r="D14" s="91">
        <v>1</v>
      </c>
      <c r="E14" s="91">
        <v>2620</v>
      </c>
      <c r="F14" s="91">
        <v>6</v>
      </c>
      <c r="G14" s="89">
        <f t="shared" si="3"/>
        <v>4454000</v>
      </c>
      <c r="H14" s="91">
        <v>1</v>
      </c>
      <c r="I14" s="91">
        <v>2454</v>
      </c>
      <c r="J14" s="91">
        <v>6</v>
      </c>
      <c r="K14" s="89">
        <f t="shared" si="4"/>
        <v>4171799.9999999991</v>
      </c>
      <c r="L14" s="91">
        <v>1</v>
      </c>
      <c r="M14" s="91">
        <v>2673</v>
      </c>
      <c r="N14" s="91">
        <v>6</v>
      </c>
      <c r="O14" s="89">
        <f t="shared" si="0"/>
        <v>4544099.9999999991</v>
      </c>
      <c r="P14" s="92">
        <f t="shared" si="1"/>
        <v>4389966.666666666</v>
      </c>
      <c r="Q14" s="92">
        <f t="shared" si="2"/>
        <v>194234.45454741904</v>
      </c>
      <c r="R14" s="93">
        <f t="shared" si="5"/>
        <v>6.642461222625335</v>
      </c>
      <c r="S14" s="86"/>
      <c r="T14" s="86"/>
      <c r="U14" s="86"/>
      <c r="V14" s="86"/>
    </row>
    <row r="15" spans="1:22">
      <c r="A15" s="86"/>
      <c r="B15" s="90" t="s">
        <v>198</v>
      </c>
      <c r="C15" s="91">
        <v>900</v>
      </c>
      <c r="D15" s="91">
        <v>1</v>
      </c>
      <c r="E15" s="91">
        <v>1562</v>
      </c>
      <c r="F15" s="91">
        <v>6</v>
      </c>
      <c r="G15" s="89">
        <f t="shared" si="3"/>
        <v>2655399.9999999995</v>
      </c>
      <c r="H15" s="91">
        <v>1</v>
      </c>
      <c r="I15" s="91">
        <v>1614</v>
      </c>
      <c r="J15" s="91">
        <v>6</v>
      </c>
      <c r="K15" s="89">
        <f t="shared" si="4"/>
        <v>2743799.9999999995</v>
      </c>
      <c r="L15" s="91">
        <v>1</v>
      </c>
      <c r="M15" s="91">
        <v>1660</v>
      </c>
      <c r="N15" s="91">
        <v>6</v>
      </c>
      <c r="O15" s="89">
        <f t="shared" si="0"/>
        <v>2822000</v>
      </c>
      <c r="P15" s="92">
        <f t="shared" si="1"/>
        <v>2740400</v>
      </c>
      <c r="Q15" s="92">
        <f t="shared" si="2"/>
        <v>83352.024570492809</v>
      </c>
      <c r="R15" s="93">
        <f t="shared" si="5"/>
        <v>6.4378139588473458</v>
      </c>
      <c r="S15" s="86"/>
      <c r="T15" s="86"/>
      <c r="U15" s="86"/>
      <c r="V15" s="86"/>
    </row>
    <row r="16" spans="1:22">
      <c r="A16" s="86"/>
      <c r="B16" s="90" t="s">
        <v>199</v>
      </c>
      <c r="C16" s="91">
        <v>900</v>
      </c>
      <c r="D16" s="91">
        <v>1</v>
      </c>
      <c r="E16" s="91">
        <v>2084</v>
      </c>
      <c r="F16" s="91">
        <v>13</v>
      </c>
      <c r="G16" s="89">
        <f t="shared" si="3"/>
        <v>1635138.4615384615</v>
      </c>
      <c r="H16" s="91">
        <v>1</v>
      </c>
      <c r="I16" s="91">
        <v>2144</v>
      </c>
      <c r="J16" s="91">
        <v>13</v>
      </c>
      <c r="K16" s="89">
        <f t="shared" si="4"/>
        <v>1682215.3846153847</v>
      </c>
      <c r="L16" s="91">
        <v>1</v>
      </c>
      <c r="M16" s="91">
        <v>1740</v>
      </c>
      <c r="N16" s="91">
        <v>13</v>
      </c>
      <c r="O16" s="89">
        <f t="shared" si="0"/>
        <v>1365230.769230769</v>
      </c>
      <c r="P16" s="92">
        <f t="shared" si="1"/>
        <v>1560861.5384615387</v>
      </c>
      <c r="Q16" s="92">
        <f t="shared" si="2"/>
        <v>171048.55326475156</v>
      </c>
      <c r="R16" s="93">
        <f t="shared" si="5"/>
        <v>6.1933643792000312</v>
      </c>
      <c r="S16" s="86"/>
      <c r="T16" s="86"/>
      <c r="U16" s="86"/>
      <c r="V16" s="86"/>
    </row>
    <row r="17" spans="1:22">
      <c r="A17" s="86"/>
      <c r="B17" s="90" t="s">
        <v>200</v>
      </c>
      <c r="C17" s="91">
        <v>900</v>
      </c>
      <c r="D17" s="91">
        <v>1</v>
      </c>
      <c r="E17" s="91">
        <v>2200</v>
      </c>
      <c r="F17" s="91">
        <v>26</v>
      </c>
      <c r="G17" s="89">
        <f t="shared" si="3"/>
        <v>863076.92307692301</v>
      </c>
      <c r="H17" s="91">
        <v>1</v>
      </c>
      <c r="I17" s="91">
        <v>2389</v>
      </c>
      <c r="J17" s="91">
        <v>26</v>
      </c>
      <c r="K17" s="89">
        <f t="shared" si="4"/>
        <v>937223.07692307688</v>
      </c>
      <c r="L17" s="91">
        <v>1</v>
      </c>
      <c r="M17" s="91">
        <v>2163</v>
      </c>
      <c r="N17" s="91">
        <v>26</v>
      </c>
      <c r="O17" s="89">
        <f t="shared" si="0"/>
        <v>848561.53846153838</v>
      </c>
      <c r="P17" s="92">
        <f t="shared" si="1"/>
        <v>882953.84615384601</v>
      </c>
      <c r="Q17" s="92">
        <f t="shared" si="2"/>
        <v>47555.611170987548</v>
      </c>
      <c r="R17" s="93">
        <f t="shared" si="5"/>
        <v>5.9459380026890356</v>
      </c>
      <c r="S17" s="86"/>
      <c r="T17" s="86"/>
      <c r="U17" s="86"/>
      <c r="V17" s="86"/>
    </row>
    <row r="18" spans="1:22">
      <c r="A18" s="86"/>
      <c r="B18" s="90" t="s">
        <v>201</v>
      </c>
      <c r="C18" s="91">
        <v>900</v>
      </c>
      <c r="D18" s="91">
        <v>1</v>
      </c>
      <c r="E18" s="91">
        <v>2258</v>
      </c>
      <c r="F18" s="91">
        <v>53</v>
      </c>
      <c r="G18" s="89">
        <f t="shared" si="3"/>
        <v>434558.49056603765</v>
      </c>
      <c r="H18" s="91">
        <v>1</v>
      </c>
      <c r="I18" s="91">
        <v>2364</v>
      </c>
      <c r="J18" s="91">
        <v>53</v>
      </c>
      <c r="K18" s="89">
        <f t="shared" si="4"/>
        <v>454958.49056603771</v>
      </c>
      <c r="L18" s="91">
        <v>1</v>
      </c>
      <c r="M18" s="91">
        <v>2494</v>
      </c>
      <c r="N18" s="91">
        <v>53</v>
      </c>
      <c r="O18" s="89">
        <f t="shared" si="0"/>
        <v>479977.35849056597</v>
      </c>
      <c r="P18" s="92">
        <f t="shared" si="1"/>
        <v>456498.11320754705</v>
      </c>
      <c r="Q18" s="92">
        <f t="shared" si="2"/>
        <v>22748.543234570494</v>
      </c>
      <c r="R18" s="93">
        <f t="shared" si="5"/>
        <v>5.6594389868533534</v>
      </c>
      <c r="S18" s="86"/>
      <c r="T18" s="86"/>
      <c r="U18" s="86"/>
      <c r="V18" s="86"/>
    </row>
    <row r="19" spans="1:22">
      <c r="A19" s="86"/>
      <c r="B19" s="90" t="s">
        <v>202</v>
      </c>
      <c r="C19" s="91">
        <v>900</v>
      </c>
      <c r="D19" s="91">
        <v>1</v>
      </c>
      <c r="E19" s="91">
        <v>2389</v>
      </c>
      <c r="F19" s="91">
        <v>107</v>
      </c>
      <c r="G19" s="89">
        <f t="shared" si="3"/>
        <v>227736.44859813081</v>
      </c>
      <c r="H19" s="91">
        <v>1</v>
      </c>
      <c r="I19" s="91">
        <v>2798</v>
      </c>
      <c r="J19" s="91">
        <v>107</v>
      </c>
      <c r="K19" s="89">
        <f t="shared" si="4"/>
        <v>266725.23364485975</v>
      </c>
      <c r="L19" s="91">
        <v>1</v>
      </c>
      <c r="M19" s="91">
        <v>7437</v>
      </c>
      <c r="N19" s="91">
        <v>394</v>
      </c>
      <c r="O19" s="89">
        <f t="shared" si="0"/>
        <v>192531.47208121826</v>
      </c>
      <c r="P19" s="92">
        <f t="shared" si="1"/>
        <v>228997.71810806962</v>
      </c>
      <c r="Q19" s="92">
        <f t="shared" si="2"/>
        <v>37112.958172626859</v>
      </c>
      <c r="R19" s="93">
        <f t="shared" si="5"/>
        <v>5.359831154750319</v>
      </c>
      <c r="S19" s="86"/>
      <c r="T19" s="86"/>
      <c r="U19" s="86"/>
      <c r="V19" s="86"/>
    </row>
    <row r="20" spans="1:22" ht="15" thickBot="1">
      <c r="A20" s="86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ht="43" thickBot="1">
      <c r="A21" s="86"/>
      <c r="B21" s="94" t="s">
        <v>4</v>
      </c>
      <c r="C21" s="94" t="s">
        <v>203</v>
      </c>
      <c r="D21" s="94" t="s">
        <v>204</v>
      </c>
      <c r="E21" s="94" t="s">
        <v>205</v>
      </c>
      <c r="F21" s="94" t="s">
        <v>206</v>
      </c>
      <c r="G21" s="95" t="s">
        <v>207</v>
      </c>
      <c r="H21" s="96" t="s">
        <v>208</v>
      </c>
      <c r="I21" s="96" t="s">
        <v>209</v>
      </c>
      <c r="J21" s="96" t="s">
        <v>210</v>
      </c>
      <c r="K21" s="96" t="s">
        <v>211</v>
      </c>
      <c r="L21" s="96" t="s">
        <v>212</v>
      </c>
      <c r="M21" s="100" t="s">
        <v>237</v>
      </c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86"/>
      <c r="B23" s="90" t="s">
        <v>187</v>
      </c>
      <c r="C23" s="97">
        <v>12.024166107177734</v>
      </c>
      <c r="D23" s="97">
        <v>11.937971115112305</v>
      </c>
      <c r="E23" s="97">
        <v>12.113894462585449</v>
      </c>
      <c r="F23" s="98">
        <f>AVERAGE(C23:E23)</f>
        <v>12.025343894958496</v>
      </c>
      <c r="G23" s="122">
        <f>1000/1000*200/4*1000/900</f>
        <v>55.555555555555557</v>
      </c>
      <c r="H23" s="99">
        <f>LOG(G23)/LOG(2)</f>
        <v>5.7958592832197748</v>
      </c>
      <c r="I23" s="97">
        <f>C23-H23</f>
        <v>6.2283068239579595</v>
      </c>
      <c r="J23" s="97">
        <f>D23-H23</f>
        <v>6.1421118318925298</v>
      </c>
      <c r="K23" s="97">
        <f>E23-H23</f>
        <v>6.3180351793656744</v>
      </c>
      <c r="L23" s="98">
        <f>AVERAGE(I23:K23)</f>
        <v>6.2294846117387221</v>
      </c>
      <c r="M23" s="100"/>
      <c r="N23" s="86"/>
      <c r="O23" s="86"/>
      <c r="P23" s="86"/>
      <c r="Q23" s="86"/>
      <c r="R23" s="86"/>
      <c r="S23" s="86"/>
      <c r="T23" s="86"/>
      <c r="U23" s="86"/>
      <c r="V23" s="86"/>
    </row>
    <row r="24" spans="1:22">
      <c r="A24" s="86"/>
      <c r="B24" s="90" t="s">
        <v>188</v>
      </c>
      <c r="C24" s="97">
        <v>17.587196350097656</v>
      </c>
      <c r="D24" s="97">
        <v>17.463251113891602</v>
      </c>
      <c r="E24" s="97">
        <v>17.496953964233398</v>
      </c>
      <c r="F24" s="98">
        <f t="shared" ref="F24:F38" si="6">AVERAGE(C24:E24)</f>
        <v>17.515800476074219</v>
      </c>
      <c r="G24" s="122">
        <f t="shared" ref="G24:G27" si="7">1000/1000*200/4*1000/900</f>
        <v>55.555555555555557</v>
      </c>
      <c r="H24" s="99">
        <f t="shared" ref="H24:H38" si="8">LOG(G24)/LOG(2)</f>
        <v>5.7958592832197748</v>
      </c>
      <c r="I24" s="97">
        <f>C24-H24</f>
        <v>11.791337066877881</v>
      </c>
      <c r="J24" s="97">
        <f t="shared" ref="J24:J38" si="9">D24-H24</f>
        <v>11.667391830671827</v>
      </c>
      <c r="K24" s="97">
        <f t="shared" ref="K24:K38" si="10">E24-H24</f>
        <v>11.701094681013624</v>
      </c>
      <c r="L24" s="98">
        <f t="shared" ref="L24:L38" si="11">AVERAGE(I24:K24)</f>
        <v>11.719941192854444</v>
      </c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>
      <c r="A25" s="86"/>
      <c r="B25" s="90" t="s">
        <v>189</v>
      </c>
      <c r="C25" s="97">
        <v>20.035877227783203</v>
      </c>
      <c r="D25" s="97">
        <v>19.974271774291992</v>
      </c>
      <c r="E25" s="97">
        <v>19.944717407226562</v>
      </c>
      <c r="F25" s="98">
        <f t="shared" si="6"/>
        <v>19.984955469767254</v>
      </c>
      <c r="G25" s="122">
        <f t="shared" si="7"/>
        <v>55.555555555555557</v>
      </c>
      <c r="H25" s="99">
        <f t="shared" si="8"/>
        <v>5.7958592832197748</v>
      </c>
      <c r="I25" s="97">
        <f>C25-H25</f>
        <v>14.240017944563428</v>
      </c>
      <c r="J25" s="97">
        <f t="shared" si="9"/>
        <v>14.178412491072217</v>
      </c>
      <c r="K25" s="97">
        <f t="shared" si="10"/>
        <v>14.148858124006788</v>
      </c>
      <c r="L25" s="98">
        <f t="shared" si="11"/>
        <v>14.189096186547479</v>
      </c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>
      <c r="A26" s="86"/>
      <c r="B26" s="90" t="s">
        <v>190</v>
      </c>
      <c r="C26" s="97">
        <v>24.500289916992188</v>
      </c>
      <c r="D26" s="97">
        <v>24.458871841430664</v>
      </c>
      <c r="E26" s="97">
        <v>24.548263549804688</v>
      </c>
      <c r="F26" s="98">
        <f t="shared" si="6"/>
        <v>24.502475102742512</v>
      </c>
      <c r="G26" s="122">
        <f t="shared" si="7"/>
        <v>55.555555555555557</v>
      </c>
      <c r="H26" s="99">
        <f t="shared" si="8"/>
        <v>5.7958592832197748</v>
      </c>
      <c r="I26" s="97">
        <f>C26-H26</f>
        <v>18.704430633772411</v>
      </c>
      <c r="J26" s="97">
        <f t="shared" si="9"/>
        <v>18.663012558210887</v>
      </c>
      <c r="K26" s="97">
        <f t="shared" si="10"/>
        <v>18.752404266584911</v>
      </c>
      <c r="L26" s="98">
        <f t="shared" si="11"/>
        <v>18.706615819522735</v>
      </c>
      <c r="M26" s="100"/>
      <c r="N26" s="86"/>
      <c r="O26" s="86"/>
      <c r="P26" s="86"/>
      <c r="Q26" s="86"/>
      <c r="R26" s="86"/>
      <c r="S26" s="86"/>
      <c r="T26" s="86"/>
      <c r="U26" s="86"/>
      <c r="V26" s="86"/>
    </row>
    <row r="27" spans="1:22">
      <c r="A27" s="86"/>
      <c r="B27" s="90" t="s">
        <v>191</v>
      </c>
      <c r="C27" s="97">
        <v>27.966335296630859</v>
      </c>
      <c r="D27" s="97">
        <v>27.953102111816406</v>
      </c>
      <c r="E27" s="97">
        <v>27.858415603637695</v>
      </c>
      <c r="F27" s="98">
        <f>AVERAGE(C27:E27)</f>
        <v>27.92595100402832</v>
      </c>
      <c r="G27" s="122">
        <f t="shared" si="7"/>
        <v>55.555555555555557</v>
      </c>
      <c r="H27" s="99">
        <f t="shared" si="8"/>
        <v>5.7958592832197748</v>
      </c>
      <c r="I27" s="97">
        <f>C27-H27</f>
        <v>22.170476013411083</v>
      </c>
      <c r="J27" s="97">
        <f>D27-H27</f>
        <v>22.15724282859663</v>
      </c>
      <c r="K27" s="97">
        <f>E27-H27</f>
        <v>22.062556320417919</v>
      </c>
      <c r="L27" s="98">
        <f t="shared" si="11"/>
        <v>22.130091720808547</v>
      </c>
      <c r="M27" s="100"/>
      <c r="N27" s="86"/>
      <c r="O27" s="86"/>
      <c r="P27" s="86"/>
      <c r="Q27" s="86"/>
      <c r="R27" s="86"/>
      <c r="S27" s="86"/>
      <c r="T27" s="86"/>
      <c r="U27" s="86"/>
      <c r="V27" s="86"/>
    </row>
    <row r="28" spans="1:22">
      <c r="A28" s="86"/>
      <c r="B28" s="90" t="s">
        <v>192</v>
      </c>
      <c r="C28" s="97">
        <v>13.96388053894043</v>
      </c>
      <c r="D28" s="97">
        <v>13.646139144897461</v>
      </c>
      <c r="E28" s="97">
        <v>13.680848121643066</v>
      </c>
      <c r="F28" s="98">
        <f t="shared" si="6"/>
        <v>13.763622601826986</v>
      </c>
      <c r="G28" s="86">
        <f>1000/1000*200/4*1000/500</f>
        <v>100</v>
      </c>
      <c r="H28" s="99">
        <f t="shared" si="8"/>
        <v>6.6438561897747244</v>
      </c>
      <c r="I28" s="97">
        <f t="shared" ref="I28:I38" si="12">C28-H28</f>
        <v>7.3200243491657053</v>
      </c>
      <c r="J28" s="97">
        <f t="shared" si="9"/>
        <v>7.0022829551227366</v>
      </c>
      <c r="K28" s="97">
        <f t="shared" si="10"/>
        <v>7.036991931868342</v>
      </c>
      <c r="L28" s="98">
        <f t="shared" si="11"/>
        <v>7.119766412052261</v>
      </c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>
      <c r="A29" s="86"/>
      <c r="B29" s="90" t="s">
        <v>193</v>
      </c>
      <c r="C29" s="97">
        <v>15.15186882019043</v>
      </c>
      <c r="D29" s="97">
        <v>15.517631530761719</v>
      </c>
      <c r="E29" s="97">
        <v>15.663459777832031</v>
      </c>
      <c r="F29" s="98">
        <f t="shared" si="6"/>
        <v>15.44432004292806</v>
      </c>
      <c r="G29" s="86">
        <f t="shared" ref="G29:G38" si="13">1000/1000*200/4*1000/500</f>
        <v>100</v>
      </c>
      <c r="H29" s="99">
        <f t="shared" si="8"/>
        <v>6.6438561897747244</v>
      </c>
      <c r="I29" s="97">
        <f t="shared" si="12"/>
        <v>8.5080126304157062</v>
      </c>
      <c r="J29" s="97">
        <f t="shared" si="9"/>
        <v>8.8737753409869953</v>
      </c>
      <c r="K29" s="97">
        <f t="shared" si="10"/>
        <v>9.0196035880573078</v>
      </c>
      <c r="L29" s="98">
        <f t="shared" si="11"/>
        <v>8.800463853153337</v>
      </c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>
      <c r="A30" s="86"/>
      <c r="B30" s="90" t="s">
        <v>194</v>
      </c>
      <c r="C30" s="97">
        <v>16.251581192016602</v>
      </c>
      <c r="D30" s="97">
        <v>16.335042953491211</v>
      </c>
      <c r="E30" s="97">
        <v>16.212072372436523</v>
      </c>
      <c r="F30" s="98">
        <f t="shared" si="6"/>
        <v>16.266232172648113</v>
      </c>
      <c r="G30" s="86">
        <f t="shared" si="13"/>
        <v>100</v>
      </c>
      <c r="H30" s="99">
        <f t="shared" si="8"/>
        <v>6.6438561897747244</v>
      </c>
      <c r="I30" s="97">
        <f t="shared" si="12"/>
        <v>9.6077250022418781</v>
      </c>
      <c r="J30" s="97">
        <f t="shared" si="9"/>
        <v>9.6911867637164875</v>
      </c>
      <c r="K30" s="97">
        <f t="shared" si="10"/>
        <v>9.5682161826618</v>
      </c>
      <c r="L30" s="98">
        <f t="shared" si="11"/>
        <v>9.6223759828733879</v>
      </c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>
      <c r="A31" s="86"/>
      <c r="B31" s="90" t="s">
        <v>195</v>
      </c>
      <c r="C31" s="97">
        <v>18.410284042358398</v>
      </c>
      <c r="D31" s="97">
        <v>18.640316009521484</v>
      </c>
      <c r="E31" s="97">
        <v>18.454940795898438</v>
      </c>
      <c r="F31" s="98">
        <f t="shared" si="6"/>
        <v>18.501846949259441</v>
      </c>
      <c r="G31" s="86">
        <f t="shared" si="13"/>
        <v>100</v>
      </c>
      <c r="H31" s="99">
        <f t="shared" si="8"/>
        <v>6.6438561897747244</v>
      </c>
      <c r="I31" s="97">
        <f t="shared" si="12"/>
        <v>11.766427852583675</v>
      </c>
      <c r="J31" s="97">
        <f t="shared" si="9"/>
        <v>11.996459819746761</v>
      </c>
      <c r="K31" s="97">
        <f t="shared" si="10"/>
        <v>11.811084606123714</v>
      </c>
      <c r="L31" s="98">
        <f t="shared" si="11"/>
        <v>11.857990759484716</v>
      </c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>
      <c r="A32" s="86"/>
      <c r="B32" s="90" t="s">
        <v>196</v>
      </c>
      <c r="C32" s="97">
        <v>18.648725509643555</v>
      </c>
      <c r="D32" s="97">
        <v>18.836643218994141</v>
      </c>
      <c r="E32" s="97">
        <v>18.618749618530273</v>
      </c>
      <c r="F32" s="98">
        <f t="shared" si="6"/>
        <v>18.701372782389324</v>
      </c>
      <c r="G32" s="86">
        <f t="shared" si="13"/>
        <v>100</v>
      </c>
      <c r="H32" s="99">
        <f t="shared" si="8"/>
        <v>6.6438561897747244</v>
      </c>
      <c r="I32" s="97">
        <f t="shared" si="12"/>
        <v>12.004869319868831</v>
      </c>
      <c r="J32" s="97">
        <f t="shared" si="9"/>
        <v>12.192787029219417</v>
      </c>
      <c r="K32" s="97">
        <f t="shared" si="10"/>
        <v>11.97489342875555</v>
      </c>
      <c r="L32" s="98">
        <f t="shared" si="11"/>
        <v>12.057516592614599</v>
      </c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>
      <c r="A33" s="86"/>
      <c r="B33" s="90" t="s">
        <v>197</v>
      </c>
      <c r="C33" s="97">
        <v>19.173038482666016</v>
      </c>
      <c r="D33" s="97">
        <v>19.267778396606445</v>
      </c>
      <c r="E33" s="97">
        <v>19.15654182434082</v>
      </c>
      <c r="F33" s="98">
        <f t="shared" si="6"/>
        <v>19.199119567871094</v>
      </c>
      <c r="G33" s="86">
        <f t="shared" si="13"/>
        <v>100</v>
      </c>
      <c r="H33" s="99">
        <f t="shared" si="8"/>
        <v>6.6438561897747244</v>
      </c>
      <c r="I33" s="97">
        <f t="shared" si="12"/>
        <v>12.529182292891292</v>
      </c>
      <c r="J33" s="97">
        <f t="shared" si="9"/>
        <v>12.623922206831722</v>
      </c>
      <c r="K33" s="97">
        <f t="shared" si="10"/>
        <v>12.512685634566097</v>
      </c>
      <c r="L33" s="98">
        <f t="shared" si="11"/>
        <v>12.55526337809637</v>
      </c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>
      <c r="A34" s="86"/>
      <c r="B34" s="90" t="s">
        <v>198</v>
      </c>
      <c r="C34" s="97">
        <v>20.283313751220703</v>
      </c>
      <c r="D34" s="97">
        <v>20.449991226196289</v>
      </c>
      <c r="E34" s="97">
        <v>20.311237335205078</v>
      </c>
      <c r="F34" s="98">
        <f t="shared" si="6"/>
        <v>20.348180770874023</v>
      </c>
      <c r="G34" s="86">
        <f t="shared" si="13"/>
        <v>100</v>
      </c>
      <c r="H34" s="99">
        <f t="shared" si="8"/>
        <v>6.6438561897747244</v>
      </c>
      <c r="I34" s="97">
        <f t="shared" si="12"/>
        <v>13.63945756144598</v>
      </c>
      <c r="J34" s="97">
        <f t="shared" si="9"/>
        <v>13.806135036421566</v>
      </c>
      <c r="K34" s="97">
        <f t="shared" si="10"/>
        <v>13.667381145430355</v>
      </c>
      <c r="L34" s="98">
        <f t="shared" si="11"/>
        <v>13.7043245810993</v>
      </c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>
      <c r="A35" s="86"/>
      <c r="B35" s="90" t="s">
        <v>199</v>
      </c>
      <c r="C35" s="97">
        <v>21.243825912475586</v>
      </c>
      <c r="D35" s="97">
        <v>21.539775848388672</v>
      </c>
      <c r="E35" s="97">
        <v>21.392797470092773</v>
      </c>
      <c r="F35" s="98">
        <f t="shared" si="6"/>
        <v>21.392133076985676</v>
      </c>
      <c r="G35" s="86">
        <f t="shared" si="13"/>
        <v>100</v>
      </c>
      <c r="H35" s="99">
        <f t="shared" si="8"/>
        <v>6.6438561897747244</v>
      </c>
      <c r="I35" s="97">
        <f t="shared" si="12"/>
        <v>14.599969722700862</v>
      </c>
      <c r="J35" s="97">
        <f t="shared" si="9"/>
        <v>14.895919658613948</v>
      </c>
      <c r="K35" s="97">
        <f t="shared" si="10"/>
        <v>14.74894128031805</v>
      </c>
      <c r="L35" s="98">
        <f t="shared" si="11"/>
        <v>14.748276887210954</v>
      </c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>
      <c r="A36" s="86"/>
      <c r="B36" s="90" t="s">
        <v>200</v>
      </c>
      <c r="C36" s="97">
        <v>22.513101577758789</v>
      </c>
      <c r="D36" s="97">
        <v>22.496644973754883</v>
      </c>
      <c r="E36" s="97">
        <v>22.572574615478516</v>
      </c>
      <c r="F36" s="98">
        <f t="shared" si="6"/>
        <v>22.527440388997395</v>
      </c>
      <c r="G36" s="86">
        <f t="shared" si="13"/>
        <v>100</v>
      </c>
      <c r="H36" s="99">
        <f t="shared" si="8"/>
        <v>6.6438561897747244</v>
      </c>
      <c r="I36" s="97">
        <f t="shared" si="12"/>
        <v>15.869245387984066</v>
      </c>
      <c r="J36" s="97">
        <f t="shared" si="9"/>
        <v>15.852788783980159</v>
      </c>
      <c r="K36" s="97">
        <f t="shared" si="10"/>
        <v>15.928718425703792</v>
      </c>
      <c r="L36" s="98">
        <f t="shared" si="11"/>
        <v>15.883584199222673</v>
      </c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>
      <c r="A37" s="86"/>
      <c r="B37" s="90" t="s">
        <v>201</v>
      </c>
      <c r="C37" s="97">
        <v>25.11761474609375</v>
      </c>
      <c r="D37" s="97">
        <v>25.00200080871582</v>
      </c>
      <c r="E37" s="97">
        <v>25.069990158081055</v>
      </c>
      <c r="F37" s="98">
        <f t="shared" si="6"/>
        <v>25.063201904296875</v>
      </c>
      <c r="G37" s="86">
        <f t="shared" si="13"/>
        <v>100</v>
      </c>
      <c r="H37" s="99">
        <f t="shared" si="8"/>
        <v>6.6438561897747244</v>
      </c>
      <c r="I37" s="97">
        <f t="shared" si="12"/>
        <v>18.473758556319027</v>
      </c>
      <c r="J37" s="97">
        <f t="shared" si="9"/>
        <v>18.358144618941097</v>
      </c>
      <c r="K37" s="97">
        <f t="shared" si="10"/>
        <v>18.426133968306331</v>
      </c>
      <c r="L37" s="98">
        <f t="shared" si="11"/>
        <v>18.419345714522152</v>
      </c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>
      <c r="A38" s="86"/>
      <c r="B38" s="90" t="s">
        <v>202</v>
      </c>
      <c r="C38" s="97">
        <v>25.78911018371582</v>
      </c>
      <c r="D38" s="97">
        <v>25.811565399169922</v>
      </c>
      <c r="E38" s="97">
        <v>25.885698318481445</v>
      </c>
      <c r="F38" s="98">
        <f t="shared" si="6"/>
        <v>25.82879130045573</v>
      </c>
      <c r="G38" s="86">
        <f t="shared" si="13"/>
        <v>100</v>
      </c>
      <c r="H38" s="99">
        <f t="shared" si="8"/>
        <v>6.6438561897747244</v>
      </c>
      <c r="I38" s="97">
        <f t="shared" si="12"/>
        <v>19.145253993941097</v>
      </c>
      <c r="J38" s="97">
        <f t="shared" si="9"/>
        <v>19.167709209395198</v>
      </c>
      <c r="K38" s="97">
        <f t="shared" si="10"/>
        <v>19.241842128706722</v>
      </c>
      <c r="L38" s="98">
        <f t="shared" si="11"/>
        <v>19.184935110681007</v>
      </c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>
      <c r="A39" s="86"/>
      <c r="B39" s="86"/>
      <c r="C39" s="86"/>
      <c r="D39" s="86"/>
      <c r="E39" s="86"/>
      <c r="F39" s="99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>
      <c r="A40" s="86"/>
      <c r="B40" s="90" t="s">
        <v>235</v>
      </c>
      <c r="C40" s="97">
        <v>10.746070861816406</v>
      </c>
      <c r="D40" s="97">
        <v>10.822755813598633</v>
      </c>
      <c r="E40" s="97">
        <v>10.731834411621094</v>
      </c>
      <c r="F40" s="98">
        <f>AVERAGE(C40:E40)</f>
        <v>10.766887029012045</v>
      </c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>
      <c r="A41" s="86"/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>
      <c r="A42" s="86"/>
      <c r="B42" s="100" t="s">
        <v>213</v>
      </c>
      <c r="C42" s="86" t="s">
        <v>214</v>
      </c>
      <c r="D42" s="86"/>
      <c r="E42" s="86"/>
      <c r="F42" t="s">
        <v>215</v>
      </c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>
      <c r="A43" s="86"/>
      <c r="B43" s="86" t="s">
        <v>216</v>
      </c>
      <c r="C43" s="86" t="s">
        <v>214</v>
      </c>
      <c r="D43" s="86"/>
      <c r="E43" s="86"/>
      <c r="F43">
        <v>0.34642903804779052</v>
      </c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>
      <c r="A44" s="86"/>
      <c r="B44" s="86"/>
      <c r="C44" s="101" t="s">
        <v>217</v>
      </c>
      <c r="D44" s="102">
        <v>-3.9893000000000001</v>
      </c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>
      <c r="A45" s="86"/>
      <c r="B45" s="86"/>
      <c r="C45" s="101" t="s">
        <v>218</v>
      </c>
      <c r="D45" s="102">
        <v>40.134999999999998</v>
      </c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>
      <c r="A48" s="86"/>
      <c r="B48" s="100" t="s">
        <v>219</v>
      </c>
      <c r="C48" s="86"/>
      <c r="D48" s="86">
        <f>-1+ POWER(10,-(1/D44))</f>
        <v>0.78102716558460528</v>
      </c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>
      <c r="A50" s="86"/>
      <c r="B50" s="100" t="s">
        <v>241</v>
      </c>
      <c r="C50" s="121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</sheetData>
  <mergeCells count="7">
    <mergeCell ref="S1:S2"/>
    <mergeCell ref="P3:R3"/>
    <mergeCell ref="B1:B2"/>
    <mergeCell ref="C1:C2"/>
    <mergeCell ref="D1:G1"/>
    <mergeCell ref="H1:K1"/>
    <mergeCell ref="L1:O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7"/>
  <sheetViews>
    <sheetView topLeftCell="A40" workbookViewId="0">
      <selection activeCell="A64" sqref="A64:H65"/>
    </sheetView>
  </sheetViews>
  <sheetFormatPr baseColWidth="10" defaultRowHeight="14" x14ac:dyDescent="0"/>
  <cols>
    <col min="14" max="14" width="18.83203125" customWidth="1"/>
    <col min="15" max="15" width="20.1640625" customWidth="1"/>
    <col min="16" max="16" width="18.5" customWidth="1"/>
    <col min="17" max="18" width="19.1640625" customWidth="1"/>
    <col min="19" max="19" width="26" customWidth="1"/>
  </cols>
  <sheetData>
    <row r="1" spans="1:29">
      <c r="A1" s="103" t="s">
        <v>239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</row>
    <row r="2" spans="1:29">
      <c r="A2" s="139" t="s">
        <v>4</v>
      </c>
      <c r="B2" s="139" t="s">
        <v>116</v>
      </c>
      <c r="C2" s="139" t="s">
        <v>116</v>
      </c>
      <c r="D2" s="139" t="s">
        <v>5</v>
      </c>
      <c r="E2" s="153" t="s">
        <v>220</v>
      </c>
      <c r="F2" s="153" t="s">
        <v>221</v>
      </c>
      <c r="G2" s="153" t="s">
        <v>222</v>
      </c>
      <c r="H2" s="155" t="s">
        <v>223</v>
      </c>
      <c r="I2" s="155" t="s">
        <v>224</v>
      </c>
      <c r="J2" s="155" t="s">
        <v>225</v>
      </c>
      <c r="K2" s="153" t="s">
        <v>226</v>
      </c>
      <c r="L2" s="153" t="s">
        <v>227</v>
      </c>
      <c r="M2" s="153" t="s">
        <v>228</v>
      </c>
      <c r="N2" s="153" t="s">
        <v>229</v>
      </c>
      <c r="O2" s="153" t="s">
        <v>230</v>
      </c>
      <c r="P2" s="155" t="s">
        <v>231</v>
      </c>
      <c r="Q2" s="155" t="s">
        <v>232</v>
      </c>
      <c r="R2" s="155" t="s">
        <v>236</v>
      </c>
      <c r="S2" s="155" t="s">
        <v>233</v>
      </c>
      <c r="T2" s="86"/>
      <c r="U2" s="86"/>
      <c r="V2" s="86"/>
      <c r="W2" s="86"/>
      <c r="X2" s="86"/>
      <c r="Y2" s="86"/>
      <c r="Z2" s="86"/>
      <c r="AA2" s="86"/>
      <c r="AB2" s="86"/>
      <c r="AC2" s="86"/>
    </row>
    <row r="3" spans="1:29">
      <c r="A3" s="140"/>
      <c r="B3" s="140"/>
      <c r="C3" s="140"/>
      <c r="D3" s="140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86"/>
      <c r="U3" s="86"/>
      <c r="V3" s="86"/>
      <c r="W3" s="86"/>
      <c r="X3" s="86"/>
      <c r="Y3" s="86"/>
      <c r="Z3" s="86"/>
      <c r="AA3" s="86"/>
      <c r="AB3" s="86"/>
      <c r="AC3" s="86"/>
    </row>
    <row r="4" spans="1:29">
      <c r="A4" s="62">
        <v>0</v>
      </c>
      <c r="B4" s="63">
        <v>10</v>
      </c>
      <c r="C4" s="63">
        <v>10</v>
      </c>
      <c r="D4" s="13">
        <f t="shared" ref="D4:D21" si="0">C4/60</f>
        <v>0.16666666666666666</v>
      </c>
      <c r="E4" s="123">
        <v>24.115678787231445</v>
      </c>
      <c r="F4" s="123">
        <v>24.888824462890625</v>
      </c>
      <c r="G4" s="124">
        <v>24.347496032714844</v>
      </c>
      <c r="H4" s="125">
        <f t="shared" ref="H4:H21" si="1">(E4-$H$65)+$H$67</f>
        <v>24.438105428320732</v>
      </c>
      <c r="I4" s="125">
        <f t="shared" ref="I4:I21" si="2">(F4-$H$65)+$H$67</f>
        <v>25.211251103979912</v>
      </c>
      <c r="J4" s="125">
        <f t="shared" ref="J4:J21" si="3">(G4-$H$65)+$H$67</f>
        <v>24.66992267380413</v>
      </c>
      <c r="K4" s="98">
        <f>((H4-'CalibrationB. hydrogenotrophica'!$D$45)/('CalibrationB. hydrogenotrophica'!$D$44))+$B$24</f>
        <v>7.5879616105289758</v>
      </c>
      <c r="L4" s="98">
        <f>((I4-'CalibrationB. hydrogenotrophica'!$D$45)/('CalibrationB. hydrogenotrophica'!$D$44))+$B$24</f>
        <v>7.3941567636487768</v>
      </c>
      <c r="M4" s="98">
        <f>((J4-'CalibrationB. hydrogenotrophica'!$D$45)/('CalibrationB. hydrogenotrophica'!$D$44))+$B$24</f>
        <v>7.529851855563594</v>
      </c>
      <c r="N4" s="109">
        <f t="shared" ref="N4:N21" si="4">AVERAGE(K4:M4)</f>
        <v>7.5039900765804477</v>
      </c>
      <c r="O4" s="109">
        <f t="shared" ref="O4:O21" si="5">STDEV(K4:M4)</f>
        <v>9.9457042876279642E-2</v>
      </c>
      <c r="P4" s="110">
        <f>(AVERAGE(POWER(10,K4),POWER(10,L4),POWER(10,M4)))*Calculation!$I4/Calculation!$K3</f>
        <v>32459455.103079144</v>
      </c>
      <c r="Q4" s="110">
        <f>(STDEV(POWER(10,K4),POWER(10,L4),POWER(10,M4)))*Calculation!$I4/Calculation!$K3</f>
        <v>7076259.2672857</v>
      </c>
      <c r="R4" s="109">
        <f t="shared" ref="R4:R21" si="6">LOG(P4)</f>
        <v>7.5113412250492946</v>
      </c>
      <c r="S4" s="109">
        <f>O4*Calculation!$I4/Calculation!$K3</f>
        <v>9.9457042876279642E-2</v>
      </c>
      <c r="T4" s="86"/>
      <c r="U4" s="86"/>
      <c r="V4" s="86"/>
      <c r="W4" s="86"/>
      <c r="X4" s="86"/>
      <c r="Y4" s="86"/>
      <c r="Z4" s="86"/>
      <c r="AA4" s="86"/>
      <c r="AB4" s="86"/>
      <c r="AC4" s="86"/>
    </row>
    <row r="5" spans="1:29">
      <c r="A5" s="62">
        <v>1</v>
      </c>
      <c r="B5" s="63">
        <v>110</v>
      </c>
      <c r="C5" s="63">
        <v>120</v>
      </c>
      <c r="D5" s="13">
        <f t="shared" si="0"/>
        <v>2</v>
      </c>
      <c r="E5" s="123">
        <v>23.192180633544922</v>
      </c>
      <c r="F5" s="123">
        <v>22.987705230712891</v>
      </c>
      <c r="G5" s="124">
        <v>23.632560729980469</v>
      </c>
      <c r="H5" s="125">
        <f t="shared" si="1"/>
        <v>23.514607274634209</v>
      </c>
      <c r="I5" s="125">
        <f t="shared" si="2"/>
        <v>23.310131871802177</v>
      </c>
      <c r="J5" s="125">
        <f t="shared" si="3"/>
        <v>23.954987371069755</v>
      </c>
      <c r="K5" s="98">
        <f>((H5-'CalibrationB. hydrogenotrophica'!$D$45)/('CalibrationB. hydrogenotrophica'!$D$44))+$B$24</f>
        <v>7.8194553948235956</v>
      </c>
      <c r="L5" s="98">
        <f>((I5-'CalibrationB. hydrogenotrophica'!$D$45)/('CalibrationB. hydrogenotrophica'!$D$44))+$B$24</f>
        <v>7.8707113552256782</v>
      </c>
      <c r="M5" s="98">
        <f>((J5-'CalibrationB. hydrogenotrophica'!$D$45)/('CalibrationB. hydrogenotrophica'!$D$44))+$B$24</f>
        <v>7.7090650766134967</v>
      </c>
      <c r="N5" s="109">
        <f t="shared" si="4"/>
        <v>7.7997439422209238</v>
      </c>
      <c r="O5" s="109">
        <f t="shared" si="5"/>
        <v>8.2606209633854358E-2</v>
      </c>
      <c r="P5" s="110">
        <f>(AVERAGE(POWER(10,K5),POWER(10,L5),POWER(10,M5)))*Calculation!$I5/Calculation!$K4</f>
        <v>63804981.386331029</v>
      </c>
      <c r="Q5" s="110">
        <f>(STDEV(POWER(10,K5),POWER(10,L5),POWER(10,M5)))*Calculation!$I5/Calculation!$K4</f>
        <v>11692000.990669219</v>
      </c>
      <c r="R5" s="109">
        <f t="shared" si="6"/>
        <v>7.8048545863096184</v>
      </c>
      <c r="S5" s="109">
        <f>O5*Calculation!$I5/Calculation!$K4</f>
        <v>8.2606209633854358E-2</v>
      </c>
      <c r="T5" s="86"/>
      <c r="U5" s="86"/>
      <c r="V5" s="86"/>
      <c r="W5" s="86"/>
      <c r="X5" s="86"/>
      <c r="Y5" s="86"/>
      <c r="Z5" s="86"/>
      <c r="AA5" s="86"/>
      <c r="AB5" s="86"/>
      <c r="AC5" s="86"/>
    </row>
    <row r="6" spans="1:29">
      <c r="A6" s="62">
        <v>2</v>
      </c>
      <c r="B6" s="63">
        <v>80</v>
      </c>
      <c r="C6" s="63">
        <v>200</v>
      </c>
      <c r="D6" s="13">
        <f t="shared" si="0"/>
        <v>3.3333333333333335</v>
      </c>
      <c r="E6" s="123">
        <v>22.352108001708984</v>
      </c>
      <c r="F6" s="123">
        <v>22.223928451538086</v>
      </c>
      <c r="G6" s="124">
        <v>22.612024307250977</v>
      </c>
      <c r="H6" s="125">
        <f t="shared" si="1"/>
        <v>22.674534642798271</v>
      </c>
      <c r="I6" s="125">
        <f t="shared" si="2"/>
        <v>22.546355092627373</v>
      </c>
      <c r="J6" s="125">
        <f t="shared" si="3"/>
        <v>22.934450948340263</v>
      </c>
      <c r="K6" s="98">
        <f>((H6-'CalibrationB. hydrogenotrophica'!$D$45)/('CalibrationB. hydrogenotrophica'!$D$44))+$B$24</f>
        <v>8.0300368581971036</v>
      </c>
      <c r="L6" s="98">
        <f>((I6-'CalibrationB. hydrogenotrophica'!$D$45)/('CalibrationB. hydrogenotrophica'!$D$44))+$B$24</f>
        <v>8.0621676957302295</v>
      </c>
      <c r="M6" s="98">
        <f>((J6-'CalibrationB. hydrogenotrophica'!$D$45)/('CalibrationB. hydrogenotrophica'!$D$44))+$B$24</f>
        <v>7.9648834965692501</v>
      </c>
      <c r="N6" s="109">
        <f t="shared" si="4"/>
        <v>8.0190293501655265</v>
      </c>
      <c r="O6" s="109">
        <f t="shared" si="5"/>
        <v>4.9567406391672161E-2</v>
      </c>
      <c r="P6" s="110">
        <f>(AVERAGE(POWER(10,K6),POWER(10,L6),POWER(10,M6)))*Calculation!$I6/Calculation!$K5</f>
        <v>104927765.03989673</v>
      </c>
      <c r="Q6" s="110">
        <f>(STDEV(POWER(10,K6),POWER(10,L6),POWER(10,M6)))*Calculation!$I6/Calculation!$K5</f>
        <v>11739154.958254248</v>
      </c>
      <c r="R6" s="109">
        <f t="shared" si="6"/>
        <v>8.0208904224939364</v>
      </c>
      <c r="S6" s="109">
        <f>O6*Calculation!$I6/Calculation!$K5</f>
        <v>4.9567406391672161E-2</v>
      </c>
      <c r="T6" s="86"/>
      <c r="U6" s="86"/>
      <c r="V6" s="86"/>
      <c r="W6" s="86"/>
      <c r="X6" s="86"/>
      <c r="Y6" s="86"/>
      <c r="Z6" s="86"/>
      <c r="AA6" s="86"/>
      <c r="AB6" s="86"/>
      <c r="AC6" s="86"/>
    </row>
    <row r="7" spans="1:29">
      <c r="A7" s="62">
        <v>3</v>
      </c>
      <c r="B7" s="63">
        <v>80</v>
      </c>
      <c r="C7" s="63">
        <v>280</v>
      </c>
      <c r="D7" s="13">
        <f t="shared" si="0"/>
        <v>4.666666666666667</v>
      </c>
      <c r="E7" s="123">
        <v>21.920612335205078</v>
      </c>
      <c r="F7" s="123">
        <v>21.663177490234375</v>
      </c>
      <c r="G7" s="124">
        <v>21.835773468017578</v>
      </c>
      <c r="H7" s="125">
        <f t="shared" si="1"/>
        <v>22.243038976294365</v>
      </c>
      <c r="I7" s="125">
        <f t="shared" si="2"/>
        <v>21.985604131323662</v>
      </c>
      <c r="J7" s="125">
        <f t="shared" si="3"/>
        <v>22.158200109106865</v>
      </c>
      <c r="K7" s="98">
        <f>((H7-'CalibrationB. hydrogenotrophica'!$D$45)/('CalibrationB. hydrogenotrophica'!$D$44))+$B$24</f>
        <v>8.1382001115257339</v>
      </c>
      <c r="L7" s="98">
        <f>((I7-'CalibrationB. hydrogenotrophica'!$D$45)/('CalibrationB. hydrogenotrophica'!$D$44))+$B$24</f>
        <v>8.2027314440829997</v>
      </c>
      <c r="M7" s="98">
        <f>((J7-'CalibrationB. hydrogenotrophica'!$D$45)/('CalibrationB. hydrogenotrophica'!$D$44))+$B$24</f>
        <v>8.1594667164908916</v>
      </c>
      <c r="N7" s="109">
        <f t="shared" si="4"/>
        <v>8.1667994240332078</v>
      </c>
      <c r="O7" s="109">
        <f t="shared" si="5"/>
        <v>3.2884641861056836E-2</v>
      </c>
      <c r="P7" s="110">
        <f>(AVERAGE(POWER(10,K7),POWER(10,L7),POWER(10,M7)))*Calculation!$I7/Calculation!$K6</f>
        <v>147107793.58785322</v>
      </c>
      <c r="Q7" s="110">
        <f>(STDEV(POWER(10,K7),POWER(10,L7),POWER(10,M7)))*Calculation!$I7/Calculation!$K6</f>
        <v>11263873.122901825</v>
      </c>
      <c r="R7" s="109">
        <f t="shared" si="6"/>
        <v>8.1676356817182736</v>
      </c>
      <c r="S7" s="109">
        <f>O7*Calculation!$I7/Calculation!$K6</f>
        <v>3.2884641861056836E-2</v>
      </c>
      <c r="T7" s="86"/>
      <c r="U7" s="86"/>
      <c r="V7" s="86"/>
      <c r="W7" s="86"/>
      <c r="X7" s="86"/>
      <c r="Y7" s="86"/>
      <c r="Z7" s="86"/>
      <c r="AA7" s="86"/>
      <c r="AB7" s="86"/>
      <c r="AC7" s="86"/>
    </row>
    <row r="8" spans="1:29">
      <c r="A8" s="62">
        <v>4</v>
      </c>
      <c r="B8" s="63">
        <v>80</v>
      </c>
      <c r="C8" s="63">
        <v>360</v>
      </c>
      <c r="D8" s="13">
        <f t="shared" si="0"/>
        <v>6</v>
      </c>
      <c r="E8" s="123">
        <v>21.951433181762695</v>
      </c>
      <c r="F8" s="123">
        <v>21.919111251831055</v>
      </c>
      <c r="G8" s="124">
        <v>22.066217422485352</v>
      </c>
      <c r="H8" s="125">
        <f t="shared" si="1"/>
        <v>22.273859822851982</v>
      </c>
      <c r="I8" s="125">
        <f t="shared" si="2"/>
        <v>22.241537892920341</v>
      </c>
      <c r="J8" s="125">
        <f t="shared" si="3"/>
        <v>22.388644063574638</v>
      </c>
      <c r="K8" s="98">
        <f>((H8-'CalibrationB. hydrogenotrophica'!$D$45)/('CalibrationB. hydrogenotrophica'!$D$44))+$B$24</f>
        <v>8.1304742331617064</v>
      </c>
      <c r="L8" s="98">
        <f>((I8-'CalibrationB. hydrogenotrophica'!$D$45)/('CalibrationB. hydrogenotrophica'!$D$44))+$B$24</f>
        <v>8.1385763889112468</v>
      </c>
      <c r="M8" s="98">
        <f>((J8-'CalibrationB. hydrogenotrophica'!$D$45)/('CalibrationB. hydrogenotrophica'!$D$44))+$B$24</f>
        <v>8.1017012051310591</v>
      </c>
      <c r="N8" s="109">
        <f t="shared" si="4"/>
        <v>8.1235839424013374</v>
      </c>
      <c r="O8" s="109">
        <f t="shared" si="5"/>
        <v>1.9379160837803951E-2</v>
      </c>
      <c r="P8" s="110">
        <f>(AVERAGE(POWER(10,K8),POWER(10,L8),POWER(10,M8)))*Calculation!$I8/Calculation!$K7</f>
        <v>133005666.79582864</v>
      </c>
      <c r="Q8" s="110">
        <f>(STDEV(POWER(10,K8),POWER(10,L8),POWER(10,M8)))*Calculation!$I8/Calculation!$K7</f>
        <v>5871563.1490890756</v>
      </c>
      <c r="R8" s="109">
        <f t="shared" si="6"/>
        <v>8.1238701447695689</v>
      </c>
      <c r="S8" s="109">
        <f>O8*Calculation!$I8/Calculation!$K7</f>
        <v>1.9379160837803951E-2</v>
      </c>
      <c r="T8" s="86"/>
      <c r="U8" s="86"/>
      <c r="V8" s="86"/>
      <c r="W8" s="86"/>
      <c r="X8" s="86"/>
      <c r="Y8" s="86"/>
      <c r="Z8" s="86"/>
      <c r="AA8" s="86"/>
      <c r="AB8" s="86"/>
      <c r="AC8" s="86"/>
    </row>
    <row r="9" spans="1:29">
      <c r="A9" s="62">
        <v>5</v>
      </c>
      <c r="B9" s="63">
        <v>80</v>
      </c>
      <c r="C9" s="63">
        <v>440</v>
      </c>
      <c r="D9" s="13">
        <f t="shared" si="0"/>
        <v>7.333333333333333</v>
      </c>
      <c r="E9" s="123">
        <v>20.324920654296875</v>
      </c>
      <c r="F9" s="123">
        <v>20.148391723632812</v>
      </c>
      <c r="G9" s="124">
        <v>20.621837615966797</v>
      </c>
      <c r="H9" s="125">
        <f t="shared" si="1"/>
        <v>20.647347295386162</v>
      </c>
      <c r="I9" s="125">
        <f t="shared" si="2"/>
        <v>20.470818364722099</v>
      </c>
      <c r="J9" s="125">
        <f t="shared" si="3"/>
        <v>20.944264257056084</v>
      </c>
      <c r="K9" s="98">
        <f>((H9-'CalibrationB. hydrogenotrophica'!$D$45)/('CalibrationB. hydrogenotrophica'!$D$44))+$B$24</f>
        <v>8.5381930127635961</v>
      </c>
      <c r="L9" s="98">
        <f>((I9-'CalibrationB. hydrogenotrophica'!$D$45)/('CalibrationB. hydrogenotrophica'!$D$44))+$B$24</f>
        <v>8.5824436157927142</v>
      </c>
      <c r="M9" s="98">
        <f>((J9-'CalibrationB. hydrogenotrophica'!$D$45)/('CalibrationB. hydrogenotrophica'!$D$44))+$B$24</f>
        <v>8.4637646765467363</v>
      </c>
      <c r="N9" s="109">
        <f t="shared" si="4"/>
        <v>8.5281337683676828</v>
      </c>
      <c r="O9" s="109">
        <f t="shared" si="5"/>
        <v>5.9975527955159973E-2</v>
      </c>
      <c r="P9" s="110">
        <f>(AVERAGE(POWER(10,K9),POWER(10,L9),POWER(10,M9)))*Calculation!$I9/Calculation!$K8</f>
        <v>339778665.60931885</v>
      </c>
      <c r="Q9" s="110">
        <f>(STDEV(POWER(10,K9),POWER(10,L9),POWER(10,M9)))*Calculation!$I9/Calculation!$K8</f>
        <v>46019400.722143166</v>
      </c>
      <c r="R9" s="109">
        <f t="shared" si="6"/>
        <v>8.5311961064370152</v>
      </c>
      <c r="S9" s="109">
        <f>O9*Calculation!$I9/Calculation!$K8</f>
        <v>6.0022056681269483E-2</v>
      </c>
      <c r="T9" s="86"/>
      <c r="U9" s="86"/>
      <c r="V9" s="86"/>
      <c r="W9" s="86"/>
      <c r="X9" s="86"/>
      <c r="Y9" s="86"/>
      <c r="Z9" s="86"/>
      <c r="AA9" s="86"/>
      <c r="AB9" s="86"/>
      <c r="AC9" s="86"/>
    </row>
    <row r="10" spans="1:29">
      <c r="A10" s="62">
        <v>6</v>
      </c>
      <c r="B10" s="63">
        <v>80</v>
      </c>
      <c r="C10" s="63">
        <v>520</v>
      </c>
      <c r="D10" s="13">
        <f t="shared" si="0"/>
        <v>8.6666666666666661</v>
      </c>
      <c r="E10" s="123">
        <v>20.037817001342773</v>
      </c>
      <c r="F10" s="123">
        <v>19.469497680664062</v>
      </c>
      <c r="G10" s="124">
        <v>19.994874954223633</v>
      </c>
      <c r="H10" s="125">
        <f t="shared" si="1"/>
        <v>20.36024364243206</v>
      </c>
      <c r="I10" s="125">
        <f t="shared" si="2"/>
        <v>19.791924321753349</v>
      </c>
      <c r="J10" s="125">
        <f t="shared" si="3"/>
        <v>20.317301595312919</v>
      </c>
      <c r="K10" s="98">
        <f>((H10-'CalibrationB. hydrogenotrophica'!$D$45)/('CalibrationB. hydrogenotrophica'!$D$44))+$B$24</f>
        <v>8.6101614415491223</v>
      </c>
      <c r="L10" s="98">
        <f>((I10-'CalibrationB. hydrogenotrophica'!$D$45)/('CalibrationB. hydrogenotrophica'!$D$44))+$B$24</f>
        <v>8.7526223546613764</v>
      </c>
      <c r="M10" s="98">
        <f>((J10-'CalibrationB. hydrogenotrophica'!$D$45)/('CalibrationB. hydrogenotrophica'!$D$44))+$B$24</f>
        <v>8.6209257478482577</v>
      </c>
      <c r="N10" s="109">
        <f t="shared" si="4"/>
        <v>8.6612365146862533</v>
      </c>
      <c r="O10" s="109">
        <f t="shared" si="5"/>
        <v>7.9325256907839037E-2</v>
      </c>
      <c r="P10" s="110">
        <f>(AVERAGE(POWER(10,K10),POWER(10,L10),POWER(10,M10)))*Calculation!$I10/Calculation!$K9</f>
        <v>464413514.4494909</v>
      </c>
      <c r="Q10" s="110">
        <f>(STDEV(POWER(10,K10),POWER(10,L10),POWER(10,M10)))*Calculation!$I10/Calculation!$K9</f>
        <v>88681352.012089834</v>
      </c>
      <c r="R10" s="109">
        <f t="shared" si="6"/>
        <v>8.6669048492350154</v>
      </c>
      <c r="S10" s="109">
        <f>O10*Calculation!$I10/Calculation!$K9</f>
        <v>7.9450870343133972E-2</v>
      </c>
      <c r="T10" s="86"/>
      <c r="U10" s="86"/>
      <c r="V10" s="86"/>
      <c r="W10" s="86"/>
      <c r="X10" s="86"/>
      <c r="Y10" s="86"/>
      <c r="Z10" s="86"/>
      <c r="AA10" s="86"/>
      <c r="AB10" s="86"/>
      <c r="AC10" s="86"/>
    </row>
    <row r="11" spans="1:29">
      <c r="A11" s="62">
        <v>7</v>
      </c>
      <c r="B11" s="63">
        <v>80</v>
      </c>
      <c r="C11" s="63">
        <v>600</v>
      </c>
      <c r="D11" s="13">
        <f t="shared" si="0"/>
        <v>10</v>
      </c>
      <c r="E11" s="123">
        <v>18.972194671630859</v>
      </c>
      <c r="F11" s="123">
        <v>19.085176467895508</v>
      </c>
      <c r="G11" s="124">
        <v>19.678667068481445</v>
      </c>
      <c r="H11" s="125">
        <f t="shared" si="1"/>
        <v>19.294621312720146</v>
      </c>
      <c r="I11" s="125">
        <f t="shared" si="2"/>
        <v>19.407603108984794</v>
      </c>
      <c r="J11" s="125">
        <f t="shared" si="3"/>
        <v>20.001093709570732</v>
      </c>
      <c r="K11" s="98">
        <f>((H11-'CalibrationB. hydrogenotrophica'!$D$45)/('CalibrationB. hydrogenotrophica'!$D$44))+$B$24</f>
        <v>8.8772815703215677</v>
      </c>
      <c r="L11" s="98">
        <f>((I11-'CalibrationB. hydrogenotrophica'!$D$45)/('CalibrationB. hydrogenotrophica'!$D$44))+$B$24</f>
        <v>8.8489603620232078</v>
      </c>
      <c r="M11" s="98">
        <f>((J11-'CalibrationB. hydrogenotrophica'!$D$45)/('CalibrationB. hydrogenotrophica'!$D$44))+$B$24</f>
        <v>8.7001897504908747</v>
      </c>
      <c r="N11" s="109">
        <f t="shared" si="4"/>
        <v>8.8088105609452167</v>
      </c>
      <c r="O11" s="109">
        <f t="shared" si="5"/>
        <v>9.512824532013793E-2</v>
      </c>
      <c r="P11" s="110">
        <f>(AVERAGE(POWER(10,K11),POWER(10,L11),POWER(10,M11)))*Calculation!$I11/Calculation!$K10</f>
        <v>656519409.64658451</v>
      </c>
      <c r="Q11" s="110">
        <f>(STDEV(POWER(10,K11),POWER(10,L11),POWER(10,M11)))*Calculation!$I11/Calculation!$K10</f>
        <v>134685085.80507788</v>
      </c>
      <c r="R11" s="109">
        <f t="shared" si="6"/>
        <v>8.8172475703002871</v>
      </c>
      <c r="S11" s="109">
        <f>O11*Calculation!$I11/Calculation!$K10</f>
        <v>9.5518880351112376E-2</v>
      </c>
      <c r="T11" s="86"/>
      <c r="U11" s="86"/>
      <c r="V11" s="86"/>
      <c r="W11" s="86"/>
      <c r="X11" s="86"/>
      <c r="Y11" s="86"/>
      <c r="Z11" s="86"/>
      <c r="AA11" s="86"/>
      <c r="AB11" s="86"/>
      <c r="AC11" s="86"/>
    </row>
    <row r="12" spans="1:29">
      <c r="A12" s="62">
        <v>8</v>
      </c>
      <c r="B12" s="63">
        <v>80</v>
      </c>
      <c r="C12" s="63">
        <v>680</v>
      </c>
      <c r="D12" s="13">
        <f t="shared" si="0"/>
        <v>11.333333333333334</v>
      </c>
      <c r="E12" s="123">
        <v>18.357732772827148</v>
      </c>
      <c r="F12" s="123">
        <v>18.095964431762695</v>
      </c>
      <c r="G12" s="124">
        <v>18.48228645324707</v>
      </c>
      <c r="H12" s="125">
        <f t="shared" si="1"/>
        <v>18.680159413916435</v>
      </c>
      <c r="I12" s="125">
        <f t="shared" si="2"/>
        <v>18.418391072851982</v>
      </c>
      <c r="J12" s="125">
        <f t="shared" si="3"/>
        <v>18.804713094336357</v>
      </c>
      <c r="K12" s="98">
        <f>((H12-'CalibrationB. hydrogenotrophica'!$D$45)/('CalibrationB. hydrogenotrophica'!$D$44))+$B$24</f>
        <v>9.0313090685803381</v>
      </c>
      <c r="L12" s="98">
        <f>((I12-'CalibrationB. hydrogenotrophica'!$D$45)/('CalibrationB. hydrogenotrophica'!$D$44))+$B$24</f>
        <v>9.0969266809595659</v>
      </c>
      <c r="M12" s="98">
        <f>((J12-'CalibrationB. hydrogenotrophica'!$D$45)/('CalibrationB. hydrogenotrophica'!$D$44))+$B$24</f>
        <v>9.0000871297890903</v>
      </c>
      <c r="N12" s="109">
        <f t="shared" si="4"/>
        <v>9.0427742931096642</v>
      </c>
      <c r="O12" s="109">
        <f t="shared" si="5"/>
        <v>4.9427352729593921E-2</v>
      </c>
      <c r="P12" s="110">
        <f>(AVERAGE(POWER(10,K12),POWER(10,L12),POWER(10,M12)))*Calculation!$I12/Calculation!$K11</f>
        <v>1115803879.3054414</v>
      </c>
      <c r="Q12" s="110">
        <f>(STDEV(POWER(10,K12),POWER(10,L12),POWER(10,M12)))*Calculation!$I12/Calculation!$K11</f>
        <v>129128407.7939723</v>
      </c>
      <c r="R12" s="109">
        <f t="shared" si="6"/>
        <v>9.0475878669847454</v>
      </c>
      <c r="S12" s="109">
        <f>O12*Calculation!$I12/Calculation!$K11</f>
        <v>4.9760470865244988E-2</v>
      </c>
      <c r="T12" s="86"/>
      <c r="U12" s="86"/>
      <c r="V12" s="86"/>
      <c r="W12" s="86"/>
      <c r="X12" s="86"/>
      <c r="Y12" s="86"/>
      <c r="Z12" s="86"/>
      <c r="AA12" s="86"/>
      <c r="AB12" s="86"/>
      <c r="AC12" s="86"/>
    </row>
    <row r="13" spans="1:29">
      <c r="A13" s="62">
        <v>9</v>
      </c>
      <c r="B13" s="63">
        <v>80</v>
      </c>
      <c r="C13" s="63">
        <v>760</v>
      </c>
      <c r="D13" s="13">
        <f>C13/60</f>
        <v>12.666666666666666</v>
      </c>
      <c r="E13" s="123">
        <v>17.606485366821289</v>
      </c>
      <c r="F13" s="123">
        <v>17.157325744628906</v>
      </c>
      <c r="G13" s="124">
        <v>17.855972290039062</v>
      </c>
      <c r="H13" s="125">
        <f t="shared" si="1"/>
        <v>17.928912007910576</v>
      </c>
      <c r="I13" s="125">
        <f t="shared" si="2"/>
        <v>17.479752385718193</v>
      </c>
      <c r="J13" s="125">
        <f t="shared" si="3"/>
        <v>18.178398931128349</v>
      </c>
      <c r="K13" s="98">
        <f>((H13-'CalibrationB. hydrogenotrophica'!$D$45)/('CalibrationB. hydrogenotrophica'!$D$44))+$B$24</f>
        <v>9.219624664300353</v>
      </c>
      <c r="L13" s="98">
        <f>((I13-'CalibrationB. hydrogenotrophica'!$D$45)/('CalibrationB. hydrogenotrophica'!$D$44))+$B$24</f>
        <v>9.3322157510053856</v>
      </c>
      <c r="M13" s="98">
        <f>((J13-'CalibrationB. hydrogenotrophica'!$D$45)/('CalibrationB. hydrogenotrophica'!$D$44))+$B$24</f>
        <v>9.1570856416102142</v>
      </c>
      <c r="N13" s="109">
        <f t="shared" si="4"/>
        <v>9.2363086856386527</v>
      </c>
      <c r="O13" s="109">
        <f t="shared" si="5"/>
        <v>8.874911960241498E-2</v>
      </c>
      <c r="P13" s="110">
        <f>(AVERAGE(POWER(10,K13),POWER(10,L13),POWER(10,M13)))*Calculation!$I13/Calculation!$K12</f>
        <v>1765743244.7672269</v>
      </c>
      <c r="Q13" s="110">
        <f>(STDEV(POWER(10,K13),POWER(10,L13),POWER(10,M13)))*Calculation!$I13/Calculation!$K12</f>
        <v>368667943.85011578</v>
      </c>
      <c r="R13" s="109">
        <f t="shared" si="6"/>
        <v>9.2469275534388906</v>
      </c>
      <c r="S13" s="109">
        <f>O13*Calculation!$I13/Calculation!$K12</f>
        <v>8.9670093389014591E-2</v>
      </c>
      <c r="T13" s="86"/>
      <c r="U13" s="86"/>
      <c r="V13" s="86"/>
      <c r="W13" s="86"/>
      <c r="X13" s="86"/>
      <c r="Y13" s="86"/>
      <c r="Z13" s="86"/>
      <c r="AA13" s="86"/>
      <c r="AB13" s="86"/>
      <c r="AC13" s="86"/>
    </row>
    <row r="14" spans="1:29">
      <c r="A14" s="62">
        <v>10</v>
      </c>
      <c r="B14" s="63">
        <v>80</v>
      </c>
      <c r="C14" s="63">
        <v>840</v>
      </c>
      <c r="D14" s="13">
        <f t="shared" si="0"/>
        <v>14</v>
      </c>
      <c r="E14" s="123">
        <v>17.267044067382812</v>
      </c>
      <c r="F14" s="123">
        <v>16.957374572753906</v>
      </c>
      <c r="G14" s="124">
        <v>17.46449089050293</v>
      </c>
      <c r="H14" s="125">
        <f t="shared" si="1"/>
        <v>17.589470708472099</v>
      </c>
      <c r="I14" s="125">
        <f t="shared" si="2"/>
        <v>17.279801213843193</v>
      </c>
      <c r="J14" s="125">
        <f t="shared" si="3"/>
        <v>17.786917531592216</v>
      </c>
      <c r="K14" s="98">
        <f>((H14-'CalibrationB. hydrogenotrophica'!$D$45)/('CalibrationB. hydrogenotrophica'!$D$44))+$B$24</f>
        <v>9.3047125993863276</v>
      </c>
      <c r="L14" s="98">
        <f>((I14-'CalibrationB. hydrogenotrophica'!$D$45)/('CalibrationB. hydrogenotrophica'!$D$44))+$B$24</f>
        <v>9.3823376199736259</v>
      </c>
      <c r="M14" s="98">
        <f>((J14-'CalibrationB. hydrogenotrophica'!$D$45)/('CalibrationB. hydrogenotrophica'!$D$44))+$B$24</f>
        <v>9.2552184968820992</v>
      </c>
      <c r="N14" s="109">
        <f t="shared" si="4"/>
        <v>9.3140895720806842</v>
      </c>
      <c r="O14" s="109">
        <f t="shared" si="5"/>
        <v>6.407623254041013E-2</v>
      </c>
      <c r="P14" s="110">
        <f>(AVERAGE(POWER(10,K14),POWER(10,L14),POWER(10,M14)))*Calculation!$I14/Calculation!$K13</f>
        <v>2101684004.7731664</v>
      </c>
      <c r="Q14" s="110">
        <f>(STDEV(POWER(10,K14),POWER(10,L14),POWER(10,M14)))*Calculation!$I14/Calculation!$K13</f>
        <v>314070721.39843547</v>
      </c>
      <c r="R14" s="109">
        <f t="shared" si="6"/>
        <v>9.3225674189711611</v>
      </c>
      <c r="S14" s="109">
        <f>O14*Calculation!$I14/Calculation!$K13</f>
        <v>6.4862862984644762E-2</v>
      </c>
      <c r="T14" s="86"/>
      <c r="U14" s="86"/>
      <c r="V14" s="86"/>
      <c r="W14" s="86"/>
      <c r="X14" s="86"/>
      <c r="Y14" s="86"/>
      <c r="Z14" s="86"/>
      <c r="AA14" s="86"/>
      <c r="AB14" s="86"/>
      <c r="AC14" s="86"/>
    </row>
    <row r="15" spans="1:29">
      <c r="A15" s="62">
        <v>11</v>
      </c>
      <c r="B15" s="63">
        <v>80</v>
      </c>
      <c r="C15" s="63">
        <v>920</v>
      </c>
      <c r="D15" s="13">
        <f t="shared" si="0"/>
        <v>15.333333333333334</v>
      </c>
      <c r="E15" s="123">
        <v>17.041784286499023</v>
      </c>
      <c r="F15" s="123">
        <v>16.954591751098633</v>
      </c>
      <c r="G15" s="124">
        <v>16.888343811035156</v>
      </c>
      <c r="H15" s="125">
        <f t="shared" si="1"/>
        <v>17.36421092758831</v>
      </c>
      <c r="I15" s="125">
        <f t="shared" si="2"/>
        <v>17.277018392187919</v>
      </c>
      <c r="J15" s="125">
        <f t="shared" si="3"/>
        <v>17.210770452124443</v>
      </c>
      <c r="K15" s="98">
        <f>((H15-'CalibrationB. hydrogenotrophica'!$D$45)/('CalibrationB. hydrogenotrophica'!$D$44))+$B$24</f>
        <v>9.3611785911352037</v>
      </c>
      <c r="L15" s="98">
        <f>((I15-'CalibrationB. hydrogenotrophica'!$D$45)/('CalibrationB. hydrogenotrophica'!$D$44))+$B$24</f>
        <v>9.3830351913909844</v>
      </c>
      <c r="M15" s="98">
        <f>((J15-'CalibrationB. hydrogenotrophica'!$D$45)/('CalibrationB. hydrogenotrophica'!$D$44))+$B$24</f>
        <v>9.399641598545994</v>
      </c>
      <c r="N15" s="109">
        <f t="shared" si="4"/>
        <v>9.3812851270240607</v>
      </c>
      <c r="O15" s="109">
        <f t="shared" si="5"/>
        <v>1.929113212688437E-2</v>
      </c>
      <c r="P15" s="110">
        <f>(AVERAGE(POWER(10,K15),POWER(10,L15),POWER(10,M15)))*Calculation!$I15/Calculation!$K14</f>
        <v>2439447909.8311195</v>
      </c>
      <c r="Q15" s="110">
        <f>(STDEV(POWER(10,K15),POWER(10,L15),POWER(10,M15)))*Calculation!$I15/Calculation!$K14</f>
        <v>108007287.10531838</v>
      </c>
      <c r="R15" s="109">
        <f t="shared" si="6"/>
        <v>9.3872915489436988</v>
      </c>
      <c r="S15" s="109">
        <f>O15*Calculation!$I15/Calculation!$K14</f>
        <v>1.9546955350898176E-2</v>
      </c>
      <c r="T15" s="86"/>
      <c r="U15" s="86"/>
      <c r="V15" s="86"/>
      <c r="W15" s="86"/>
      <c r="X15" s="86"/>
      <c r="Y15" s="86"/>
      <c r="Z15" s="86"/>
      <c r="AA15" s="86"/>
      <c r="AB15" s="86"/>
      <c r="AC15" s="86"/>
    </row>
    <row r="16" spans="1:29">
      <c r="A16" s="62">
        <v>12</v>
      </c>
      <c r="B16" s="63">
        <v>80</v>
      </c>
      <c r="C16" s="63">
        <v>1000</v>
      </c>
      <c r="D16" s="13">
        <f t="shared" si="0"/>
        <v>16.666666666666668</v>
      </c>
      <c r="E16" s="123">
        <v>17.284198760986328</v>
      </c>
      <c r="F16" s="123">
        <v>16.660268783569336</v>
      </c>
      <c r="G16" s="124">
        <v>17.094921112060547</v>
      </c>
      <c r="H16" s="125">
        <f t="shared" si="1"/>
        <v>17.606625402075615</v>
      </c>
      <c r="I16" s="125">
        <f t="shared" si="2"/>
        <v>16.982695424658623</v>
      </c>
      <c r="J16" s="125">
        <f t="shared" si="3"/>
        <v>17.417347753149834</v>
      </c>
      <c r="K16" s="98">
        <f>((H16-'CalibrationB. hydrogenotrophica'!$D$45)/('CalibrationB. hydrogenotrophica'!$D$44))+$B$24</f>
        <v>9.3004124230136522</v>
      </c>
      <c r="L16" s="98">
        <f>((I16-'CalibrationB. hydrogenotrophica'!$D$45)/('CalibrationB. hydrogenotrophica'!$D$44))+$B$24</f>
        <v>9.4568132896862487</v>
      </c>
      <c r="M16" s="98">
        <f>((J16-'CalibrationB. hydrogenotrophica'!$D$45)/('CalibrationB. hydrogenotrophica'!$D$44))+$B$24</f>
        <v>9.3478587541809688</v>
      </c>
      <c r="N16" s="109">
        <f t="shared" si="4"/>
        <v>9.3683614889602893</v>
      </c>
      <c r="O16" s="109">
        <f t="shared" si="5"/>
        <v>8.0190893336202523E-2</v>
      </c>
      <c r="P16" s="110">
        <f>(AVERAGE(POWER(10,K16),POWER(10,L16),POWER(10,M16)))*Calculation!$I16/Calculation!$K15</f>
        <v>2393936065.6475544</v>
      </c>
      <c r="Q16" s="110">
        <f>(STDEV(POWER(10,K16),POWER(10,L16),POWER(10,M16)))*Calculation!$I16/Calculation!$K15</f>
        <v>454326491.19650555</v>
      </c>
      <c r="R16" s="109">
        <f t="shared" si="6"/>
        <v>9.3791125476128965</v>
      </c>
      <c r="S16" s="109">
        <f>O16*Calculation!$I16/Calculation!$K15</f>
        <v>8.1254319408601103E-2</v>
      </c>
      <c r="T16" s="86"/>
      <c r="U16" s="86"/>
      <c r="V16" s="86"/>
      <c r="W16" s="86"/>
      <c r="X16" s="86"/>
      <c r="Y16" s="86"/>
      <c r="Z16" s="86"/>
      <c r="AA16" s="86"/>
      <c r="AB16" s="86"/>
      <c r="AC16" s="86"/>
    </row>
    <row r="17" spans="1:29">
      <c r="A17" s="62">
        <v>13</v>
      </c>
      <c r="B17" s="63">
        <v>80</v>
      </c>
      <c r="C17" s="63">
        <v>1080</v>
      </c>
      <c r="D17" s="13">
        <f t="shared" si="0"/>
        <v>18</v>
      </c>
      <c r="E17" s="123">
        <v>17.236413955688477</v>
      </c>
      <c r="F17" s="123">
        <v>17.098501205444336</v>
      </c>
      <c r="G17" s="124">
        <v>17.488109588623047</v>
      </c>
      <c r="H17" s="125">
        <f t="shared" si="1"/>
        <v>17.558840596777763</v>
      </c>
      <c r="I17" s="125">
        <f t="shared" si="2"/>
        <v>17.420927846533623</v>
      </c>
      <c r="J17" s="125">
        <f t="shared" si="3"/>
        <v>17.810536229712334</v>
      </c>
      <c r="K17" s="98">
        <f>((H17-'CalibrationB. hydrogenotrophica'!$D$45)/('CalibrationB. hydrogenotrophica'!$D$44))+$B$24</f>
        <v>9.312390666138473</v>
      </c>
      <c r="L17" s="98">
        <f>((I17-'CalibrationB. hydrogenotrophica'!$D$45)/('CalibrationB. hydrogenotrophica'!$D$44))+$B$24</f>
        <v>9.3469613302259429</v>
      </c>
      <c r="M17" s="98">
        <f>((J17-'CalibrationB. hydrogenotrophica'!$D$45)/('CalibrationB. hydrogenotrophica'!$D$44))+$B$24</f>
        <v>9.2492979849827393</v>
      </c>
      <c r="N17" s="109">
        <f t="shared" si="4"/>
        <v>9.3028833271157172</v>
      </c>
      <c r="O17" s="109">
        <f t="shared" si="5"/>
        <v>4.9520948824648858E-2</v>
      </c>
      <c r="P17" s="110">
        <f>(AVERAGE(POWER(10,K17),POWER(10,L17),POWER(10,M17)))*Calculation!$I17/Calculation!$K16</f>
        <v>2043925897.261976</v>
      </c>
      <c r="Q17" s="110">
        <f>(STDEV(POWER(10,K17),POWER(10,L17),POWER(10,M17)))*Calculation!$I17/Calculation!$K16</f>
        <v>228989950.30373523</v>
      </c>
      <c r="R17" s="109">
        <f t="shared" si="6"/>
        <v>9.3104651463581742</v>
      </c>
      <c r="S17" s="109">
        <f>O17*Calculation!$I17/Calculation!$K16</f>
        <v>5.0177655165221234E-2</v>
      </c>
      <c r="T17" s="86"/>
      <c r="U17" s="86"/>
      <c r="V17" s="86"/>
      <c r="W17" s="86"/>
      <c r="X17" s="86"/>
      <c r="Y17" s="86"/>
      <c r="Z17" s="86"/>
      <c r="AA17" s="86"/>
      <c r="AB17" s="86"/>
      <c r="AC17" s="86"/>
    </row>
    <row r="18" spans="1:29">
      <c r="A18" s="62">
        <v>14</v>
      </c>
      <c r="B18" s="63">
        <v>80</v>
      </c>
      <c r="C18" s="63">
        <v>1160</v>
      </c>
      <c r="D18" s="13">
        <f t="shared" si="0"/>
        <v>19.333333333333332</v>
      </c>
      <c r="E18" s="123">
        <v>17.639354705810547</v>
      </c>
      <c r="F18" s="123">
        <v>17.298765182495117</v>
      </c>
      <c r="G18" s="124">
        <v>17.750446319580078</v>
      </c>
      <c r="H18" s="125">
        <f t="shared" si="1"/>
        <v>17.961781346899834</v>
      </c>
      <c r="I18" s="125">
        <f t="shared" si="2"/>
        <v>17.621191823584404</v>
      </c>
      <c r="J18" s="125">
        <f t="shared" si="3"/>
        <v>18.072872960669365</v>
      </c>
      <c r="K18" s="98">
        <f>((H18-'CalibrationB. hydrogenotrophica'!$D$45)/('CalibrationB. hydrogenotrophica'!$D$44))+$B$24</f>
        <v>9.2113852892247117</v>
      </c>
      <c r="L18" s="98">
        <f>((I18-'CalibrationB. hydrogenotrophica'!$D$45)/('CalibrationB. hydrogenotrophica'!$D$44))+$B$24</f>
        <v>9.2967610502142151</v>
      </c>
      <c r="M18" s="98">
        <f>((J18-'CalibrationB. hydrogenotrophica'!$D$45)/('CalibrationB. hydrogenotrophica'!$D$44))+$B$24</f>
        <v>9.1835378940001036</v>
      </c>
      <c r="N18" s="109">
        <f t="shared" si="4"/>
        <v>9.2305614111463434</v>
      </c>
      <c r="O18" s="109">
        <f t="shared" si="5"/>
        <v>5.8997148361054179E-2</v>
      </c>
      <c r="P18" s="110">
        <f>(AVERAGE(POWER(10,K18),POWER(10,L18),POWER(10,M18)))*Calculation!$I18/Calculation!$K17</f>
        <v>1733814898.8792605</v>
      </c>
      <c r="Q18" s="110">
        <f>(STDEV(POWER(10,K18),POWER(10,L18),POWER(10,M18)))*Calculation!$I18/Calculation!$K17</f>
        <v>241807046.18736097</v>
      </c>
      <c r="R18" s="109">
        <f t="shared" si="6"/>
        <v>9.2390027305760114</v>
      </c>
      <c r="S18" s="109">
        <f>O18*Calculation!$I18/Calculation!$K17</f>
        <v>5.9779520313206859E-2</v>
      </c>
      <c r="T18" s="86"/>
      <c r="U18" s="86"/>
      <c r="V18" s="86"/>
      <c r="W18" s="86"/>
      <c r="X18" s="86"/>
      <c r="Y18" s="86"/>
      <c r="Z18" s="86"/>
      <c r="AA18" s="86"/>
      <c r="AB18" s="86"/>
      <c r="AC18" s="86"/>
    </row>
    <row r="19" spans="1:29">
      <c r="A19" s="62">
        <v>15</v>
      </c>
      <c r="B19" s="63">
        <v>290</v>
      </c>
      <c r="C19" s="63">
        <v>1450</v>
      </c>
      <c r="D19" s="13">
        <f t="shared" si="0"/>
        <v>24.166666666666668</v>
      </c>
      <c r="E19" s="123">
        <v>17.754119873046875</v>
      </c>
      <c r="F19" s="123">
        <v>17.510360717773438</v>
      </c>
      <c r="G19" s="124">
        <v>17.631072998046875</v>
      </c>
      <c r="H19" s="125">
        <f t="shared" si="1"/>
        <v>18.076546514136162</v>
      </c>
      <c r="I19" s="125">
        <f t="shared" si="2"/>
        <v>17.832787358862724</v>
      </c>
      <c r="J19" s="125">
        <f t="shared" si="3"/>
        <v>17.953499639136162</v>
      </c>
      <c r="K19" s="98">
        <f>((H19-'CalibrationB. hydrogenotrophica'!$D$45)/('CalibrationB. hydrogenotrophica'!$D$44))+$B$24</f>
        <v>9.182617042355254</v>
      </c>
      <c r="L19" s="98">
        <f>((I19-'CalibrationB. hydrogenotrophica'!$D$45)/('CalibrationB. hydrogenotrophica'!$D$44))+$B$24</f>
        <v>9.2437202823405737</v>
      </c>
      <c r="M19" s="98">
        <f>((J19-'CalibrationB. hydrogenotrophica'!$D$45)/('CalibrationB. hydrogenotrophica'!$D$44))+$B$24</f>
        <v>9.2134612694126314</v>
      </c>
      <c r="N19" s="109">
        <f t="shared" si="4"/>
        <v>9.2132661980361537</v>
      </c>
      <c r="O19" s="109">
        <f t="shared" si="5"/>
        <v>3.0552087061399509E-2</v>
      </c>
      <c r="P19" s="110">
        <f>(AVERAGE(POWER(10,K19),POWER(10,L19),POWER(10,M19)))*Calculation!$I19/Calculation!$K18</f>
        <v>1664246619.5718765</v>
      </c>
      <c r="Q19" s="110">
        <f>(STDEV(POWER(10,K19),POWER(10,L19),POWER(10,M19)))*Calculation!$I19/Calculation!$K18</f>
        <v>116965997.94400595</v>
      </c>
      <c r="R19" s="109">
        <f t="shared" si="6"/>
        <v>9.2212176834829407</v>
      </c>
      <c r="S19" s="109">
        <f>O19*Calculation!$I19/Calculation!$K18</f>
        <v>3.1065359966038687E-2</v>
      </c>
      <c r="T19" s="86"/>
      <c r="U19" s="86"/>
      <c r="V19" s="86"/>
      <c r="W19" s="86"/>
      <c r="X19" s="86"/>
      <c r="Y19" s="86"/>
      <c r="Z19" s="86"/>
      <c r="AA19" s="86"/>
      <c r="AB19" s="86"/>
      <c r="AC19" s="86"/>
    </row>
    <row r="20" spans="1:29">
      <c r="A20" s="62">
        <v>16</v>
      </c>
      <c r="B20" s="63">
        <v>360</v>
      </c>
      <c r="C20" s="63">
        <v>1810</v>
      </c>
      <c r="D20" s="13">
        <f>C20/60</f>
        <v>30.166666666666668</v>
      </c>
      <c r="E20" s="123">
        <v>17.104576110839844</v>
      </c>
      <c r="F20" s="123">
        <v>17.028621673583984</v>
      </c>
      <c r="G20" s="124">
        <v>17.060565948486328</v>
      </c>
      <c r="H20" s="125">
        <f t="shared" si="1"/>
        <v>17.42700275192913</v>
      </c>
      <c r="I20" s="125">
        <f t="shared" si="2"/>
        <v>17.351048314673271</v>
      </c>
      <c r="J20" s="125">
        <f t="shared" si="3"/>
        <v>17.382992589575615</v>
      </c>
      <c r="K20" s="98">
        <f>((H20-'CalibrationB. hydrogenotrophica'!$D$45)/('CalibrationB. hydrogenotrophica'!$D$44))+$B$24</f>
        <v>9.3454385303874972</v>
      </c>
      <c r="L20" s="98">
        <f>((I20-'CalibrationB. hydrogenotrophica'!$D$45)/('CalibrationB. hydrogenotrophica'!$D$44))+$B$24</f>
        <v>9.3644780704711863</v>
      </c>
      <c r="M20" s="98">
        <f>((J20-'CalibrationB. hydrogenotrophica'!$D$45)/('CalibrationB. hydrogenotrophica'!$D$44))+$B$24</f>
        <v>9.3564705817131735</v>
      </c>
      <c r="N20" s="109">
        <f t="shared" si="4"/>
        <v>9.355462394190619</v>
      </c>
      <c r="O20" s="109">
        <f t="shared" si="5"/>
        <v>9.5597255823625625E-3</v>
      </c>
      <c r="P20" s="110">
        <f>(AVERAGE(POWER(10,K20),POWER(10,L20),POWER(10,M20)))*Calculation!$I21/Calculation!$K19</f>
        <v>2196953002.1483688</v>
      </c>
      <c r="Q20" s="110">
        <f>(STDEV(POWER(10,K20),POWER(10,L20),POWER(10,M20)))*Calculation!$I21/Calculation!$K19</f>
        <v>48273265.545033358</v>
      </c>
      <c r="R20" s="109">
        <f t="shared" si="6"/>
        <v>9.3418207664671922</v>
      </c>
      <c r="S20" s="109">
        <f>O20*Calculation!$I21/Calculation!$K19</f>
        <v>9.2626176707873084E-3</v>
      </c>
      <c r="T20" s="86"/>
      <c r="U20" s="86"/>
      <c r="V20" s="86"/>
      <c r="W20" s="86"/>
      <c r="X20" s="86"/>
      <c r="Y20" s="86"/>
      <c r="Z20" s="86"/>
      <c r="AA20" s="86"/>
      <c r="AB20" s="86"/>
      <c r="AC20" s="86"/>
    </row>
    <row r="21" spans="1:29">
      <c r="A21" s="62">
        <v>17</v>
      </c>
      <c r="B21" s="63">
        <v>1080</v>
      </c>
      <c r="C21" s="63">
        <v>2890</v>
      </c>
      <c r="D21" s="13">
        <f t="shared" si="0"/>
        <v>48.166666666666664</v>
      </c>
      <c r="E21" s="123">
        <v>15.79529857635498</v>
      </c>
      <c r="F21" s="123">
        <v>15.688520431518555</v>
      </c>
      <c r="G21" s="124">
        <v>15.594805717468262</v>
      </c>
      <c r="H21" s="125">
        <f t="shared" si="1"/>
        <v>16.117725217444267</v>
      </c>
      <c r="I21" s="125">
        <f t="shared" si="2"/>
        <v>16.010947072607841</v>
      </c>
      <c r="J21" s="125">
        <f t="shared" si="3"/>
        <v>15.917232358557547</v>
      </c>
      <c r="K21" s="98">
        <f>((H21-'CalibrationB. hydrogenotrophica'!$D$45)/('CalibrationB. hydrogenotrophica'!$D$44))+$B$24</f>
        <v>9.6736358418167878</v>
      </c>
      <c r="L21" s="98">
        <f>((I21-'CalibrationB. hydrogenotrophica'!$D$45)/('CalibrationB. hydrogenotrophica'!$D$44))+$B$24</f>
        <v>9.7004019774386823</v>
      </c>
      <c r="M21" s="98">
        <f>((J21-'CalibrationB. hydrogenotrophica'!$D$45)/('CalibrationB. hydrogenotrophica'!$D$44))+$B$24</f>
        <v>9.7238934957627716</v>
      </c>
      <c r="N21" s="109">
        <f t="shared" si="4"/>
        <v>9.6993104383394151</v>
      </c>
      <c r="O21" s="109">
        <f t="shared" si="5"/>
        <v>2.514660092820676E-2</v>
      </c>
      <c r="P21" s="110">
        <f>(AVERAGE(POWER(10,K21),POWER(10,L21),POWER(10,M21)))*Calculation!$I21/Calculation!$K20</f>
        <v>5125933995.5872974</v>
      </c>
      <c r="Q21" s="110">
        <f>(STDEV(POWER(10,K21),POWER(10,L21),POWER(10,M21)))*Calculation!$I21/Calculation!$K20</f>
        <v>296120387.88021058</v>
      </c>
      <c r="R21" s="109">
        <f t="shared" si="6"/>
        <v>9.7097730096639161</v>
      </c>
      <c r="S21" s="109">
        <f>O21*Calculation!$I21/Calculation!$K20</f>
        <v>2.5731035090350299E-2</v>
      </c>
      <c r="T21" s="86"/>
      <c r="U21" s="86"/>
      <c r="V21" s="86"/>
      <c r="W21" s="86"/>
      <c r="X21" s="86"/>
      <c r="Y21" s="86"/>
      <c r="Z21" s="86"/>
      <c r="AA21" s="86"/>
      <c r="AB21" s="86"/>
      <c r="AC21" s="86"/>
    </row>
    <row r="22" spans="1:29">
      <c r="A22" s="112"/>
      <c r="B22" s="113"/>
      <c r="C22" s="112"/>
      <c r="D22" s="113"/>
      <c r="E22" s="114"/>
      <c r="F22" s="114"/>
      <c r="G22" s="115"/>
      <c r="H22" s="111"/>
      <c r="I22" s="111"/>
      <c r="J22" s="111"/>
      <c r="K22" s="115"/>
      <c r="L22" s="115"/>
      <c r="M22" s="115"/>
      <c r="N22" s="116"/>
      <c r="O22" s="116"/>
      <c r="P22" s="117"/>
      <c r="Q22" s="117"/>
      <c r="R22" s="116"/>
      <c r="S22" s="116"/>
      <c r="U22" s="86"/>
      <c r="V22" s="86"/>
      <c r="W22" s="86"/>
      <c r="X22" s="86"/>
      <c r="Y22" s="86"/>
      <c r="Z22" s="86"/>
      <c r="AA22" s="86"/>
      <c r="AB22" s="86"/>
      <c r="AC22" s="86"/>
    </row>
    <row r="23" spans="1:29">
      <c r="A23" s="112"/>
      <c r="B23" s="113"/>
      <c r="C23" s="112"/>
      <c r="D23" s="113"/>
      <c r="E23" s="114"/>
      <c r="F23" s="114"/>
      <c r="G23" s="115"/>
      <c r="H23" s="111"/>
      <c r="I23" s="111"/>
      <c r="J23" s="111"/>
      <c r="K23" s="115"/>
      <c r="L23" s="115"/>
      <c r="M23" s="115"/>
      <c r="N23" s="116"/>
      <c r="O23" s="116"/>
      <c r="P23" s="117"/>
      <c r="Q23" s="117"/>
      <c r="R23" s="116"/>
      <c r="S23" s="116"/>
      <c r="U23" s="86"/>
      <c r="V23" s="86"/>
      <c r="W23" s="86"/>
      <c r="X23" s="86"/>
      <c r="Y23" s="86"/>
      <c r="Z23" s="86"/>
      <c r="AA23" s="86"/>
      <c r="AB23" s="86"/>
      <c r="AC23" s="86"/>
    </row>
    <row r="24" spans="1:29">
      <c r="A24" s="101" t="s">
        <v>234</v>
      </c>
      <c r="B24" s="105">
        <f>LOG(B25)</f>
        <v>3.6532125137753435</v>
      </c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U24" s="86"/>
      <c r="V24" s="86"/>
      <c r="W24" s="86"/>
      <c r="X24" s="86"/>
      <c r="Y24" s="86"/>
      <c r="Z24" s="86"/>
      <c r="AA24" s="86"/>
      <c r="AB24" s="86"/>
      <c r="AC24" s="86"/>
    </row>
    <row r="25" spans="1:29">
      <c r="A25" s="100" t="s">
        <v>238</v>
      </c>
      <c r="B25" s="86">
        <f>20*1800/4/2</f>
        <v>4500</v>
      </c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U25" s="86"/>
      <c r="V25" s="86"/>
      <c r="W25" s="86"/>
      <c r="X25" s="86"/>
      <c r="Y25" s="86"/>
      <c r="Z25" s="86"/>
      <c r="AA25" s="86"/>
      <c r="AB25" s="86"/>
      <c r="AC25" s="86"/>
    </row>
    <row r="26" spans="1:29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U26" s="86"/>
      <c r="V26" s="86"/>
      <c r="W26" s="86"/>
      <c r="X26" s="86"/>
      <c r="Y26" s="86"/>
      <c r="Z26" s="86"/>
      <c r="AA26" s="86"/>
      <c r="AB26" s="86"/>
      <c r="AC26" s="86"/>
    </row>
    <row r="27" spans="1:29">
      <c r="A27" s="107" t="s">
        <v>240</v>
      </c>
      <c r="E27" s="97">
        <v>11.064262390136719</v>
      </c>
      <c r="F27" s="97">
        <v>11.419097900390625</v>
      </c>
      <c r="G27" s="97"/>
      <c r="H27" s="104">
        <f>AVERAGE(E27:G27)</f>
        <v>11.241680145263672</v>
      </c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</row>
    <row r="28" spans="1:29">
      <c r="A28" s="107" t="s">
        <v>242</v>
      </c>
      <c r="E28" s="106">
        <v>10.746070861816406</v>
      </c>
      <c r="F28" s="104">
        <v>10.822755813598633</v>
      </c>
      <c r="G28" s="104">
        <v>10.731834411621094</v>
      </c>
      <c r="H28" s="104">
        <f t="shared" ref="H28:H49" si="7">AVERAGE(E28:G28)</f>
        <v>10.766887029012045</v>
      </c>
    </row>
    <row r="29" spans="1:29">
      <c r="A29" s="107" t="s">
        <v>243</v>
      </c>
      <c r="E29" s="106">
        <v>11.464282989501953</v>
      </c>
      <c r="F29" s="104">
        <v>11.464282989501953</v>
      </c>
      <c r="G29" s="104">
        <v>11.464282989501953</v>
      </c>
      <c r="H29" s="104">
        <f t="shared" si="7"/>
        <v>11.464282989501953</v>
      </c>
    </row>
    <row r="30" spans="1:29">
      <c r="A30" s="107" t="s">
        <v>244</v>
      </c>
      <c r="E30" s="106">
        <v>11.279656410217285</v>
      </c>
      <c r="F30" s="104">
        <v>11.587799072265625</v>
      </c>
      <c r="G30" s="104">
        <v>11.689614295959473</v>
      </c>
      <c r="H30" s="104">
        <f t="shared" si="7"/>
        <v>11.519023259480795</v>
      </c>
    </row>
    <row r="31" spans="1:29">
      <c r="A31" s="107" t="s">
        <v>245</v>
      </c>
      <c r="E31" s="106">
        <v>11.480988502502441</v>
      </c>
      <c r="F31" s="104">
        <v>11.470051765441895</v>
      </c>
      <c r="G31" s="104">
        <v>11.500860214233398</v>
      </c>
      <c r="H31" s="104">
        <f t="shared" si="7"/>
        <v>11.483966827392578</v>
      </c>
    </row>
    <row r="32" spans="1:29">
      <c r="A32" s="107" t="s">
        <v>246</v>
      </c>
      <c r="E32" s="106">
        <v>11.4913330078125</v>
      </c>
      <c r="F32" s="104">
        <v>11.453336715698242</v>
      </c>
      <c r="G32" s="104">
        <v>11.486644744873047</v>
      </c>
      <c r="H32" s="104">
        <f t="shared" si="7"/>
        <v>11.477104822794596</v>
      </c>
    </row>
    <row r="33" spans="1:8">
      <c r="A33" s="107" t="s">
        <v>247</v>
      </c>
      <c r="E33" s="106">
        <v>11.603283882141113</v>
      </c>
      <c r="F33" s="104">
        <v>11.571865081787109</v>
      </c>
      <c r="G33" s="104">
        <v>11.644859313964844</v>
      </c>
      <c r="H33" s="104">
        <f t="shared" si="7"/>
        <v>11.606669425964355</v>
      </c>
    </row>
    <row r="34" spans="1:8">
      <c r="A34" s="107" t="s">
        <v>248</v>
      </c>
      <c r="E34" s="106">
        <v>11.201085090637207</v>
      </c>
      <c r="F34" s="104">
        <v>11.201085090637207</v>
      </c>
      <c r="G34" s="104">
        <v>11.201085090637207</v>
      </c>
      <c r="H34" s="104">
        <f t="shared" si="7"/>
        <v>11.201085090637207</v>
      </c>
    </row>
    <row r="35" spans="1:8">
      <c r="A35" s="107" t="s">
        <v>249</v>
      </c>
      <c r="E35" s="106">
        <v>10.40058422088623</v>
      </c>
      <c r="F35" s="104">
        <v>11.156428337097168</v>
      </c>
      <c r="G35" s="104">
        <v>11.374870300292969</v>
      </c>
      <c r="H35" s="104">
        <f t="shared" si="7"/>
        <v>10.977294286092123</v>
      </c>
    </row>
    <row r="36" spans="1:8">
      <c r="A36" s="107" t="s">
        <v>249</v>
      </c>
      <c r="E36" s="106">
        <v>11.333348274230957</v>
      </c>
      <c r="F36" s="104">
        <v>11.546666145324707</v>
      </c>
      <c r="G36" s="104">
        <v>11.621123313903809</v>
      </c>
      <c r="H36" s="104">
        <f t="shared" si="7"/>
        <v>11.50037924448649</v>
      </c>
    </row>
    <row r="37" spans="1:8">
      <c r="A37" s="107" t="s">
        <v>250</v>
      </c>
      <c r="E37" s="106">
        <v>11.689837455749512</v>
      </c>
      <c r="F37" s="104">
        <v>11.664087295532227</v>
      </c>
      <c r="G37" s="104">
        <v>11.717653274536133</v>
      </c>
      <c r="H37" s="104">
        <f t="shared" si="7"/>
        <v>11.690526008605957</v>
      </c>
    </row>
    <row r="38" spans="1:8">
      <c r="A38" s="107" t="s">
        <v>250</v>
      </c>
      <c r="E38" s="106">
        <v>11.29168701171875</v>
      </c>
      <c r="F38" s="104">
        <v>11.470722198486328</v>
      </c>
      <c r="G38" s="104">
        <v>10.995722770690918</v>
      </c>
      <c r="H38" s="104">
        <f t="shared" si="7"/>
        <v>11.252710660298666</v>
      </c>
    </row>
    <row r="39" spans="1:8">
      <c r="A39" s="107" t="s">
        <v>252</v>
      </c>
      <c r="E39" s="106">
        <v>11.183300018310547</v>
      </c>
      <c r="F39" s="104">
        <v>11.342129707336426</v>
      </c>
      <c r="G39" s="104">
        <v>11.389498710632324</v>
      </c>
      <c r="H39" s="104">
        <f t="shared" si="7"/>
        <v>11.304976145426432</v>
      </c>
    </row>
    <row r="40" spans="1:8">
      <c r="A40" s="107" t="s">
        <v>253</v>
      </c>
      <c r="E40" s="106">
        <v>11.500882148742676</v>
      </c>
      <c r="F40" s="104">
        <v>11.500882148742676</v>
      </c>
      <c r="G40" s="104">
        <v>11.500882148742676</v>
      </c>
      <c r="H40" s="104">
        <f t="shared" si="7"/>
        <v>11.500882148742676</v>
      </c>
    </row>
    <row r="41" spans="1:8">
      <c r="A41" s="107" t="s">
        <v>254</v>
      </c>
      <c r="E41" s="106">
        <v>11.322457313537598</v>
      </c>
      <c r="F41" s="104">
        <v>11.33414363861084</v>
      </c>
      <c r="G41" s="104">
        <v>11.329196929931641</v>
      </c>
      <c r="H41" s="104">
        <f t="shared" si="7"/>
        <v>11.328599294026693</v>
      </c>
    </row>
    <row r="42" spans="1:8">
      <c r="A42" s="107" t="s">
        <v>255</v>
      </c>
      <c r="E42" s="106">
        <v>11.317984580993652</v>
      </c>
      <c r="F42" s="104">
        <v>11.273995399475098</v>
      </c>
      <c r="G42" s="104">
        <v>11.386194229125977</v>
      </c>
      <c r="H42" s="104">
        <f t="shared" si="7"/>
        <v>11.326058069864908</v>
      </c>
    </row>
    <row r="43" spans="1:8">
      <c r="A43" s="107" t="s">
        <v>256</v>
      </c>
      <c r="E43" s="106">
        <v>11.148730278015137</v>
      </c>
      <c r="F43" s="104">
        <v>11.235733032226562</v>
      </c>
      <c r="G43" s="104">
        <v>11.234542846679688</v>
      </c>
      <c r="H43" s="104">
        <f t="shared" si="7"/>
        <v>11.206335385640463</v>
      </c>
    </row>
    <row r="44" spans="1:8">
      <c r="A44" s="107" t="s">
        <v>256</v>
      </c>
      <c r="E44" s="106">
        <v>11.324759483337402</v>
      </c>
      <c r="F44" s="104">
        <v>11.279741287231445</v>
      </c>
      <c r="G44" s="104">
        <v>11.352234840393066</v>
      </c>
      <c r="H44" s="104">
        <f t="shared" si="7"/>
        <v>11.318911870320639</v>
      </c>
    </row>
    <row r="45" spans="1:8">
      <c r="A45" s="107" t="s">
        <v>257</v>
      </c>
      <c r="E45" s="106">
        <v>11.3</v>
      </c>
      <c r="F45" s="104">
        <v>11.4</v>
      </c>
      <c r="G45" s="104">
        <v>11.3</v>
      </c>
      <c r="H45" s="104">
        <f t="shared" si="7"/>
        <v>11.333333333333334</v>
      </c>
    </row>
    <row r="46" spans="1:8">
      <c r="A46" s="107" t="s">
        <v>258</v>
      </c>
      <c r="E46" s="106">
        <v>11.137722969055176</v>
      </c>
      <c r="F46" s="104">
        <v>11.360322952270508</v>
      </c>
      <c r="G46" s="104">
        <v>11.248004913330078</v>
      </c>
      <c r="H46" s="104">
        <f t="shared" si="7"/>
        <v>11.24868361155192</v>
      </c>
    </row>
    <row r="47" spans="1:8">
      <c r="A47" s="107" t="s">
        <v>258</v>
      </c>
      <c r="E47" s="106">
        <v>11.365866661071777</v>
      </c>
      <c r="F47" s="104">
        <v>11.445242881774902</v>
      </c>
      <c r="G47" s="104">
        <v>11.431737899780273</v>
      </c>
      <c r="H47" s="104">
        <f t="shared" si="7"/>
        <v>11.41428248087565</v>
      </c>
    </row>
    <row r="48" spans="1:8">
      <c r="A48" s="58" t="s">
        <v>259</v>
      </c>
      <c r="E48" s="106">
        <v>11.350344657897949</v>
      </c>
      <c r="F48" s="104">
        <v>11.447367668151855</v>
      </c>
      <c r="G48" s="104">
        <v>11.305245399475098</v>
      </c>
      <c r="H48" s="104">
        <f t="shared" si="7"/>
        <v>11.367652575174967</v>
      </c>
    </row>
    <row r="49" spans="1:8">
      <c r="A49" s="58" t="s">
        <v>260</v>
      </c>
      <c r="E49" s="106">
        <v>11.382972717285156</v>
      </c>
      <c r="F49" s="104">
        <v>11.286684036254883</v>
      </c>
      <c r="G49" s="104">
        <v>11.278195381164551</v>
      </c>
      <c r="H49" s="104">
        <f t="shared" si="7"/>
        <v>11.315950711568197</v>
      </c>
    </row>
    <row r="50" spans="1:8">
      <c r="A50" s="58" t="s">
        <v>261</v>
      </c>
      <c r="E50" s="106">
        <v>11.351459503173828</v>
      </c>
      <c r="F50" s="104">
        <v>11.372493743896484</v>
      </c>
      <c r="G50" s="104">
        <v>11.26507568359375</v>
      </c>
      <c r="H50" s="104">
        <f>AVERAGE(E50:G50)</f>
        <v>11.329676310221354</v>
      </c>
    </row>
    <row r="51" spans="1:8">
      <c r="A51" s="58" t="s">
        <v>308</v>
      </c>
      <c r="E51" s="106">
        <v>10.961522102355957</v>
      </c>
      <c r="F51" s="104">
        <v>10.991280555725098</v>
      </c>
      <c r="G51" s="104">
        <v>10.988773345947266</v>
      </c>
      <c r="H51" s="104">
        <f t="shared" ref="H51:H63" si="8">AVERAGE(E51:G51)</f>
        <v>10.980525334676107</v>
      </c>
    </row>
    <row r="52" spans="1:8">
      <c r="A52" s="58" t="s">
        <v>309</v>
      </c>
      <c r="E52" s="106">
        <v>11.455920219421387</v>
      </c>
      <c r="F52" s="104">
        <v>11.47702693939209</v>
      </c>
      <c r="G52" s="104">
        <v>11.41429615020752</v>
      </c>
      <c r="H52" s="104">
        <f t="shared" si="8"/>
        <v>11.449081103006998</v>
      </c>
    </row>
    <row r="53" spans="1:8">
      <c r="A53" s="58" t="s">
        <v>310</v>
      </c>
      <c r="E53" s="106">
        <v>11.481462478637695</v>
      </c>
      <c r="F53" s="104">
        <v>11.294193267822266</v>
      </c>
      <c r="G53" s="104">
        <v>11.30172061920166</v>
      </c>
      <c r="H53" s="104">
        <f t="shared" si="8"/>
        <v>11.359125455220541</v>
      </c>
    </row>
    <row r="54" spans="1:8">
      <c r="A54" s="58" t="s">
        <v>310</v>
      </c>
      <c r="E54" s="106">
        <v>11.333268165588301</v>
      </c>
      <c r="F54" s="104">
        <v>11.3499765396118</v>
      </c>
      <c r="G54" s="104">
        <v>11.688117980956999</v>
      </c>
      <c r="H54" s="104">
        <f t="shared" si="8"/>
        <v>11.4571208953857</v>
      </c>
    </row>
    <row r="55" spans="1:8">
      <c r="A55" s="58" t="s">
        <v>311</v>
      </c>
      <c r="E55" s="106">
        <v>11.225685119628906</v>
      </c>
      <c r="F55" s="104">
        <v>11.295048713684082</v>
      </c>
      <c r="G55" s="104">
        <v>11.326059341430664</v>
      </c>
      <c r="H55" s="104">
        <f t="shared" si="8"/>
        <v>11.282264391581217</v>
      </c>
    </row>
    <row r="56" spans="1:8">
      <c r="A56" s="58" t="s">
        <v>312</v>
      </c>
      <c r="E56" s="106">
        <v>11.361672401428223</v>
      </c>
      <c r="F56" s="104">
        <v>11.304685592651367</v>
      </c>
      <c r="G56" s="104">
        <v>11.405701637268066</v>
      </c>
      <c r="H56" s="104">
        <f t="shared" si="8"/>
        <v>11.357353210449219</v>
      </c>
    </row>
    <row r="57" spans="1:8">
      <c r="A57" s="58" t="s">
        <v>312</v>
      </c>
      <c r="E57" s="106">
        <v>10.911848068237305</v>
      </c>
      <c r="F57" s="104">
        <v>10.950149536132812</v>
      </c>
      <c r="G57" s="104">
        <v>10.982019424438477</v>
      </c>
      <c r="H57" s="104">
        <f t="shared" si="8"/>
        <v>10.948005676269531</v>
      </c>
    </row>
    <row r="58" spans="1:8">
      <c r="A58" s="58" t="s">
        <v>313</v>
      </c>
      <c r="B58" s="100"/>
      <c r="C58" s="86"/>
      <c r="D58" s="86"/>
      <c r="E58" s="106">
        <v>11.097690582275391</v>
      </c>
      <c r="F58" s="104">
        <v>11.199633598327637</v>
      </c>
      <c r="G58" s="104">
        <v>11.211821556091309</v>
      </c>
      <c r="H58" s="104">
        <f t="shared" si="8"/>
        <v>11.169715245564779</v>
      </c>
    </row>
    <row r="59" spans="1:8">
      <c r="A59" s="58" t="s">
        <v>314</v>
      </c>
      <c r="B59" s="100"/>
      <c r="C59" s="86"/>
      <c r="D59" s="86"/>
      <c r="E59" s="106">
        <v>11.383224487304688</v>
      </c>
      <c r="F59" s="104">
        <v>11.329494476318359</v>
      </c>
      <c r="G59" s="104">
        <v>11.243021011352539</v>
      </c>
      <c r="H59" s="104">
        <f t="shared" si="8"/>
        <v>11.318579991658529</v>
      </c>
    </row>
    <row r="60" spans="1:8">
      <c r="A60" s="58" t="s">
        <v>314</v>
      </c>
      <c r="B60" s="100"/>
      <c r="C60" s="86"/>
      <c r="D60" s="86"/>
      <c r="E60" s="106">
        <v>11.171065330505371</v>
      </c>
      <c r="F60" s="104">
        <v>11.234642028808594</v>
      </c>
      <c r="G60" s="104">
        <v>11.325413703918457</v>
      </c>
      <c r="H60" s="104">
        <f t="shared" si="8"/>
        <v>11.243707021077475</v>
      </c>
    </row>
    <row r="61" spans="1:8">
      <c r="A61" s="58" t="s">
        <v>315</v>
      </c>
      <c r="B61" s="134"/>
      <c r="C61" s="86"/>
      <c r="D61" s="86"/>
      <c r="E61" s="106">
        <v>11.431556701660156</v>
      </c>
      <c r="F61" s="104">
        <v>11.393752098083496</v>
      </c>
      <c r="G61" s="104">
        <v>11.470895767211914</v>
      </c>
      <c r="H61" s="104">
        <f t="shared" si="8"/>
        <v>11.432068188985189</v>
      </c>
    </row>
    <row r="62" spans="1:8">
      <c r="A62" s="58" t="s">
        <v>315</v>
      </c>
      <c r="B62" s="134"/>
      <c r="C62" s="86"/>
      <c r="D62" s="86"/>
      <c r="E62" s="106">
        <v>11.38902759552002</v>
      </c>
      <c r="F62" s="104">
        <v>11.318164825439453</v>
      </c>
      <c r="G62" s="104">
        <v>11.357851982116699</v>
      </c>
      <c r="H62" s="104">
        <f t="shared" si="8"/>
        <v>11.355014801025391</v>
      </c>
    </row>
    <row r="63" spans="1:8">
      <c r="A63" s="58" t="s">
        <v>316</v>
      </c>
      <c r="B63" s="134"/>
      <c r="C63" s="86"/>
      <c r="D63" s="86"/>
      <c r="E63" s="106">
        <v>10.827228546142578</v>
      </c>
      <c r="F63" s="104">
        <v>10.980537414550781</v>
      </c>
      <c r="G63" s="104">
        <v>10.733705520629883</v>
      </c>
      <c r="H63" s="104">
        <f t="shared" si="8"/>
        <v>10.84715716044108</v>
      </c>
    </row>
    <row r="64" spans="1:8">
      <c r="A64" s="58" t="s">
        <v>317</v>
      </c>
      <c r="B64" s="134"/>
      <c r="C64" s="86"/>
      <c r="D64" s="86"/>
      <c r="E64" s="106">
        <v>11.185029029846191</v>
      </c>
      <c r="F64" s="104">
        <v>11.096076965332031</v>
      </c>
      <c r="G64" s="104">
        <v>11.32984447479248</v>
      </c>
      <c r="H64" s="104">
        <f>AVERAGE(E64:G64)</f>
        <v>11.2036501566569</v>
      </c>
    </row>
    <row r="65" spans="1:8">
      <c r="A65" s="58" t="s">
        <v>317</v>
      </c>
      <c r="B65" s="134"/>
      <c r="C65" s="86"/>
      <c r="D65" s="86"/>
      <c r="E65" s="106">
        <v>11.051477432250977</v>
      </c>
      <c r="F65" s="104">
        <v>10.973122596740723</v>
      </c>
      <c r="G65" s="104">
        <v>10.89690113067627</v>
      </c>
      <c r="H65" s="104">
        <f>AVERAGE(E65:G65)</f>
        <v>10.973833719889322</v>
      </c>
    </row>
    <row r="66" spans="1:8">
      <c r="A66" s="58"/>
    </row>
    <row r="67" spans="1:8">
      <c r="G67" t="s">
        <v>251</v>
      </c>
      <c r="H67" s="108">
        <f>AVERAGE(H27:H65)</f>
        <v>11.296260360978607</v>
      </c>
    </row>
  </sheetData>
  <mergeCells count="19"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S2:S3"/>
    <mergeCell ref="M2:M3"/>
    <mergeCell ref="N2:N3"/>
    <mergeCell ref="O2:O3"/>
    <mergeCell ref="P2:P3"/>
    <mergeCell ref="Q2:Q3"/>
    <mergeCell ref="R2:R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M15" sqref="M15"/>
    </sheetView>
  </sheetViews>
  <sheetFormatPr baseColWidth="10" defaultColWidth="8.83203125" defaultRowHeight="14" x14ac:dyDescent="0"/>
  <cols>
    <col min="1" max="16384" width="8.83203125" style="2"/>
  </cols>
  <sheetData>
    <row r="1" spans="1:10">
      <c r="A1" s="139" t="s">
        <v>4</v>
      </c>
      <c r="B1" s="139" t="s">
        <v>116</v>
      </c>
      <c r="C1" s="139" t="s">
        <v>116</v>
      </c>
      <c r="D1" s="139" t="s">
        <v>5</v>
      </c>
      <c r="E1" s="139" t="s">
        <v>19</v>
      </c>
      <c r="F1" s="139" t="s">
        <v>24</v>
      </c>
      <c r="G1" s="138" t="s">
        <v>25</v>
      </c>
      <c r="H1" s="135" t="s">
        <v>26</v>
      </c>
      <c r="I1" s="4" t="s">
        <v>27</v>
      </c>
      <c r="J1" s="53" t="s">
        <v>27</v>
      </c>
    </row>
    <row r="2" spans="1:10">
      <c r="A2" s="140"/>
      <c r="B2" s="140"/>
      <c r="C2" s="140"/>
      <c r="D2" s="140"/>
      <c r="E2" s="140"/>
      <c r="F2" s="140"/>
      <c r="G2" s="138"/>
      <c r="H2" s="135"/>
      <c r="I2" s="5" t="s">
        <v>28</v>
      </c>
      <c r="J2" s="54" t="s">
        <v>23</v>
      </c>
    </row>
    <row r="3" spans="1:10">
      <c r="A3" s="60" t="s">
        <v>6</v>
      </c>
      <c r="B3" s="61">
        <v>-10</v>
      </c>
      <c r="C3" s="61">
        <v>-10</v>
      </c>
      <c r="D3" s="13">
        <f>C3/60</f>
        <v>-0.16666666666666666</v>
      </c>
      <c r="E3" s="40">
        <v>1</v>
      </c>
      <c r="F3" s="40">
        <v>0.107</v>
      </c>
      <c r="G3" s="40">
        <v>0.107</v>
      </c>
      <c r="H3" s="40">
        <v>0.107</v>
      </c>
      <c r="I3" s="51">
        <f>E3*(AVERAGE(F3:H3)*1.6007-0.0118)</f>
        <v>0.1594749</v>
      </c>
      <c r="J3" s="51">
        <f>E3*(STDEV(F3:H3)*1.6007)</f>
        <v>0</v>
      </c>
    </row>
    <row r="4" spans="1:10">
      <c r="A4" s="62">
        <v>0</v>
      </c>
      <c r="B4" s="63">
        <v>10</v>
      </c>
      <c r="C4" s="63">
        <v>10</v>
      </c>
      <c r="D4" s="13">
        <f t="shared" ref="D4:D21" si="0">C4/60</f>
        <v>0.16666666666666666</v>
      </c>
      <c r="E4" s="40">
        <v>1</v>
      </c>
      <c r="F4" s="40">
        <v>0.115</v>
      </c>
      <c r="G4" s="40">
        <v>0.115</v>
      </c>
      <c r="H4" s="40">
        <v>0.115</v>
      </c>
      <c r="I4" s="51">
        <f>E4*(AVERAGE(F4:H4)*1.6007-0.0118)</f>
        <v>0.1722805</v>
      </c>
      <c r="J4" s="51">
        <f t="shared" ref="J4:J18" si="1">E4*(STDEV(F4:H4)*1.6007)</f>
        <v>0</v>
      </c>
    </row>
    <row r="5" spans="1:10">
      <c r="A5" s="62">
        <v>1</v>
      </c>
      <c r="B5" s="63">
        <v>110</v>
      </c>
      <c r="C5" s="63">
        <v>120</v>
      </c>
      <c r="D5" s="13">
        <f t="shared" si="0"/>
        <v>2</v>
      </c>
      <c r="E5" s="40">
        <v>1</v>
      </c>
      <c r="F5" s="40">
        <v>0.121</v>
      </c>
      <c r="G5" s="40">
        <v>0.121</v>
      </c>
      <c r="H5" s="40">
        <v>0.121</v>
      </c>
      <c r="I5" s="51">
        <f t="shared" ref="I5:I19" si="2">E5*(AVERAGE(F5:H5)*1.6007-0.0118)</f>
        <v>0.18188469999999998</v>
      </c>
      <c r="J5" s="51">
        <f t="shared" si="1"/>
        <v>0</v>
      </c>
    </row>
    <row r="6" spans="1:10">
      <c r="A6" s="62">
        <v>2</v>
      </c>
      <c r="B6" s="63">
        <v>80</v>
      </c>
      <c r="C6" s="63">
        <v>200</v>
      </c>
      <c r="D6" s="13">
        <f t="shared" si="0"/>
        <v>3.3333333333333335</v>
      </c>
      <c r="E6" s="40">
        <v>1</v>
      </c>
      <c r="F6" s="40">
        <v>0.13100000000000001</v>
      </c>
      <c r="G6" s="40">
        <v>0.13100000000000001</v>
      </c>
      <c r="H6" s="40">
        <v>0.13100000000000001</v>
      </c>
      <c r="I6" s="51">
        <f t="shared" si="2"/>
        <v>0.1978917</v>
      </c>
      <c r="J6" s="51">
        <f t="shared" si="1"/>
        <v>0</v>
      </c>
    </row>
    <row r="7" spans="1:10">
      <c r="A7" s="62">
        <v>3</v>
      </c>
      <c r="B7" s="63">
        <v>80</v>
      </c>
      <c r="C7" s="63">
        <v>280</v>
      </c>
      <c r="D7" s="13">
        <f t="shared" si="0"/>
        <v>4.666666666666667</v>
      </c>
      <c r="E7" s="40">
        <v>1</v>
      </c>
      <c r="F7" s="50">
        <v>0.15</v>
      </c>
      <c r="G7" s="50">
        <v>0.15</v>
      </c>
      <c r="H7" s="50">
        <v>0.15</v>
      </c>
      <c r="I7" s="51">
        <f t="shared" si="2"/>
        <v>0.22830499999999998</v>
      </c>
      <c r="J7" s="51">
        <f t="shared" si="1"/>
        <v>0</v>
      </c>
    </row>
    <row r="8" spans="1:10">
      <c r="A8" s="62">
        <v>4</v>
      </c>
      <c r="B8" s="63">
        <v>80</v>
      </c>
      <c r="C8" s="63">
        <v>360</v>
      </c>
      <c r="D8" s="13">
        <f t="shared" si="0"/>
        <v>6</v>
      </c>
      <c r="E8" s="40">
        <v>1</v>
      </c>
      <c r="F8" s="40">
        <v>0.17599999999999999</v>
      </c>
      <c r="G8" s="40">
        <v>0.17599999999999999</v>
      </c>
      <c r="H8" s="40">
        <v>0.17599999999999999</v>
      </c>
      <c r="I8" s="51">
        <f t="shared" si="2"/>
        <v>0.26992320000000003</v>
      </c>
      <c r="J8" s="51">
        <f t="shared" si="1"/>
        <v>5.4413393669642165E-17</v>
      </c>
    </row>
    <row r="9" spans="1:10">
      <c r="A9" s="62">
        <v>5</v>
      </c>
      <c r="B9" s="63">
        <v>80</v>
      </c>
      <c r="C9" s="63">
        <v>440</v>
      </c>
      <c r="D9" s="13">
        <f t="shared" si="0"/>
        <v>7.333333333333333</v>
      </c>
      <c r="E9" s="40">
        <v>1</v>
      </c>
      <c r="F9" s="40">
        <v>0.224</v>
      </c>
      <c r="G9" s="40">
        <v>0.224</v>
      </c>
      <c r="H9" s="40">
        <v>0.224</v>
      </c>
      <c r="I9" s="51">
        <f t="shared" si="2"/>
        <v>0.34675680000000003</v>
      </c>
      <c r="J9" s="51">
        <f t="shared" si="1"/>
        <v>0</v>
      </c>
    </row>
    <row r="10" spans="1:10">
      <c r="A10" s="62">
        <v>6</v>
      </c>
      <c r="B10" s="63">
        <v>80</v>
      </c>
      <c r="C10" s="63">
        <v>520</v>
      </c>
      <c r="D10" s="13">
        <f t="shared" si="0"/>
        <v>8.6666666666666661</v>
      </c>
      <c r="E10" s="40">
        <v>1</v>
      </c>
      <c r="F10" s="40">
        <v>0.30199999999999999</v>
      </c>
      <c r="G10" s="40">
        <v>0.30199999999999999</v>
      </c>
      <c r="H10" s="40">
        <v>0.30199999999999999</v>
      </c>
      <c r="I10" s="51">
        <f t="shared" si="2"/>
        <v>0.47161140000000001</v>
      </c>
      <c r="J10" s="51">
        <f t="shared" si="1"/>
        <v>0</v>
      </c>
    </row>
    <row r="11" spans="1:10">
      <c r="A11" s="62">
        <v>7</v>
      </c>
      <c r="B11" s="63">
        <v>80</v>
      </c>
      <c r="C11" s="63">
        <v>600</v>
      </c>
      <c r="D11" s="13">
        <f t="shared" si="0"/>
        <v>10</v>
      </c>
      <c r="E11" s="40">
        <v>2</v>
      </c>
      <c r="F11" s="50">
        <v>0.246</v>
      </c>
      <c r="G11" s="50">
        <v>0.252</v>
      </c>
      <c r="H11" s="50">
        <v>0.253</v>
      </c>
      <c r="I11" s="51">
        <f t="shared" si="2"/>
        <v>0.77781713333333347</v>
      </c>
      <c r="J11" s="51">
        <f t="shared" si="1"/>
        <v>1.2120304785496675E-2</v>
      </c>
    </row>
    <row r="12" spans="1:10">
      <c r="A12" s="62">
        <v>8</v>
      </c>
      <c r="B12" s="63">
        <v>80</v>
      </c>
      <c r="C12" s="63">
        <v>680</v>
      </c>
      <c r="D12" s="13">
        <f t="shared" si="0"/>
        <v>11.333333333333334</v>
      </c>
      <c r="E12" s="40">
        <v>4</v>
      </c>
      <c r="F12" s="50">
        <v>0.25800000000000001</v>
      </c>
      <c r="G12" s="50">
        <v>0.254</v>
      </c>
      <c r="H12" s="50">
        <v>0.26100000000000001</v>
      </c>
      <c r="I12" s="51">
        <f t="shared" si="2"/>
        <v>1.6025881333333334</v>
      </c>
      <c r="J12" s="51">
        <f t="shared" si="1"/>
        <v>2.2485894616255196E-2</v>
      </c>
    </row>
    <row r="13" spans="1:10">
      <c r="A13" s="62">
        <v>9</v>
      </c>
      <c r="B13" s="63">
        <v>80</v>
      </c>
      <c r="C13" s="63">
        <v>760</v>
      </c>
      <c r="D13" s="13">
        <f>C13/60</f>
        <v>12.666666666666666</v>
      </c>
      <c r="E13" s="40">
        <v>10</v>
      </c>
      <c r="F13" s="50">
        <v>0.13700000000000001</v>
      </c>
      <c r="G13" s="50">
        <v>0.13400000000000001</v>
      </c>
      <c r="H13" s="50">
        <v>0.123</v>
      </c>
      <c r="I13" s="51">
        <f t="shared" si="2"/>
        <v>1.9842526666666664</v>
      </c>
      <c r="J13" s="51">
        <f t="shared" si="1"/>
        <v>0.11798943453688282</v>
      </c>
    </row>
    <row r="14" spans="1:10">
      <c r="A14" s="62">
        <v>10</v>
      </c>
      <c r="B14" s="63">
        <v>80</v>
      </c>
      <c r="C14" s="63">
        <v>840</v>
      </c>
      <c r="D14" s="13">
        <f t="shared" si="0"/>
        <v>14</v>
      </c>
      <c r="E14" s="40">
        <v>10</v>
      </c>
      <c r="F14" s="50">
        <v>0.16400000000000001</v>
      </c>
      <c r="G14" s="50">
        <v>0.17100000000000001</v>
      </c>
      <c r="H14" s="50">
        <v>0.17299999999999999</v>
      </c>
      <c r="I14" s="51">
        <f t="shared" si="2"/>
        <v>2.5925186666666673</v>
      </c>
      <c r="J14" s="51">
        <f t="shared" si="1"/>
        <v>7.5646130729425387E-2</v>
      </c>
    </row>
    <row r="15" spans="1:10">
      <c r="A15" s="62">
        <v>11</v>
      </c>
      <c r="B15" s="63">
        <v>80</v>
      </c>
      <c r="C15" s="63">
        <v>920</v>
      </c>
      <c r="D15" s="13">
        <f t="shared" si="0"/>
        <v>15.333333333333334</v>
      </c>
      <c r="E15" s="40">
        <v>10</v>
      </c>
      <c r="F15" s="50">
        <v>0.17799999999999999</v>
      </c>
      <c r="G15" s="50">
        <v>0.17100000000000001</v>
      </c>
      <c r="H15" s="50">
        <v>0.17399999999999999</v>
      </c>
      <c r="I15" s="51">
        <f t="shared" si="2"/>
        <v>2.6725536666666665</v>
      </c>
      <c r="J15" s="51">
        <f t="shared" si="1"/>
        <v>5.6214736540637772E-2</v>
      </c>
    </row>
    <row r="16" spans="1:10">
      <c r="A16" s="62">
        <v>12</v>
      </c>
      <c r="B16" s="63">
        <v>80</v>
      </c>
      <c r="C16" s="63">
        <v>1000</v>
      </c>
      <c r="D16" s="13">
        <f t="shared" si="0"/>
        <v>16.666666666666668</v>
      </c>
      <c r="E16" s="40">
        <v>10</v>
      </c>
      <c r="F16" s="50">
        <v>0.16300000000000001</v>
      </c>
      <c r="G16" s="50">
        <v>0.16700000000000001</v>
      </c>
      <c r="H16" s="50">
        <v>0.17499999999999999</v>
      </c>
      <c r="I16" s="51">
        <f t="shared" si="2"/>
        <v>2.5765116666666672</v>
      </c>
      <c r="J16" s="51">
        <f t="shared" si="1"/>
        <v>9.7804385532210686E-2</v>
      </c>
    </row>
    <row r="17" spans="1:10">
      <c r="A17" s="62">
        <v>13</v>
      </c>
      <c r="B17" s="63">
        <v>80</v>
      </c>
      <c r="C17" s="63">
        <v>1080</v>
      </c>
      <c r="D17" s="13">
        <f t="shared" si="0"/>
        <v>18</v>
      </c>
      <c r="E17" s="40">
        <v>10</v>
      </c>
      <c r="F17" s="50">
        <v>0.16800000000000001</v>
      </c>
      <c r="G17" s="50">
        <v>0.16900000000000001</v>
      </c>
      <c r="H17" s="50">
        <v>0.16700000000000001</v>
      </c>
      <c r="I17" s="51">
        <f t="shared" si="2"/>
        <v>2.5711760000000004</v>
      </c>
      <c r="J17" s="51">
        <f t="shared" si="1"/>
        <v>1.6007000000000014E-2</v>
      </c>
    </row>
    <row r="18" spans="1:10">
      <c r="A18" s="62">
        <v>14</v>
      </c>
      <c r="B18" s="63">
        <v>80</v>
      </c>
      <c r="C18" s="63">
        <v>1160</v>
      </c>
      <c r="D18" s="13">
        <f t="shared" si="0"/>
        <v>19.333333333333332</v>
      </c>
      <c r="E18" s="40">
        <v>10</v>
      </c>
      <c r="F18" s="50">
        <v>0.16500000000000001</v>
      </c>
      <c r="G18" s="50">
        <v>0.17799999999999999</v>
      </c>
      <c r="H18" s="50">
        <v>0.16700000000000001</v>
      </c>
      <c r="I18" s="51">
        <f t="shared" si="2"/>
        <v>2.6031900000000001</v>
      </c>
      <c r="J18" s="51">
        <f t="shared" si="1"/>
        <v>0.11204899999999984</v>
      </c>
    </row>
    <row r="19" spans="1:10">
      <c r="A19" s="62">
        <v>15</v>
      </c>
      <c r="B19" s="63">
        <v>290</v>
      </c>
      <c r="C19" s="63">
        <v>1450</v>
      </c>
      <c r="D19" s="13">
        <f t="shared" si="0"/>
        <v>24.166666666666668</v>
      </c>
      <c r="E19" s="40">
        <v>10</v>
      </c>
      <c r="F19" s="50">
        <v>0.14099999999999999</v>
      </c>
      <c r="G19" s="50">
        <v>0.14699999999999999</v>
      </c>
      <c r="H19" s="50">
        <v>0.14699999999999999</v>
      </c>
      <c r="I19" s="51">
        <f t="shared" si="2"/>
        <v>2.2030149999999997</v>
      </c>
      <c r="J19" s="51">
        <f>E19*(STDEV(F19:H19)*1.6007)</f>
        <v>5.5449874553510095E-2</v>
      </c>
    </row>
    <row r="20" spans="1:10">
      <c r="A20" s="62">
        <v>16</v>
      </c>
      <c r="B20" s="63">
        <v>360</v>
      </c>
      <c r="C20" s="63">
        <v>1810</v>
      </c>
      <c r="D20" s="13">
        <f>C20/60</f>
        <v>30.166666666666668</v>
      </c>
      <c r="E20" s="40">
        <v>10</v>
      </c>
      <c r="F20" s="50">
        <v>0.14000000000000001</v>
      </c>
      <c r="G20" s="50">
        <v>0.14099999999999999</v>
      </c>
      <c r="H20" s="50">
        <v>0.14000000000000001</v>
      </c>
      <c r="I20" s="51">
        <f t="shared" ref="I20" si="3">E20*(AVERAGE(F20:H20)*1.6007-0.0118)</f>
        <v>2.1283156666666665</v>
      </c>
      <c r="J20" s="51">
        <f t="shared" ref="J20" si="4">E20*(STDEV(F20:H20)*1.6007)</f>
        <v>9.2416457589180913E-3</v>
      </c>
    </row>
    <row r="21" spans="1:10">
      <c r="A21" s="62">
        <v>17</v>
      </c>
      <c r="B21" s="63">
        <v>1080</v>
      </c>
      <c r="C21" s="63">
        <v>2890</v>
      </c>
      <c r="D21" s="13">
        <f t="shared" si="0"/>
        <v>48.166666666666664</v>
      </c>
      <c r="E21" s="40">
        <v>10</v>
      </c>
      <c r="F21" s="50">
        <v>0.10199999999999999</v>
      </c>
      <c r="G21" s="50">
        <v>0.107</v>
      </c>
      <c r="H21" s="50">
        <v>0.107</v>
      </c>
      <c r="I21" s="51">
        <f>E21*(AVERAGE(F21:H21)*1.6007-0.0118)</f>
        <v>1.5680706666666666</v>
      </c>
      <c r="J21" s="51">
        <f>E21*(STDEV(F21:H21)*1.6007)</f>
        <v>4.6208228794591744E-2</v>
      </c>
    </row>
  </sheetData>
  <mergeCells count="8">
    <mergeCell ref="A1:A2"/>
    <mergeCell ref="B1:B2"/>
    <mergeCell ref="C1:C2"/>
    <mergeCell ref="D1:D2"/>
    <mergeCell ref="H1:H2"/>
    <mergeCell ref="E1:E2"/>
    <mergeCell ref="F1:F2"/>
    <mergeCell ref="G1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D19" sqref="D19"/>
    </sheetView>
  </sheetViews>
  <sheetFormatPr baseColWidth="10" defaultColWidth="8.83203125" defaultRowHeight="14" x14ac:dyDescent="0"/>
  <cols>
    <col min="1" max="2" width="8.83203125" style="2"/>
    <col min="3" max="3" width="10.83203125" style="2" bestFit="1" customWidth="1"/>
    <col min="4" max="4" width="12.1640625" style="2" bestFit="1" customWidth="1"/>
    <col min="5" max="16384" width="8.83203125" style="2"/>
  </cols>
  <sheetData>
    <row r="1" spans="1:7">
      <c r="A1" s="139" t="s">
        <v>4</v>
      </c>
      <c r="B1" s="139" t="s">
        <v>116</v>
      </c>
      <c r="C1" s="139" t="s">
        <v>116</v>
      </c>
      <c r="D1" s="139" t="s">
        <v>5</v>
      </c>
      <c r="E1" s="4" t="s">
        <v>29</v>
      </c>
      <c r="F1" s="4" t="s">
        <v>2</v>
      </c>
      <c r="G1" s="4" t="s">
        <v>32</v>
      </c>
    </row>
    <row r="2" spans="1:7">
      <c r="A2" s="140"/>
      <c r="B2" s="140"/>
      <c r="C2" s="140"/>
      <c r="D2" s="140"/>
      <c r="E2" s="5" t="s">
        <v>30</v>
      </c>
      <c r="F2" s="5" t="s">
        <v>31</v>
      </c>
      <c r="G2" s="5" t="s">
        <v>33</v>
      </c>
    </row>
    <row r="3" spans="1:7">
      <c r="A3" s="60" t="s">
        <v>6</v>
      </c>
      <c r="B3" s="61">
        <v>-10</v>
      </c>
      <c r="C3" s="61">
        <v>-10</v>
      </c>
      <c r="D3" s="13">
        <f>C3/60</f>
        <v>-0.16666666666666666</v>
      </c>
      <c r="E3" s="1"/>
      <c r="F3" s="1"/>
      <c r="G3" s="1" t="e">
        <f>(F3-$C$23)/E3*1000*Calculation!I4/Calculation!K3</f>
        <v>#DIV/0!</v>
      </c>
    </row>
    <row r="4" spans="1:7">
      <c r="A4" s="62">
        <v>0</v>
      </c>
      <c r="B4" s="63">
        <v>10</v>
      </c>
      <c r="C4" s="63">
        <v>10</v>
      </c>
      <c r="D4" s="13">
        <f t="shared" ref="D4:D21" si="0">C4/60</f>
        <v>0.16666666666666666</v>
      </c>
      <c r="E4" s="1"/>
      <c r="F4" s="1"/>
      <c r="G4" s="1" t="e">
        <f>(F4-$C$23)/E4*1000*Calculation!I5/Calculation!K4</f>
        <v>#DIV/0!</v>
      </c>
    </row>
    <row r="5" spans="1:7">
      <c r="A5" s="62">
        <v>1</v>
      </c>
      <c r="B5" s="63">
        <v>110</v>
      </c>
      <c r="C5" s="63">
        <v>120</v>
      </c>
      <c r="D5" s="13">
        <f t="shared" si="0"/>
        <v>2</v>
      </c>
      <c r="E5" s="1"/>
      <c r="F5" s="1"/>
      <c r="G5" s="1" t="e">
        <f>(F5-$C$23)/E5*1000*Calculation!I6/Calculation!K5</f>
        <v>#DIV/0!</v>
      </c>
    </row>
    <row r="6" spans="1:7">
      <c r="A6" s="62">
        <v>2</v>
      </c>
      <c r="B6" s="63">
        <v>80</v>
      </c>
      <c r="C6" s="63">
        <v>200</v>
      </c>
      <c r="D6" s="13">
        <f t="shared" si="0"/>
        <v>3.3333333333333335</v>
      </c>
      <c r="E6" s="1"/>
      <c r="F6" s="1"/>
      <c r="G6" s="1" t="e">
        <f>(F6-$C$23)/E6*1000*Calculation!I7/Calculation!K6</f>
        <v>#DIV/0!</v>
      </c>
    </row>
    <row r="7" spans="1:7">
      <c r="A7" s="62">
        <v>3</v>
      </c>
      <c r="B7" s="63">
        <v>80</v>
      </c>
      <c r="C7" s="63">
        <v>280</v>
      </c>
      <c r="D7" s="13">
        <f t="shared" si="0"/>
        <v>4.666666666666667</v>
      </c>
      <c r="E7" s="1"/>
      <c r="F7" s="1"/>
      <c r="G7" s="1" t="e">
        <f>(F7-$C$23)/E7*1000*Calculation!I8/Calculation!K7</f>
        <v>#DIV/0!</v>
      </c>
    </row>
    <row r="8" spans="1:7">
      <c r="A8" s="62">
        <v>4</v>
      </c>
      <c r="B8" s="63">
        <v>80</v>
      </c>
      <c r="C8" s="63">
        <v>360</v>
      </c>
      <c r="D8" s="13">
        <f t="shared" si="0"/>
        <v>6</v>
      </c>
      <c r="E8" s="1"/>
      <c r="F8" s="1"/>
      <c r="G8" s="1" t="e">
        <f>(F8-$C$23)/E8*1000*Calculation!I9/Calculation!K8</f>
        <v>#DIV/0!</v>
      </c>
    </row>
    <row r="9" spans="1:7">
      <c r="A9" s="62">
        <v>5</v>
      </c>
      <c r="B9" s="63">
        <v>80</v>
      </c>
      <c r="C9" s="63">
        <v>440</v>
      </c>
      <c r="D9" s="13">
        <f t="shared" si="0"/>
        <v>7.333333333333333</v>
      </c>
      <c r="E9" s="1"/>
      <c r="F9" s="1"/>
      <c r="G9" s="1" t="e">
        <f>(F9-$C$23)/E9*1000*Calculation!I10/Calculation!K9</f>
        <v>#DIV/0!</v>
      </c>
    </row>
    <row r="10" spans="1:7">
      <c r="A10" s="62">
        <v>6</v>
      </c>
      <c r="B10" s="63">
        <v>80</v>
      </c>
      <c r="C10" s="63">
        <v>520</v>
      </c>
      <c r="D10" s="13">
        <f t="shared" si="0"/>
        <v>8.6666666666666661</v>
      </c>
      <c r="E10" s="1"/>
      <c r="F10" s="1"/>
      <c r="G10" s="1" t="e">
        <f>(F10-$C$23)/E10*1000*Calculation!I11/Calculation!K10</f>
        <v>#DIV/0!</v>
      </c>
    </row>
    <row r="11" spans="1:7">
      <c r="A11" s="62">
        <v>7</v>
      </c>
      <c r="B11" s="63">
        <v>80</v>
      </c>
      <c r="C11" s="63">
        <v>600</v>
      </c>
      <c r="D11" s="13">
        <f t="shared" si="0"/>
        <v>10</v>
      </c>
      <c r="E11" s="1"/>
      <c r="F11" s="1"/>
      <c r="G11" s="1" t="e">
        <f>(F11-$C$23)/E11*1000*Calculation!I12/Calculation!K11</f>
        <v>#DIV/0!</v>
      </c>
    </row>
    <row r="12" spans="1:7">
      <c r="A12" s="62">
        <v>8</v>
      </c>
      <c r="B12" s="63">
        <v>80</v>
      </c>
      <c r="C12" s="63">
        <v>680</v>
      </c>
      <c r="D12" s="13">
        <f t="shared" si="0"/>
        <v>11.333333333333334</v>
      </c>
      <c r="E12" s="1"/>
      <c r="F12" s="1"/>
      <c r="G12" s="1" t="e">
        <f>(F12-$C$23)/E12*1000*Calculation!I13/Calculation!K12</f>
        <v>#DIV/0!</v>
      </c>
    </row>
    <row r="13" spans="1:7">
      <c r="A13" s="62">
        <v>9</v>
      </c>
      <c r="B13" s="63">
        <v>80</v>
      </c>
      <c r="C13" s="63">
        <v>760</v>
      </c>
      <c r="D13" s="13">
        <f>C13/60</f>
        <v>12.666666666666666</v>
      </c>
      <c r="E13" s="37"/>
      <c r="F13" s="37"/>
      <c r="G13" s="37" t="e">
        <f>(F13-$C$23)/E13*1000*Calculation!I14/Calculation!K13</f>
        <v>#DIV/0!</v>
      </c>
    </row>
    <row r="14" spans="1:7">
      <c r="A14" s="62">
        <v>10</v>
      </c>
      <c r="B14" s="63">
        <v>80</v>
      </c>
      <c r="C14" s="63">
        <v>840</v>
      </c>
      <c r="D14" s="13">
        <f t="shared" si="0"/>
        <v>14</v>
      </c>
      <c r="E14" s="37"/>
      <c r="F14" s="37"/>
      <c r="G14" s="37" t="e">
        <f>(F14-$C$23)/E14*1000*Calculation!I15/Calculation!K14</f>
        <v>#DIV/0!</v>
      </c>
    </row>
    <row r="15" spans="1:7">
      <c r="A15" s="62">
        <v>11</v>
      </c>
      <c r="B15" s="63">
        <v>80</v>
      </c>
      <c r="C15" s="63">
        <v>920</v>
      </c>
      <c r="D15" s="13">
        <f t="shared" si="0"/>
        <v>15.333333333333334</v>
      </c>
      <c r="E15" s="37"/>
      <c r="F15" s="37"/>
      <c r="G15" s="37" t="e">
        <f>(F15-$C$23)/E15*1000*Calculation!I16/Calculation!K15</f>
        <v>#DIV/0!</v>
      </c>
    </row>
    <row r="16" spans="1:7">
      <c r="A16" s="62">
        <v>12</v>
      </c>
      <c r="B16" s="63">
        <v>80</v>
      </c>
      <c r="C16" s="63">
        <v>1000</v>
      </c>
      <c r="D16" s="13">
        <f t="shared" si="0"/>
        <v>16.666666666666668</v>
      </c>
      <c r="E16" s="37"/>
      <c r="F16" s="37"/>
      <c r="G16" s="37" t="e">
        <f>(F16-$C$23)/E16*1000*Calculation!I17/Calculation!K16</f>
        <v>#DIV/0!</v>
      </c>
    </row>
    <row r="17" spans="1:7" ht="15" customHeight="1">
      <c r="A17" s="62">
        <v>13</v>
      </c>
      <c r="B17" s="63">
        <v>80</v>
      </c>
      <c r="C17" s="63">
        <v>1080</v>
      </c>
      <c r="D17" s="13">
        <f t="shared" si="0"/>
        <v>18</v>
      </c>
      <c r="E17" s="37"/>
      <c r="F17" s="37"/>
      <c r="G17" s="37" t="e">
        <f>(F17-$C$23)/E17*1000*Calculation!I18/Calculation!K17</f>
        <v>#DIV/0!</v>
      </c>
    </row>
    <row r="18" spans="1:7">
      <c r="A18" s="62">
        <v>14</v>
      </c>
      <c r="B18" s="63">
        <v>80</v>
      </c>
      <c r="C18" s="63">
        <v>1160</v>
      </c>
      <c r="D18" s="13">
        <f t="shared" si="0"/>
        <v>19.333333333333332</v>
      </c>
      <c r="E18" s="37"/>
      <c r="F18" s="37"/>
      <c r="G18" s="37" t="e">
        <f>(F18-$C$23)/E18*1000*Calculation!I19/Calculation!K18</f>
        <v>#DIV/0!</v>
      </c>
    </row>
    <row r="19" spans="1:7">
      <c r="A19" s="62">
        <v>15</v>
      </c>
      <c r="B19" s="63">
        <v>290</v>
      </c>
      <c r="C19" s="63">
        <v>1450</v>
      </c>
      <c r="D19" s="13">
        <f t="shared" si="0"/>
        <v>24.166666666666668</v>
      </c>
      <c r="E19" s="40"/>
      <c r="F19" s="40"/>
      <c r="G19" s="40" t="e">
        <f>(F19-$C$23)/E19*1000*Calculation!I22/Calculation!K19</f>
        <v>#DIV/0!</v>
      </c>
    </row>
    <row r="20" spans="1:7">
      <c r="A20" s="62">
        <v>16</v>
      </c>
      <c r="B20" s="63">
        <v>360</v>
      </c>
      <c r="C20" s="63">
        <v>1810</v>
      </c>
      <c r="D20" s="13">
        <f>C20/60</f>
        <v>30.166666666666668</v>
      </c>
      <c r="E20" s="40"/>
      <c r="F20" s="40"/>
      <c r="G20" s="40" t="e">
        <f>(F20-$C$23)/E20*1000*Calculation!I23/Calculation!K21</f>
        <v>#DIV/0!</v>
      </c>
    </row>
    <row r="21" spans="1:7">
      <c r="A21" s="62">
        <v>17</v>
      </c>
      <c r="B21" s="63">
        <v>1080</v>
      </c>
      <c r="C21" s="63">
        <v>2890</v>
      </c>
      <c r="D21" s="13">
        <f t="shared" si="0"/>
        <v>48.166666666666664</v>
      </c>
      <c r="E21" s="40"/>
      <c r="F21" s="40"/>
      <c r="G21" s="40" t="e">
        <f>(F21-$C$23)/E21*1000*Calculation!I24/Calculation!K22</f>
        <v>#DIV/0!</v>
      </c>
    </row>
    <row r="22" spans="1:7">
      <c r="A22" s="126"/>
      <c r="B22" s="63"/>
      <c r="C22" s="63"/>
      <c r="D22" s="113"/>
    </row>
    <row r="23" spans="1:7">
      <c r="A23" s="157" t="s">
        <v>3</v>
      </c>
      <c r="B23" s="158"/>
      <c r="C23" s="1"/>
    </row>
  </sheetData>
  <mergeCells count="5">
    <mergeCell ref="A23:B23"/>
    <mergeCell ref="A1:A2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G106"/>
  <sheetViews>
    <sheetView workbookViewId="0">
      <selection activeCell="B5" sqref="B5:B106"/>
    </sheetView>
  </sheetViews>
  <sheetFormatPr baseColWidth="10" defaultColWidth="8.83203125" defaultRowHeight="14" x14ac:dyDescent="0"/>
  <cols>
    <col min="4" max="4" width="9.33203125" bestFit="1" customWidth="1"/>
    <col min="5" max="5" width="22.33203125" bestFit="1" customWidth="1"/>
    <col min="6" max="6" width="13.6640625" bestFit="1" customWidth="1"/>
    <col min="10" max="10" width="12" bestFit="1" customWidth="1"/>
    <col min="11" max="11" width="8.5" customWidth="1"/>
  </cols>
  <sheetData>
    <row r="1" spans="1:7">
      <c r="A1" s="23" t="s">
        <v>50</v>
      </c>
      <c r="B1" s="12">
        <v>69.7</v>
      </c>
      <c r="C1" s="26" t="s">
        <v>51</v>
      </c>
      <c r="D1" s="2"/>
      <c r="E1" s="2"/>
      <c r="F1" s="2"/>
      <c r="G1" s="2"/>
    </row>
    <row r="2" spans="1:7">
      <c r="A2" s="2"/>
      <c r="B2" s="2"/>
      <c r="C2" s="2"/>
      <c r="D2" s="2"/>
      <c r="E2" s="2"/>
      <c r="F2" s="2"/>
      <c r="G2" s="2"/>
    </row>
    <row r="3" spans="1:7">
      <c r="A3" s="138" t="s">
        <v>5</v>
      </c>
      <c r="B3" s="138" t="s">
        <v>36</v>
      </c>
      <c r="C3" s="138"/>
      <c r="D3" s="138" t="s">
        <v>52</v>
      </c>
      <c r="E3" s="138"/>
      <c r="F3" s="138"/>
      <c r="G3" s="23" t="s">
        <v>53</v>
      </c>
    </row>
    <row r="4" spans="1:7">
      <c r="A4" s="138"/>
      <c r="B4" s="23" t="s">
        <v>54</v>
      </c>
      <c r="C4" s="23" t="s">
        <v>55</v>
      </c>
      <c r="D4" s="23" t="s">
        <v>56</v>
      </c>
      <c r="E4" s="23" t="s">
        <v>57</v>
      </c>
      <c r="F4" s="23" t="s">
        <v>58</v>
      </c>
      <c r="G4" s="23" t="s">
        <v>59</v>
      </c>
    </row>
    <row r="5" spans="1:7">
      <c r="A5" s="12">
        <v>0</v>
      </c>
      <c r="B5" s="32">
        <v>554.97</v>
      </c>
      <c r="C5" s="12">
        <f>B5/1000</f>
        <v>0.55497000000000007</v>
      </c>
      <c r="D5" s="12">
        <f>C5/1000*$B$1</f>
        <v>3.8681409000000007E-2</v>
      </c>
      <c r="E5" s="12">
        <f>D5/22.4</f>
        <v>1.7268486160714289E-3</v>
      </c>
      <c r="F5" s="12">
        <f>E5/Calculation!K$4*1000</f>
        <v>1.1675785098522169E-3</v>
      </c>
      <c r="G5" s="12">
        <f>(0+F5)/2*30</f>
        <v>1.7513677647783252E-2</v>
      </c>
    </row>
    <row r="6" spans="1:7">
      <c r="A6" s="12">
        <v>0.5</v>
      </c>
      <c r="B6" s="32">
        <v>1255.51</v>
      </c>
      <c r="C6" s="12">
        <f t="shared" ref="C6:C69" si="0">B6/1000</f>
        <v>1.2555099999999999</v>
      </c>
      <c r="D6" s="12">
        <f>C6/1000*$B$1</f>
        <v>8.7509046999999993E-2</v>
      </c>
      <c r="E6" s="12">
        <f>D6/22.4</f>
        <v>3.9066538839285713E-3</v>
      </c>
      <c r="F6" s="12">
        <f>E6/Calculation!K$4*1000</f>
        <v>2.6414157430213465E-3</v>
      </c>
      <c r="G6" s="12">
        <f>G5+(F6+F5)/2*30</f>
        <v>7.4648591440886702E-2</v>
      </c>
    </row>
    <row r="7" spans="1:7">
      <c r="A7" s="12">
        <v>1</v>
      </c>
      <c r="B7" s="32">
        <v>1489.77</v>
      </c>
      <c r="C7" s="12">
        <f t="shared" si="0"/>
        <v>1.48977</v>
      </c>
      <c r="D7" s="12">
        <f t="shared" ref="D7:D69" si="1">C7/1000*$B$1</f>
        <v>0.10383696900000002</v>
      </c>
      <c r="E7" s="12">
        <f t="shared" ref="E7:E69" si="2">D7/22.4</f>
        <v>4.6355789732142865E-3</v>
      </c>
      <c r="F7" s="12">
        <f>E7/Calculation!K$4*1000</f>
        <v>3.1342657019704438E-3</v>
      </c>
      <c r="G7" s="12">
        <f t="shared" ref="G7:G70" si="3">G6+(F7+F6)/2*30</f>
        <v>0.16128381311576356</v>
      </c>
    </row>
    <row r="8" spans="1:7">
      <c r="A8" s="12">
        <v>1.5</v>
      </c>
      <c r="B8" s="32">
        <v>1775.75</v>
      </c>
      <c r="C8" s="12">
        <f t="shared" si="0"/>
        <v>1.7757499999999999</v>
      </c>
      <c r="D8" s="12">
        <f t="shared" si="1"/>
        <v>0.123769775</v>
      </c>
      <c r="E8" s="12">
        <f t="shared" si="2"/>
        <v>5.525436383928572E-3</v>
      </c>
      <c r="F8" s="12">
        <f>E8/Calculation!K$4*1000</f>
        <v>3.7359272372742202E-3</v>
      </c>
      <c r="G8" s="12">
        <f t="shared" si="3"/>
        <v>0.26433670720443353</v>
      </c>
    </row>
    <row r="9" spans="1:7">
      <c r="A9" s="12">
        <v>2</v>
      </c>
      <c r="B9" s="32">
        <v>1919.85</v>
      </c>
      <c r="C9" s="12">
        <f t="shared" si="0"/>
        <v>1.9198499999999998</v>
      </c>
      <c r="D9" s="12">
        <f t="shared" si="1"/>
        <v>0.13381354500000001</v>
      </c>
      <c r="E9" s="12">
        <f t="shared" si="2"/>
        <v>5.9738189732142866E-3</v>
      </c>
      <c r="F9" s="12">
        <f>E9/Calculation!K$4*1000</f>
        <v>4.0390932881773402E-3</v>
      </c>
      <c r="G9" s="12">
        <f t="shared" si="3"/>
        <v>0.38096201508620692</v>
      </c>
    </row>
    <row r="10" spans="1:7">
      <c r="A10" s="12">
        <v>2.5</v>
      </c>
      <c r="B10" s="32">
        <v>1893.25</v>
      </c>
      <c r="C10" s="12">
        <f t="shared" si="0"/>
        <v>1.8932500000000001</v>
      </c>
      <c r="D10" s="12">
        <f t="shared" si="1"/>
        <v>0.13195952500000002</v>
      </c>
      <c r="E10" s="12">
        <f t="shared" si="2"/>
        <v>5.8910502232142874E-3</v>
      </c>
      <c r="F10" s="12">
        <f>E10/Calculation!K$4*1000</f>
        <v>3.9831306444991802E-3</v>
      </c>
      <c r="G10" s="12">
        <f t="shared" si="3"/>
        <v>0.50129537407635472</v>
      </c>
    </row>
    <row r="11" spans="1:7">
      <c r="A11" s="12">
        <v>3</v>
      </c>
      <c r="B11" s="32">
        <v>2337.37</v>
      </c>
      <c r="C11" s="12">
        <f t="shared" si="0"/>
        <v>2.3373699999999999</v>
      </c>
      <c r="D11" s="12">
        <f t="shared" si="1"/>
        <v>0.162914689</v>
      </c>
      <c r="E11" s="12">
        <f t="shared" si="2"/>
        <v>7.2729771875000007E-3</v>
      </c>
      <c r="F11" s="12">
        <f>E11/Calculation!K$4*1000</f>
        <v>4.9174964080459776E-3</v>
      </c>
      <c r="G11" s="12">
        <f t="shared" si="3"/>
        <v>0.6348047798645321</v>
      </c>
    </row>
    <row r="12" spans="1:7">
      <c r="A12" s="12">
        <v>3.5</v>
      </c>
      <c r="B12" s="32">
        <v>2485.16</v>
      </c>
      <c r="C12" s="12">
        <f t="shared" si="0"/>
        <v>2.48516</v>
      </c>
      <c r="D12" s="12">
        <f t="shared" si="1"/>
        <v>0.17321565200000003</v>
      </c>
      <c r="E12" s="12">
        <f t="shared" si="2"/>
        <v>7.7328416071428584E-3</v>
      </c>
      <c r="F12" s="12">
        <f>E12/Calculation!K$4*1000</f>
        <v>5.2284256978653533E-3</v>
      </c>
      <c r="G12" s="12">
        <f t="shared" si="3"/>
        <v>0.78699361145320201</v>
      </c>
    </row>
    <row r="13" spans="1:7">
      <c r="A13" s="12">
        <v>4</v>
      </c>
      <c r="B13" s="32">
        <v>2845.04</v>
      </c>
      <c r="C13" s="12">
        <f t="shared" si="0"/>
        <v>2.84504</v>
      </c>
      <c r="D13" s="12">
        <f t="shared" si="1"/>
        <v>0.19829928800000002</v>
      </c>
      <c r="E13" s="12">
        <f t="shared" si="2"/>
        <v>8.8526467857142875E-3</v>
      </c>
      <c r="F13" s="12">
        <f>E13/Calculation!K$4*1000</f>
        <v>5.985562397372743E-3</v>
      </c>
      <c r="G13" s="12">
        <f t="shared" si="3"/>
        <v>0.95520343288177345</v>
      </c>
    </row>
    <row r="14" spans="1:7">
      <c r="A14" s="12">
        <v>4.5</v>
      </c>
      <c r="B14" s="32">
        <v>2996.53</v>
      </c>
      <c r="C14" s="12">
        <f t="shared" si="0"/>
        <v>2.9965300000000004</v>
      </c>
      <c r="D14" s="12">
        <f t="shared" si="1"/>
        <v>0.20885814100000002</v>
      </c>
      <c r="E14" s="12">
        <f t="shared" si="2"/>
        <v>9.3240241517857161E-3</v>
      </c>
      <c r="F14" s="12">
        <f>E14/Calculation!K$4*1000</f>
        <v>6.3042759646962246E-3</v>
      </c>
      <c r="G14" s="12">
        <f t="shared" si="3"/>
        <v>1.139551008312808</v>
      </c>
    </row>
    <row r="15" spans="1:7">
      <c r="A15" s="12">
        <v>5</v>
      </c>
      <c r="B15" s="32">
        <v>2949.24</v>
      </c>
      <c r="C15" s="12">
        <f t="shared" si="0"/>
        <v>2.9492399999999996</v>
      </c>
      <c r="D15" s="12">
        <f t="shared" si="1"/>
        <v>0.20556202799999998</v>
      </c>
      <c r="E15" s="12">
        <f t="shared" si="2"/>
        <v>9.1768762500000003E-3</v>
      </c>
      <c r="F15" s="12">
        <f>E15/Calculation!K$4*1000</f>
        <v>6.2047844827586209E-3</v>
      </c>
      <c r="G15" s="12">
        <f t="shared" si="3"/>
        <v>1.3271869150246307</v>
      </c>
    </row>
    <row r="16" spans="1:7">
      <c r="A16" s="12">
        <v>5.5</v>
      </c>
      <c r="B16" s="32">
        <v>3387.45</v>
      </c>
      <c r="C16" s="12">
        <f t="shared" si="0"/>
        <v>3.3874499999999999</v>
      </c>
      <c r="D16" s="12">
        <f t="shared" si="1"/>
        <v>0.23610526499999998</v>
      </c>
      <c r="E16" s="12">
        <f t="shared" si="2"/>
        <v>1.0540413616071428E-2</v>
      </c>
      <c r="F16" s="12">
        <f>E16/Calculation!K$4*1000</f>
        <v>7.1267164408866995E-3</v>
      </c>
      <c r="G16" s="12">
        <f t="shared" si="3"/>
        <v>1.5271594288793104</v>
      </c>
    </row>
    <row r="17" spans="1:7">
      <c r="A17" s="12">
        <v>6</v>
      </c>
      <c r="B17" s="32">
        <v>3277.34</v>
      </c>
      <c r="C17" s="12">
        <f t="shared" si="0"/>
        <v>3.2773400000000001</v>
      </c>
      <c r="D17" s="12">
        <f t="shared" si="1"/>
        <v>0.22843059800000001</v>
      </c>
      <c r="E17" s="12">
        <f t="shared" si="2"/>
        <v>1.019779455357143E-2</v>
      </c>
      <c r="F17" s="12">
        <f>E17/Calculation!K$4*1000</f>
        <v>6.8950605500821029E-3</v>
      </c>
      <c r="G17" s="12">
        <f t="shared" si="3"/>
        <v>1.7374860837438426</v>
      </c>
    </row>
    <row r="18" spans="1:7">
      <c r="A18" s="12">
        <v>6.5</v>
      </c>
      <c r="B18" s="32">
        <v>4108.68</v>
      </c>
      <c r="C18" s="12">
        <f t="shared" si="0"/>
        <v>4.1086800000000006</v>
      </c>
      <c r="D18" s="12">
        <f t="shared" si="1"/>
        <v>0.28637499600000005</v>
      </c>
      <c r="E18" s="12">
        <f t="shared" si="2"/>
        <v>1.2784598035714289E-2</v>
      </c>
      <c r="F18" s="12">
        <f>E18/Calculation!K$4*1000</f>
        <v>8.6440825123152727E-3</v>
      </c>
      <c r="G18" s="12">
        <f t="shared" si="3"/>
        <v>1.9705732296798033</v>
      </c>
    </row>
    <row r="19" spans="1:7">
      <c r="A19" s="12">
        <v>7</v>
      </c>
      <c r="B19" s="32">
        <v>4133.07</v>
      </c>
      <c r="C19" s="12">
        <f t="shared" si="0"/>
        <v>4.13307</v>
      </c>
      <c r="D19" s="12">
        <f t="shared" si="1"/>
        <v>0.28807497900000001</v>
      </c>
      <c r="E19" s="12">
        <f t="shared" si="2"/>
        <v>1.2860490133928572E-2</v>
      </c>
      <c r="F19" s="12">
        <f>E19/Calculation!K$4*1000</f>
        <v>8.695395628078818E-3</v>
      </c>
      <c r="G19" s="12">
        <f t="shared" si="3"/>
        <v>2.2306654017857146</v>
      </c>
    </row>
    <row r="20" spans="1:7">
      <c r="A20" s="12">
        <v>7.5</v>
      </c>
      <c r="B20" s="32">
        <v>4818.84</v>
      </c>
      <c r="C20" s="12">
        <f t="shared" si="0"/>
        <v>4.8188399999999998</v>
      </c>
      <c r="D20" s="12">
        <f t="shared" si="1"/>
        <v>0.33587314800000001</v>
      </c>
      <c r="E20" s="12">
        <f t="shared" si="2"/>
        <v>1.4994336964285716E-2</v>
      </c>
      <c r="F20" s="12">
        <f>E20/Calculation!K$4*1000</f>
        <v>1.0138158866995074E-2</v>
      </c>
      <c r="G20" s="12">
        <f t="shared" si="3"/>
        <v>2.5131687192118228</v>
      </c>
    </row>
    <row r="21" spans="1:7">
      <c r="A21" s="12">
        <v>8</v>
      </c>
      <c r="B21" s="32">
        <v>5174.28</v>
      </c>
      <c r="C21" s="12">
        <f t="shared" si="0"/>
        <v>5.1742799999999995</v>
      </c>
      <c r="D21" s="12">
        <f t="shared" si="1"/>
        <v>0.360647316</v>
      </c>
      <c r="E21" s="12">
        <f t="shared" si="2"/>
        <v>1.6100326607142858E-2</v>
      </c>
      <c r="F21" s="12">
        <f>E21/Calculation!K$4*1000</f>
        <v>1.0885954433497538E-2</v>
      </c>
      <c r="G21" s="12">
        <f t="shared" si="3"/>
        <v>2.828530418719212</v>
      </c>
    </row>
    <row r="22" spans="1:7">
      <c r="A22" s="12">
        <v>8.5</v>
      </c>
      <c r="B22" s="32">
        <v>5863.74</v>
      </c>
      <c r="C22" s="12">
        <f t="shared" si="0"/>
        <v>5.86374</v>
      </c>
      <c r="D22" s="12">
        <f t="shared" si="1"/>
        <v>0.40870267800000004</v>
      </c>
      <c r="E22" s="12">
        <f t="shared" si="2"/>
        <v>1.8245655267857146E-2</v>
      </c>
      <c r="F22" s="12">
        <f>E22/Calculation!K$4*1000</f>
        <v>1.2336480911330052E-2</v>
      </c>
      <c r="G22" s="12">
        <f t="shared" si="3"/>
        <v>3.1768669488916257</v>
      </c>
    </row>
    <row r="23" spans="1:7">
      <c r="A23" s="12">
        <v>9</v>
      </c>
      <c r="B23" s="32">
        <v>6259.83</v>
      </c>
      <c r="C23" s="12">
        <f t="shared" si="0"/>
        <v>6.25983</v>
      </c>
      <c r="D23" s="12">
        <f t="shared" si="1"/>
        <v>0.43631015100000003</v>
      </c>
      <c r="E23" s="12">
        <f t="shared" si="2"/>
        <v>1.9478131741071433E-2</v>
      </c>
      <c r="F23" s="12">
        <f>E23/Calculation!K$4*1000</f>
        <v>1.3169798337438426E-2</v>
      </c>
      <c r="G23" s="12">
        <f t="shared" si="3"/>
        <v>3.5594611376231526</v>
      </c>
    </row>
    <row r="24" spans="1:7">
      <c r="A24" s="12">
        <v>9.5</v>
      </c>
      <c r="B24" s="32">
        <v>6229.53</v>
      </c>
      <c r="C24" s="12">
        <f t="shared" si="0"/>
        <v>6.2295299999999996</v>
      </c>
      <c r="D24" s="12">
        <f t="shared" si="1"/>
        <v>0.43419824099999998</v>
      </c>
      <c r="E24" s="12">
        <f t="shared" si="2"/>
        <v>1.9383850044642856E-2</v>
      </c>
      <c r="F24" s="12">
        <f>E24/Calculation!K$4*1000</f>
        <v>1.3106051416256157E-2</v>
      </c>
      <c r="G24" s="12">
        <f t="shared" si="3"/>
        <v>3.9535988839285716</v>
      </c>
    </row>
    <row r="25" spans="1:7">
      <c r="A25" s="12">
        <v>10</v>
      </c>
      <c r="B25" s="32">
        <v>7816.11</v>
      </c>
      <c r="C25" s="12">
        <f t="shared" si="0"/>
        <v>7.8161100000000001</v>
      </c>
      <c r="D25" s="12">
        <f t="shared" si="1"/>
        <v>0.544782867</v>
      </c>
      <c r="E25" s="12">
        <f t="shared" si="2"/>
        <v>2.4320663705357144E-2</v>
      </c>
      <c r="F25" s="12">
        <f>E25/Calculation!K$4*1000</f>
        <v>1.6443991687192121E-2</v>
      </c>
      <c r="G25" s="12">
        <f t="shared" si="3"/>
        <v>4.3968495304802957</v>
      </c>
    </row>
    <row r="26" spans="1:7">
      <c r="A26" s="12">
        <v>10.5</v>
      </c>
      <c r="B26" s="32">
        <v>8620.85</v>
      </c>
      <c r="C26" s="12">
        <f t="shared" si="0"/>
        <v>8.6208500000000008</v>
      </c>
      <c r="D26" s="12">
        <f t="shared" si="1"/>
        <v>0.60087324500000006</v>
      </c>
      <c r="E26" s="12">
        <f t="shared" si="2"/>
        <v>2.6824698437500002E-2</v>
      </c>
      <c r="F26" s="12">
        <f>E26/Calculation!K$4*1000</f>
        <v>1.8137051005747126E-2</v>
      </c>
      <c r="G26" s="12">
        <f t="shared" si="3"/>
        <v>4.9155651708743839</v>
      </c>
    </row>
    <row r="27" spans="1:7">
      <c r="A27" s="12">
        <v>11</v>
      </c>
      <c r="B27" s="32">
        <v>9674.6200000000008</v>
      </c>
      <c r="C27" s="12">
        <f t="shared" si="0"/>
        <v>9.6746200000000009</v>
      </c>
      <c r="D27" s="12">
        <f t="shared" si="1"/>
        <v>0.674321014</v>
      </c>
      <c r="E27" s="12">
        <f t="shared" si="2"/>
        <v>3.0103616696428574E-2</v>
      </c>
      <c r="F27" s="12">
        <f>E27/Calculation!K$4*1000</f>
        <v>2.0354034277504107E-2</v>
      </c>
      <c r="G27" s="12">
        <f t="shared" si="3"/>
        <v>5.4929314501231525</v>
      </c>
    </row>
    <row r="28" spans="1:7">
      <c r="A28" s="12">
        <v>11.5</v>
      </c>
      <c r="B28" s="32">
        <v>11075.71</v>
      </c>
      <c r="C28" s="12">
        <f t="shared" si="0"/>
        <v>11.075709999999999</v>
      </c>
      <c r="D28" s="12">
        <f t="shared" si="1"/>
        <v>0.77197698699999995</v>
      </c>
      <c r="E28" s="12">
        <f t="shared" si="2"/>
        <v>3.4463258348214287E-2</v>
      </c>
      <c r="F28" s="12">
        <f>E28/Calculation!K$4*1000</f>
        <v>2.3301729782430215E-2</v>
      </c>
      <c r="G28" s="12">
        <f t="shared" si="3"/>
        <v>6.147767911022167</v>
      </c>
    </row>
    <row r="29" spans="1:7">
      <c r="A29" s="12">
        <v>12</v>
      </c>
      <c r="B29" s="32">
        <v>11339.53</v>
      </c>
      <c r="C29" s="12">
        <f t="shared" si="0"/>
        <v>11.33953</v>
      </c>
      <c r="D29" s="12">
        <f t="shared" si="1"/>
        <v>0.79036524100000005</v>
      </c>
      <c r="E29" s="12">
        <f t="shared" si="2"/>
        <v>3.5284162544642859E-2</v>
      </c>
      <c r="F29" s="12">
        <f>E29/Calculation!K$4*1000</f>
        <v>2.3856769807060758E-2</v>
      </c>
      <c r="G29" s="12">
        <f t="shared" si="3"/>
        <v>6.8551454048645315</v>
      </c>
    </row>
    <row r="30" spans="1:7">
      <c r="A30" s="12">
        <v>12.5</v>
      </c>
      <c r="B30" s="32">
        <v>12578.04</v>
      </c>
      <c r="C30" s="12">
        <f t="shared" si="0"/>
        <v>12.578040000000001</v>
      </c>
      <c r="D30" s="12">
        <f t="shared" si="1"/>
        <v>0.87668938800000018</v>
      </c>
      <c r="E30" s="12">
        <f t="shared" si="2"/>
        <v>3.9137919107142871E-2</v>
      </c>
      <c r="F30" s="12">
        <f>E30/Calculation!K$4*1000</f>
        <v>2.6462419950738926E-2</v>
      </c>
      <c r="G30" s="12">
        <f t="shared" si="3"/>
        <v>7.609933251231527</v>
      </c>
    </row>
    <row r="31" spans="1:7">
      <c r="A31" s="12">
        <v>13</v>
      </c>
      <c r="B31" s="32">
        <v>11260.46</v>
      </c>
      <c r="C31" s="12">
        <f t="shared" si="0"/>
        <v>11.260459999999998</v>
      </c>
      <c r="D31" s="12">
        <f t="shared" si="1"/>
        <v>0.78485406199999985</v>
      </c>
      <c r="E31" s="12">
        <f t="shared" si="2"/>
        <v>3.5038127767857141E-2</v>
      </c>
      <c r="F31" s="12">
        <f>E31/Calculation!K$4*1000</f>
        <v>2.3690417692939243E-2</v>
      </c>
      <c r="G31" s="12">
        <f t="shared" si="3"/>
        <v>8.3622258158866991</v>
      </c>
    </row>
    <row r="32" spans="1:7">
      <c r="A32" s="12">
        <v>13.5</v>
      </c>
      <c r="B32" s="32">
        <v>11615.9</v>
      </c>
      <c r="C32" s="12">
        <f t="shared" si="0"/>
        <v>11.6159</v>
      </c>
      <c r="D32" s="12">
        <f t="shared" si="1"/>
        <v>0.80962823000000006</v>
      </c>
      <c r="E32" s="12">
        <f t="shared" si="2"/>
        <v>3.6144117410714292E-2</v>
      </c>
      <c r="F32" s="12">
        <f>E32/Calculation!K$4*1000</f>
        <v>2.4438213259441711E-2</v>
      </c>
      <c r="G32" s="12">
        <f t="shared" si="3"/>
        <v>9.0841552801724141</v>
      </c>
    </row>
    <row r="33" spans="1:7">
      <c r="A33" s="12">
        <v>14</v>
      </c>
      <c r="B33" s="32">
        <v>11366.87</v>
      </c>
      <c r="C33" s="12">
        <f t="shared" si="0"/>
        <v>11.36687</v>
      </c>
      <c r="D33" s="12">
        <f t="shared" si="1"/>
        <v>0.79227083900000006</v>
      </c>
      <c r="E33" s="12">
        <f t="shared" si="2"/>
        <v>3.5369233883928576E-2</v>
      </c>
      <c r="F33" s="12">
        <f>E33/Calculation!K$4*1000</f>
        <v>2.391428930623974E-2</v>
      </c>
      <c r="G33" s="12">
        <f t="shared" si="3"/>
        <v>9.8094428186576366</v>
      </c>
    </row>
    <row r="34" spans="1:7">
      <c r="A34" s="12">
        <v>14.5</v>
      </c>
      <c r="B34" s="32">
        <v>11100.84</v>
      </c>
      <c r="C34" s="12">
        <f t="shared" si="0"/>
        <v>11.10084</v>
      </c>
      <c r="D34" s="12">
        <f t="shared" si="1"/>
        <v>0.7737285479999999</v>
      </c>
      <c r="E34" s="12">
        <f t="shared" si="2"/>
        <v>3.4541453035714285E-2</v>
      </c>
      <c r="F34" s="12">
        <f>E34/Calculation!K$4*1000</f>
        <v>2.3354599753694579E-2</v>
      </c>
      <c r="G34" s="12">
        <f t="shared" si="3"/>
        <v>10.518476154556652</v>
      </c>
    </row>
    <row r="35" spans="1:7">
      <c r="A35" s="12">
        <v>15</v>
      </c>
      <c r="B35" s="32">
        <v>10791.95</v>
      </c>
      <c r="C35" s="12">
        <f t="shared" si="0"/>
        <v>10.79195</v>
      </c>
      <c r="D35" s="12">
        <f t="shared" si="1"/>
        <v>0.75219891500000002</v>
      </c>
      <c r="E35" s="12">
        <f t="shared" si="2"/>
        <v>3.3580308705357144E-2</v>
      </c>
      <c r="F35" s="12">
        <f>E35/Calculation!K$4*1000</f>
        <v>2.2704738813628902E-2</v>
      </c>
      <c r="G35" s="12">
        <f t="shared" si="3"/>
        <v>11.209366233066504</v>
      </c>
    </row>
    <row r="36" spans="1:7">
      <c r="A36" s="12">
        <v>15.5</v>
      </c>
      <c r="B36" s="32">
        <v>10700.32</v>
      </c>
      <c r="C36" s="12">
        <f t="shared" si="0"/>
        <v>10.70032</v>
      </c>
      <c r="D36" s="12">
        <f t="shared" si="1"/>
        <v>0.74581230399999998</v>
      </c>
      <c r="E36" s="12">
        <f t="shared" si="2"/>
        <v>3.3295192142857144E-2</v>
      </c>
      <c r="F36" s="12">
        <f>E36/Calculation!K$4*1000</f>
        <v>2.251196223316913E-2</v>
      </c>
      <c r="G36" s="12">
        <f t="shared" si="3"/>
        <v>11.887616748768474</v>
      </c>
    </row>
    <row r="37" spans="1:7">
      <c r="A37" s="12">
        <v>16</v>
      </c>
      <c r="B37" s="32">
        <v>12091.06</v>
      </c>
      <c r="C37" s="12">
        <f t="shared" si="0"/>
        <v>12.091059999999999</v>
      </c>
      <c r="D37" s="12">
        <f t="shared" si="1"/>
        <v>0.84274688199999992</v>
      </c>
      <c r="E37" s="12">
        <f t="shared" si="2"/>
        <v>3.7622628660714287E-2</v>
      </c>
      <c r="F37" s="12">
        <f>E37/Calculation!K$4*1000</f>
        <v>2.5437882799671595E-2</v>
      </c>
      <c r="G37" s="12">
        <f t="shared" si="3"/>
        <v>12.606864424261085</v>
      </c>
    </row>
    <row r="38" spans="1:7">
      <c r="A38" s="12">
        <v>16.5</v>
      </c>
      <c r="B38" s="32">
        <v>10842.94</v>
      </c>
      <c r="C38" s="12">
        <f t="shared" si="0"/>
        <v>10.84294</v>
      </c>
      <c r="D38" s="12">
        <f t="shared" si="1"/>
        <v>0.75575291800000011</v>
      </c>
      <c r="E38" s="12">
        <f t="shared" si="2"/>
        <v>3.3738969553571432E-2</v>
      </c>
      <c r="F38" s="12">
        <f>E38/Calculation!K$4*1000</f>
        <v>2.281201457307061E-2</v>
      </c>
      <c r="G38" s="12">
        <f t="shared" si="3"/>
        <v>13.330612884852219</v>
      </c>
    </row>
    <row r="39" spans="1:7">
      <c r="A39" s="12">
        <v>17</v>
      </c>
      <c r="B39" s="32">
        <v>10991.47</v>
      </c>
      <c r="C39" s="12">
        <f t="shared" si="0"/>
        <v>10.99147</v>
      </c>
      <c r="D39" s="12">
        <f t="shared" si="1"/>
        <v>0.76610545900000004</v>
      </c>
      <c r="E39" s="12">
        <f t="shared" si="2"/>
        <v>3.4201136562500005E-2</v>
      </c>
      <c r="F39" s="12">
        <f>E39/Calculation!K$4*1000</f>
        <v>2.3124500718390808E-2</v>
      </c>
      <c r="G39" s="12">
        <f t="shared" si="3"/>
        <v>14.01966061422414</v>
      </c>
    </row>
    <row r="40" spans="1:7">
      <c r="A40" s="12">
        <v>17.5</v>
      </c>
      <c r="B40" s="32">
        <v>10389.950000000001</v>
      </c>
      <c r="C40" s="12">
        <f t="shared" si="0"/>
        <v>10.389950000000001</v>
      </c>
      <c r="D40" s="12">
        <f t="shared" si="1"/>
        <v>0.724179515</v>
      </c>
      <c r="E40" s="12">
        <f t="shared" si="2"/>
        <v>3.2329442633928576E-2</v>
      </c>
      <c r="F40" s="12">
        <f>E40/Calculation!K$4*1000</f>
        <v>2.1858987582101811E-2</v>
      </c>
      <c r="G40" s="12">
        <f t="shared" si="3"/>
        <v>14.69441293873153</v>
      </c>
    </row>
    <row r="41" spans="1:7">
      <c r="A41" s="12">
        <v>18</v>
      </c>
      <c r="B41" s="32">
        <v>10331.57</v>
      </c>
      <c r="C41" s="12">
        <f t="shared" si="0"/>
        <v>10.331569999999999</v>
      </c>
      <c r="D41" s="12">
        <f t="shared" si="1"/>
        <v>0.720110429</v>
      </c>
      <c r="E41" s="12">
        <f t="shared" si="2"/>
        <v>3.214778700892857E-2</v>
      </c>
      <c r="F41" s="12">
        <f>E41/Calculation!K$4*1000</f>
        <v>2.1736164306239737E-2</v>
      </c>
      <c r="G41" s="12">
        <f t="shared" si="3"/>
        <v>15.348340217056652</v>
      </c>
    </row>
    <row r="42" spans="1:7">
      <c r="A42" s="12">
        <v>18.5</v>
      </c>
      <c r="B42" s="32">
        <v>9101.92</v>
      </c>
      <c r="C42" s="12">
        <f t="shared" si="0"/>
        <v>9.1019199999999998</v>
      </c>
      <c r="D42" s="12">
        <f t="shared" si="1"/>
        <v>0.63440382399999995</v>
      </c>
      <c r="E42" s="12">
        <f t="shared" si="2"/>
        <v>2.8321599285714285E-2</v>
      </c>
      <c r="F42" s="12">
        <f>E42/Calculation!K$4*1000</f>
        <v>1.914915435139573E-2</v>
      </c>
      <c r="G42" s="12">
        <f t="shared" si="3"/>
        <v>15.961619996921184</v>
      </c>
    </row>
    <row r="43" spans="1:7">
      <c r="A43" s="12">
        <v>19</v>
      </c>
      <c r="B43" s="32">
        <v>9466.9699999999993</v>
      </c>
      <c r="C43" s="12">
        <f t="shared" si="0"/>
        <v>9.4669699999999999</v>
      </c>
      <c r="D43" s="12">
        <f t="shared" si="1"/>
        <v>0.65984780900000006</v>
      </c>
      <c r="E43" s="12">
        <f t="shared" si="2"/>
        <v>2.945749147321429E-2</v>
      </c>
      <c r="F43" s="12">
        <f>E43/Calculation!K$4*1000</f>
        <v>1.9917168000821019E-2</v>
      </c>
      <c r="G43" s="12">
        <f t="shared" si="3"/>
        <v>16.547614832204435</v>
      </c>
    </row>
    <row r="44" spans="1:7">
      <c r="A44" s="12">
        <v>19.5</v>
      </c>
      <c r="B44" s="32">
        <v>8294.9599999999991</v>
      </c>
      <c r="C44" s="12">
        <f t="shared" si="0"/>
        <v>8.2949599999999997</v>
      </c>
      <c r="D44" s="12">
        <f t="shared" si="1"/>
        <v>0.57815871200000002</v>
      </c>
      <c r="E44" s="12">
        <f t="shared" si="2"/>
        <v>2.5810656785714287E-2</v>
      </c>
      <c r="F44" s="12">
        <f>E44/Calculation!K$4*1000</f>
        <v>1.745142446633826E-2</v>
      </c>
      <c r="G44" s="12">
        <f t="shared" si="3"/>
        <v>17.108143719211824</v>
      </c>
    </row>
    <row r="45" spans="1:7">
      <c r="A45" s="12">
        <v>20</v>
      </c>
      <c r="B45" s="32">
        <v>8087.31</v>
      </c>
      <c r="C45" s="12">
        <f t="shared" si="0"/>
        <v>8.0873100000000004</v>
      </c>
      <c r="D45" s="12">
        <f t="shared" si="1"/>
        <v>0.56368550700000009</v>
      </c>
      <c r="E45" s="12">
        <f t="shared" si="2"/>
        <v>2.5164531562500005E-2</v>
      </c>
      <c r="F45" s="12">
        <f>E45/Calculation!K$4*1000</f>
        <v>1.7014558189655176E-2</v>
      </c>
      <c r="G45" s="12">
        <f t="shared" si="3"/>
        <v>17.625133459051725</v>
      </c>
    </row>
    <row r="46" spans="1:7">
      <c r="A46" s="12">
        <v>20.5</v>
      </c>
      <c r="B46" s="32">
        <v>10384.040000000001</v>
      </c>
      <c r="C46" s="12">
        <f t="shared" si="0"/>
        <v>10.384040000000001</v>
      </c>
      <c r="D46" s="12">
        <f t="shared" si="1"/>
        <v>0.72376758800000007</v>
      </c>
      <c r="E46" s="12">
        <f t="shared" si="2"/>
        <v>3.2311053035714292E-2</v>
      </c>
      <c r="F46" s="12">
        <f>E46/Calculation!K$4*1000</f>
        <v>2.1846553776683091E-2</v>
      </c>
      <c r="G46" s="12">
        <f t="shared" si="3"/>
        <v>18.208050138546799</v>
      </c>
    </row>
    <row r="47" spans="1:7">
      <c r="A47" s="12">
        <v>21</v>
      </c>
      <c r="B47" s="32">
        <v>8568.3799999999992</v>
      </c>
      <c r="C47" s="12">
        <f t="shared" si="0"/>
        <v>8.5683799999999994</v>
      </c>
      <c r="D47" s="12">
        <f t="shared" si="1"/>
        <v>0.59721608599999998</v>
      </c>
      <c r="E47" s="12">
        <f t="shared" si="2"/>
        <v>2.6661432410714288E-2</v>
      </c>
      <c r="F47" s="12">
        <f>E47/Calculation!K$4*1000</f>
        <v>1.8026661535303776E-2</v>
      </c>
      <c r="G47" s="12">
        <f t="shared" si="3"/>
        <v>18.806148368226602</v>
      </c>
    </row>
    <row r="48" spans="1:7">
      <c r="A48" s="12">
        <v>21.5</v>
      </c>
      <c r="B48" s="32">
        <v>7789.5</v>
      </c>
      <c r="C48" s="12">
        <f t="shared" si="0"/>
        <v>7.7895000000000003</v>
      </c>
      <c r="D48" s="12">
        <f t="shared" si="1"/>
        <v>0.54292815000000005</v>
      </c>
      <c r="E48" s="12">
        <f t="shared" si="2"/>
        <v>2.4237863839285719E-2</v>
      </c>
      <c r="F48" s="12">
        <f>E48/Calculation!K$4*1000</f>
        <v>1.6388008004926111E-2</v>
      </c>
      <c r="G48" s="12">
        <f t="shared" si="3"/>
        <v>19.32236841133005</v>
      </c>
    </row>
    <row r="49" spans="1:7">
      <c r="A49" s="12">
        <v>22</v>
      </c>
      <c r="B49" s="32">
        <v>7978.68</v>
      </c>
      <c r="C49" s="12">
        <f t="shared" si="0"/>
        <v>7.9786800000000007</v>
      </c>
      <c r="D49" s="12">
        <f t="shared" si="1"/>
        <v>0.556113996</v>
      </c>
      <c r="E49" s="12">
        <f t="shared" si="2"/>
        <v>2.4826517678571431E-2</v>
      </c>
      <c r="F49" s="12">
        <f>E49/Calculation!K$4*1000</f>
        <v>1.6786016009852217E-2</v>
      </c>
      <c r="G49" s="12">
        <f t="shared" si="3"/>
        <v>19.819978771551725</v>
      </c>
    </row>
    <row r="50" spans="1:7">
      <c r="A50" s="12">
        <v>22.5</v>
      </c>
      <c r="B50" s="32">
        <v>7587.03</v>
      </c>
      <c r="C50" s="12">
        <f t="shared" si="0"/>
        <v>7.5870299999999995</v>
      </c>
      <c r="D50" s="12">
        <f t="shared" si="1"/>
        <v>0.52881599099999999</v>
      </c>
      <c r="E50" s="12">
        <f t="shared" si="2"/>
        <v>2.360785674107143E-2</v>
      </c>
      <c r="F50" s="12">
        <f>E50/Calculation!K$4*1000</f>
        <v>1.5962039716748772E-2</v>
      </c>
      <c r="G50" s="12">
        <f t="shared" si="3"/>
        <v>20.311199607450739</v>
      </c>
    </row>
    <row r="51" spans="1:7">
      <c r="A51" s="12">
        <v>23</v>
      </c>
      <c r="B51" s="32">
        <v>7012.84</v>
      </c>
      <c r="C51" s="12">
        <f t="shared" si="0"/>
        <v>7.0128399999999997</v>
      </c>
      <c r="D51" s="12">
        <f t="shared" si="1"/>
        <v>0.48879494799999995</v>
      </c>
      <c r="E51" s="12">
        <f t="shared" si="2"/>
        <v>2.1821203035714287E-2</v>
      </c>
      <c r="F51" s="12">
        <f>E51/Calculation!K$4*1000</f>
        <v>1.4754025041050904E-2</v>
      </c>
      <c r="G51" s="12">
        <f t="shared" si="3"/>
        <v>20.771940578817734</v>
      </c>
    </row>
    <row r="52" spans="1:7">
      <c r="A52" s="12">
        <v>23.5</v>
      </c>
      <c r="B52" s="32">
        <v>7133.3</v>
      </c>
      <c r="C52" s="12">
        <f t="shared" si="0"/>
        <v>7.1333000000000002</v>
      </c>
      <c r="D52" s="12">
        <f t="shared" si="1"/>
        <v>0.49719101000000004</v>
      </c>
      <c r="E52" s="12">
        <f t="shared" si="2"/>
        <v>2.2196027232142861E-2</v>
      </c>
      <c r="F52" s="12">
        <f>E52/Calculation!K$4*1000</f>
        <v>1.5007455870279148E-2</v>
      </c>
      <c r="G52" s="12">
        <f t="shared" si="3"/>
        <v>21.218362792487685</v>
      </c>
    </row>
    <row r="53" spans="1:7">
      <c r="A53" s="12">
        <v>24</v>
      </c>
      <c r="B53" s="32">
        <v>6876.13</v>
      </c>
      <c r="C53" s="12">
        <f t="shared" si="0"/>
        <v>6.8761299999999999</v>
      </c>
      <c r="D53" s="12">
        <f t="shared" si="1"/>
        <v>0.47926626100000003</v>
      </c>
      <c r="E53" s="12">
        <f t="shared" si="2"/>
        <v>2.1395815223214289E-2</v>
      </c>
      <c r="F53" s="12">
        <f>E53/Calculation!K$4*1000</f>
        <v>1.4466406506568146E-2</v>
      </c>
      <c r="G53" s="12">
        <f t="shared" si="3"/>
        <v>21.660470728140396</v>
      </c>
    </row>
    <row r="54" spans="1:7">
      <c r="A54" s="12">
        <v>24.5</v>
      </c>
      <c r="B54" s="32">
        <v>6932.3</v>
      </c>
      <c r="C54" s="12">
        <f t="shared" si="0"/>
        <v>6.9323000000000006</v>
      </c>
      <c r="D54" s="12">
        <f t="shared" si="1"/>
        <v>0.48318131000000009</v>
      </c>
      <c r="E54" s="12">
        <f t="shared" si="2"/>
        <v>2.1570594196428577E-2</v>
      </c>
      <c r="F54" s="12">
        <f>E54/Calculation!K$4*1000</f>
        <v>1.4584580254515603E-2</v>
      </c>
      <c r="G54" s="12">
        <f t="shared" si="3"/>
        <v>22.096235529556651</v>
      </c>
    </row>
    <row r="55" spans="1:7">
      <c r="A55" s="12">
        <v>25</v>
      </c>
      <c r="B55" s="32">
        <v>6066.22</v>
      </c>
      <c r="C55" s="12">
        <f t="shared" si="0"/>
        <v>6.0662200000000004</v>
      </c>
      <c r="D55" s="12">
        <f t="shared" si="1"/>
        <v>0.42281553400000005</v>
      </c>
      <c r="E55" s="12">
        <f t="shared" si="2"/>
        <v>1.8875693482142859E-2</v>
      </c>
      <c r="F55" s="12">
        <f>E55/Calculation!K$4*1000</f>
        <v>1.2762470238095239E-2</v>
      </c>
      <c r="G55" s="12">
        <f t="shared" si="3"/>
        <v>22.506441286945815</v>
      </c>
    </row>
    <row r="56" spans="1:7">
      <c r="A56" s="12">
        <v>25.5</v>
      </c>
      <c r="B56" s="32">
        <v>6103.91</v>
      </c>
      <c r="C56" s="12">
        <f t="shared" si="0"/>
        <v>6.1039099999999999</v>
      </c>
      <c r="D56" s="12">
        <f t="shared" si="1"/>
        <v>0.42544252700000001</v>
      </c>
      <c r="E56" s="12">
        <f t="shared" si="2"/>
        <v>1.8992969955357146E-2</v>
      </c>
      <c r="F56" s="12">
        <f>E56/Calculation!K$4*1000</f>
        <v>1.2841764675697868E-2</v>
      </c>
      <c r="G56" s="12">
        <f t="shared" si="3"/>
        <v>22.890504810652711</v>
      </c>
    </row>
    <row r="57" spans="1:7">
      <c r="A57" s="12">
        <v>26</v>
      </c>
      <c r="B57" s="32">
        <v>6526.6</v>
      </c>
      <c r="C57" s="12">
        <f t="shared" si="0"/>
        <v>6.5266000000000002</v>
      </c>
      <c r="D57" s="12">
        <f t="shared" si="1"/>
        <v>0.45490402000000008</v>
      </c>
      <c r="E57" s="12">
        <f t="shared" si="2"/>
        <v>2.0308215178571433E-2</v>
      </c>
      <c r="F57" s="12">
        <f>E57/Calculation!K$4*1000</f>
        <v>1.3731044745484403E-2</v>
      </c>
      <c r="G57" s="12">
        <f t="shared" si="3"/>
        <v>23.289096951970446</v>
      </c>
    </row>
    <row r="58" spans="1:7">
      <c r="A58" s="12">
        <v>26.5</v>
      </c>
      <c r="B58" s="32">
        <v>5942.07</v>
      </c>
      <c r="C58" s="12">
        <f t="shared" si="0"/>
        <v>5.9420699999999993</v>
      </c>
      <c r="D58" s="12">
        <f t="shared" si="1"/>
        <v>0.41416227899999997</v>
      </c>
      <c r="E58" s="12">
        <f t="shared" si="2"/>
        <v>1.8489387455357144E-2</v>
      </c>
      <c r="F58" s="12">
        <f>E58/Calculation!K$4*1000</f>
        <v>1.250127616995074E-2</v>
      </c>
      <c r="G58" s="12">
        <f t="shared" si="3"/>
        <v>23.682581765701972</v>
      </c>
    </row>
    <row r="59" spans="1:7">
      <c r="A59" s="12">
        <v>27</v>
      </c>
      <c r="B59" s="32">
        <v>6099.48</v>
      </c>
      <c r="C59" s="12">
        <f t="shared" si="0"/>
        <v>6.0994799999999998</v>
      </c>
      <c r="D59" s="12">
        <f t="shared" si="1"/>
        <v>0.42513375600000003</v>
      </c>
      <c r="E59" s="12">
        <f t="shared" si="2"/>
        <v>1.8979185535714288E-2</v>
      </c>
      <c r="F59" s="12">
        <f>E59/Calculation!K$4*1000</f>
        <v>1.2832444581280789E-2</v>
      </c>
      <c r="G59" s="12">
        <f t="shared" si="3"/>
        <v>24.062587576970444</v>
      </c>
    </row>
    <row r="60" spans="1:7">
      <c r="A60" s="12">
        <v>27.5</v>
      </c>
      <c r="B60" s="32">
        <v>6005.63</v>
      </c>
      <c r="C60" s="12">
        <f t="shared" si="0"/>
        <v>6.00563</v>
      </c>
      <c r="D60" s="12">
        <f t="shared" si="1"/>
        <v>0.418592411</v>
      </c>
      <c r="E60" s="12">
        <f t="shared" si="2"/>
        <v>1.8687161205357145E-2</v>
      </c>
      <c r="F60" s="12">
        <f>E60/Calculation!K$4*1000</f>
        <v>1.2634997434318557E-2</v>
      </c>
      <c r="G60" s="12">
        <f t="shared" si="3"/>
        <v>24.444599207204433</v>
      </c>
    </row>
    <row r="61" spans="1:7">
      <c r="A61" s="12">
        <v>28</v>
      </c>
      <c r="B61" s="32">
        <v>5860.05</v>
      </c>
      <c r="C61" s="12">
        <f t="shared" si="0"/>
        <v>5.8600500000000002</v>
      </c>
      <c r="D61" s="12">
        <f t="shared" si="1"/>
        <v>0.40844548500000005</v>
      </c>
      <c r="E61" s="12">
        <f t="shared" si="2"/>
        <v>1.8234173437500004E-2</v>
      </c>
      <c r="F61" s="12">
        <f>E61/Calculation!K$4*1000</f>
        <v>1.2328717672413796E-2</v>
      </c>
      <c r="G61" s="12">
        <f t="shared" si="3"/>
        <v>24.819054933805418</v>
      </c>
    </row>
    <row r="62" spans="1:7">
      <c r="A62" s="12">
        <v>28.5</v>
      </c>
      <c r="B62" s="32">
        <v>6182.98</v>
      </c>
      <c r="C62" s="12">
        <f t="shared" si="0"/>
        <v>6.1829799999999997</v>
      </c>
      <c r="D62" s="12">
        <f t="shared" si="1"/>
        <v>0.43095370599999999</v>
      </c>
      <c r="E62" s="12">
        <f t="shared" si="2"/>
        <v>1.9239004732142857E-2</v>
      </c>
      <c r="F62" s="12">
        <f>E62/Calculation!K$4*1000</f>
        <v>1.3008116789819375E-2</v>
      </c>
      <c r="G62" s="12">
        <f t="shared" si="3"/>
        <v>25.199107450738914</v>
      </c>
    </row>
    <row r="63" spans="1:7">
      <c r="A63" s="12">
        <v>29</v>
      </c>
      <c r="B63" s="32">
        <v>5621.36</v>
      </c>
      <c r="C63" s="12">
        <f t="shared" si="0"/>
        <v>5.6213599999999992</v>
      </c>
      <c r="D63" s="12">
        <f t="shared" si="1"/>
        <v>0.39180879199999996</v>
      </c>
      <c r="E63" s="12">
        <f t="shared" si="2"/>
        <v>1.7491463928571427E-2</v>
      </c>
      <c r="F63" s="12">
        <f>E63/Calculation!K$4*1000</f>
        <v>1.1826547619047617E-2</v>
      </c>
      <c r="G63" s="12">
        <f t="shared" si="3"/>
        <v>25.57162741687192</v>
      </c>
    </row>
    <row r="64" spans="1:7">
      <c r="A64" s="12">
        <v>29.5</v>
      </c>
      <c r="B64" s="32">
        <v>5902.91</v>
      </c>
      <c r="C64" s="12">
        <f t="shared" si="0"/>
        <v>5.9029099999999994</v>
      </c>
      <c r="D64" s="12">
        <f t="shared" si="1"/>
        <v>0.41143282699999995</v>
      </c>
      <c r="E64" s="12">
        <f t="shared" si="2"/>
        <v>1.8367536919642855E-2</v>
      </c>
      <c r="F64" s="12">
        <f>E64/Calculation!K$4*1000</f>
        <v>1.2418889059934317E-2</v>
      </c>
      <c r="G64" s="12">
        <f t="shared" si="3"/>
        <v>25.935308967056649</v>
      </c>
    </row>
    <row r="65" spans="1:7">
      <c r="A65" s="12">
        <v>30</v>
      </c>
      <c r="B65" s="32">
        <v>5698.95</v>
      </c>
      <c r="C65" s="12">
        <f t="shared" si="0"/>
        <v>5.69895</v>
      </c>
      <c r="D65" s="12">
        <f t="shared" si="1"/>
        <v>0.39721681500000006</v>
      </c>
      <c r="E65" s="12">
        <f t="shared" si="2"/>
        <v>1.7732893526785719E-2</v>
      </c>
      <c r="F65" s="12">
        <f>E65/Calculation!K$4*1000</f>
        <v>1.1989786022167491E-2</v>
      </c>
      <c r="G65" s="12">
        <f t="shared" si="3"/>
        <v>26.301439093288177</v>
      </c>
    </row>
    <row r="66" spans="1:7">
      <c r="A66" s="12">
        <v>30.5</v>
      </c>
      <c r="B66" s="32">
        <v>5170.59</v>
      </c>
      <c r="C66" s="12">
        <f t="shared" si="0"/>
        <v>5.1705899999999998</v>
      </c>
      <c r="D66" s="12">
        <f t="shared" si="1"/>
        <v>0.36039012300000001</v>
      </c>
      <c r="E66" s="12">
        <f t="shared" si="2"/>
        <v>1.6088844776785717E-2</v>
      </c>
      <c r="F66" s="12">
        <f>E66/Calculation!K$4*1000</f>
        <v>1.0878191194581284E-2</v>
      </c>
      <c r="G66" s="12">
        <f t="shared" si="3"/>
        <v>26.64445875153941</v>
      </c>
    </row>
    <row r="67" spans="1:7">
      <c r="A67" s="12">
        <v>31</v>
      </c>
      <c r="B67" s="32">
        <v>5540.81</v>
      </c>
      <c r="C67" s="12">
        <f t="shared" si="0"/>
        <v>5.5408100000000005</v>
      </c>
      <c r="D67" s="12">
        <f t="shared" si="1"/>
        <v>0.38619445700000005</v>
      </c>
      <c r="E67" s="12">
        <f t="shared" si="2"/>
        <v>1.7240823973214289E-2</v>
      </c>
      <c r="F67" s="12">
        <f>E67/Calculation!K$4*1000</f>
        <v>1.1657081793924468E-2</v>
      </c>
      <c r="G67" s="12">
        <f t="shared" si="3"/>
        <v>26.982487846366997</v>
      </c>
    </row>
    <row r="68" spans="1:7">
      <c r="A68" s="12">
        <v>31.5</v>
      </c>
      <c r="B68" s="32">
        <v>5326.51</v>
      </c>
      <c r="C68" s="12">
        <f t="shared" si="0"/>
        <v>5.3265099999999999</v>
      </c>
      <c r="D68" s="12">
        <f t="shared" si="1"/>
        <v>0.37125774699999997</v>
      </c>
      <c r="E68" s="12">
        <f t="shared" si="2"/>
        <v>1.65740065625E-2</v>
      </c>
      <c r="F68" s="12">
        <f>E68/Calculation!K$4*1000</f>
        <v>1.1206224856321839E-2</v>
      </c>
      <c r="G68" s="12">
        <f t="shared" si="3"/>
        <v>27.325437446120691</v>
      </c>
    </row>
    <row r="69" spans="1:7">
      <c r="A69" s="12">
        <v>32</v>
      </c>
      <c r="B69" s="32">
        <v>5612.49</v>
      </c>
      <c r="C69" s="12">
        <f t="shared" si="0"/>
        <v>5.6124900000000002</v>
      </c>
      <c r="D69" s="12">
        <f t="shared" si="1"/>
        <v>0.39119055300000005</v>
      </c>
      <c r="E69" s="12">
        <f t="shared" si="2"/>
        <v>1.746386397321429E-2</v>
      </c>
      <c r="F69" s="12">
        <f>E69/Calculation!K$4*1000</f>
        <v>1.1807886391625617E-2</v>
      </c>
      <c r="G69" s="12">
        <f t="shared" si="3"/>
        <v>27.670649114839904</v>
      </c>
    </row>
    <row r="70" spans="1:7">
      <c r="A70" s="12">
        <v>32.5</v>
      </c>
      <c r="B70" s="32">
        <v>5310.25</v>
      </c>
      <c r="C70" s="12">
        <f t="shared" ref="C70:C101" si="4">B70/1000</f>
        <v>5.3102499999999999</v>
      </c>
      <c r="D70" s="12">
        <f t="shared" ref="D70:D101" si="5">C70/1000*$B$1</f>
        <v>0.37012442499999998</v>
      </c>
      <c r="E70" s="12">
        <f t="shared" ref="E70:E101" si="6">D70/22.4</f>
        <v>1.6523411830357142E-2</v>
      </c>
      <c r="F70" s="12">
        <f>E70/Calculation!K$4*1000</f>
        <v>1.1172016112479475E-2</v>
      </c>
      <c r="G70" s="12">
        <f t="shared" si="3"/>
        <v>28.015347652401481</v>
      </c>
    </row>
    <row r="71" spans="1:7">
      <c r="A71" s="12">
        <v>33</v>
      </c>
      <c r="B71" s="32">
        <v>5639.83</v>
      </c>
      <c r="C71" s="12">
        <f t="shared" si="4"/>
        <v>5.6398299999999999</v>
      </c>
      <c r="D71" s="12">
        <f t="shared" si="5"/>
        <v>0.393096151</v>
      </c>
      <c r="E71" s="12">
        <f t="shared" si="6"/>
        <v>1.75489353125E-2</v>
      </c>
      <c r="F71" s="12">
        <f>E71/Calculation!K$4*1000</f>
        <v>1.1865405890804597E-2</v>
      </c>
      <c r="G71" s="12">
        <f t="shared" ref="G71:G101" si="7">G70+(F71+F70)/2*30</f>
        <v>28.360908982450741</v>
      </c>
    </row>
    <row r="72" spans="1:7">
      <c r="A72" s="12">
        <v>33.5</v>
      </c>
      <c r="B72" s="32">
        <v>4665.13</v>
      </c>
      <c r="C72" s="12">
        <f t="shared" si="4"/>
        <v>4.6651300000000004</v>
      </c>
      <c r="D72" s="12">
        <f t="shared" si="5"/>
        <v>0.3251595610000001</v>
      </c>
      <c r="E72" s="12">
        <f t="shared" si="6"/>
        <v>1.4516051830357148E-2</v>
      </c>
      <c r="F72" s="12">
        <f>E72/Calculation!K$4*1000</f>
        <v>9.8147747331691331E-3</v>
      </c>
      <c r="G72" s="12">
        <f t="shared" si="7"/>
        <v>28.686111691810346</v>
      </c>
    </row>
    <row r="73" spans="1:7">
      <c r="A73" s="12">
        <v>34</v>
      </c>
      <c r="B73" s="32">
        <v>5422.58</v>
      </c>
      <c r="C73" s="12">
        <f t="shared" si="4"/>
        <v>5.42258</v>
      </c>
      <c r="D73" s="12">
        <f t="shared" si="5"/>
        <v>0.37795382599999999</v>
      </c>
      <c r="E73" s="12">
        <f t="shared" si="6"/>
        <v>1.6872938660714286E-2</v>
      </c>
      <c r="F73" s="12">
        <f>E73/Calculation!K$4*1000</f>
        <v>1.1408342569786534E-2</v>
      </c>
      <c r="G73" s="12">
        <f t="shared" si="7"/>
        <v>29.004458451354679</v>
      </c>
    </row>
    <row r="74" spans="1:7">
      <c r="A74" s="12">
        <v>34.5</v>
      </c>
      <c r="B74" s="32">
        <v>5313.95</v>
      </c>
      <c r="C74" s="12">
        <f t="shared" si="4"/>
        <v>5.3139500000000002</v>
      </c>
      <c r="D74" s="12">
        <f t="shared" si="5"/>
        <v>0.37038231500000007</v>
      </c>
      <c r="E74" s="12">
        <f t="shared" si="6"/>
        <v>1.6534924776785719E-2</v>
      </c>
      <c r="F74" s="12">
        <f>E74/Calculation!K$4*1000</f>
        <v>1.1179800389983582E-2</v>
      </c>
      <c r="G74" s="12">
        <f t="shared" si="7"/>
        <v>29.343280595751231</v>
      </c>
    </row>
    <row r="75" spans="1:7">
      <c r="A75" s="12">
        <v>35</v>
      </c>
      <c r="B75" s="32">
        <v>4823.2700000000004</v>
      </c>
      <c r="C75" s="12">
        <f t="shared" si="4"/>
        <v>4.8232700000000008</v>
      </c>
      <c r="D75" s="12">
        <f t="shared" si="5"/>
        <v>0.33618191900000011</v>
      </c>
      <c r="E75" s="12">
        <f t="shared" si="6"/>
        <v>1.5008121383928577E-2</v>
      </c>
      <c r="F75" s="12">
        <f>E75/Calculation!K$4*1000</f>
        <v>1.0147478961412154E-2</v>
      </c>
      <c r="G75" s="12">
        <f t="shared" si="7"/>
        <v>29.663189786022169</v>
      </c>
    </row>
    <row r="76" spans="1:7">
      <c r="A76" s="12">
        <v>35.5</v>
      </c>
      <c r="B76" s="32">
        <v>4775.24</v>
      </c>
      <c r="C76" s="12">
        <f t="shared" si="4"/>
        <v>4.7752400000000002</v>
      </c>
      <c r="D76" s="12">
        <f t="shared" si="5"/>
        <v>0.33283422800000001</v>
      </c>
      <c r="E76" s="12">
        <f t="shared" si="6"/>
        <v>1.4858670892857145E-2</v>
      </c>
      <c r="F76" s="12">
        <f>E76/Calculation!K$4*1000</f>
        <v>1.0046430623973729E-2</v>
      </c>
      <c r="G76" s="12">
        <f t="shared" si="7"/>
        <v>29.966098429802958</v>
      </c>
    </row>
    <row r="77" spans="1:7">
      <c r="A77" s="12">
        <v>36</v>
      </c>
      <c r="B77" s="32">
        <v>4993.97</v>
      </c>
      <c r="C77" s="12">
        <f t="shared" si="4"/>
        <v>4.99397</v>
      </c>
      <c r="D77" s="12">
        <f t="shared" si="5"/>
        <v>0.34807970900000001</v>
      </c>
      <c r="E77" s="12">
        <f t="shared" si="6"/>
        <v>1.5539272723214287E-2</v>
      </c>
      <c r="F77" s="12">
        <f>E77/Calculation!K$4*1000</f>
        <v>1.0506607655993433E-2</v>
      </c>
      <c r="G77" s="12">
        <f t="shared" si="7"/>
        <v>30.274394004002467</v>
      </c>
    </row>
    <row r="78" spans="1:7">
      <c r="A78" s="12">
        <v>36.5</v>
      </c>
      <c r="B78" s="32">
        <v>4082.08</v>
      </c>
      <c r="C78" s="12">
        <f t="shared" si="4"/>
        <v>4.0820799999999995</v>
      </c>
      <c r="D78" s="12">
        <f t="shared" si="5"/>
        <v>0.28452097599999998</v>
      </c>
      <c r="E78" s="12">
        <f t="shared" si="6"/>
        <v>1.2701829285714285E-2</v>
      </c>
      <c r="F78" s="12">
        <f>E78/Calculation!K$4*1000</f>
        <v>8.5881198686371084E-3</v>
      </c>
      <c r="G78" s="12">
        <f t="shared" si="7"/>
        <v>30.560814916871927</v>
      </c>
    </row>
    <row r="79" spans="1:7">
      <c r="A79" s="12">
        <v>37</v>
      </c>
      <c r="B79" s="32">
        <v>4907.51</v>
      </c>
      <c r="C79" s="12">
        <f t="shared" si="4"/>
        <v>4.9075100000000003</v>
      </c>
      <c r="D79" s="12">
        <f t="shared" si="5"/>
        <v>0.34205344700000001</v>
      </c>
      <c r="E79" s="12">
        <f t="shared" si="6"/>
        <v>1.5270243169642858E-2</v>
      </c>
      <c r="F79" s="12">
        <f>E79/Calculation!K$4*1000</f>
        <v>1.0324708025451561E-2</v>
      </c>
      <c r="G79" s="12">
        <f t="shared" si="7"/>
        <v>30.844507335283257</v>
      </c>
    </row>
    <row r="80" spans="1:7">
      <c r="A80" s="12">
        <v>37.5</v>
      </c>
      <c r="B80" s="32">
        <v>4317.07</v>
      </c>
      <c r="C80" s="12">
        <f t="shared" si="4"/>
        <v>4.3170699999999993</v>
      </c>
      <c r="D80" s="12">
        <f t="shared" si="5"/>
        <v>0.30089977899999998</v>
      </c>
      <c r="E80" s="12">
        <f t="shared" si="6"/>
        <v>1.3433025848214285E-2</v>
      </c>
      <c r="F80" s="12">
        <f>E80/Calculation!K$4*1000</f>
        <v>9.0825056444991791E-3</v>
      </c>
      <c r="G80" s="12">
        <f t="shared" si="7"/>
        <v>31.13561554033252</v>
      </c>
    </row>
    <row r="81" spans="1:7">
      <c r="A81" s="12">
        <v>38</v>
      </c>
      <c r="B81" s="32">
        <v>4591.2299999999996</v>
      </c>
      <c r="C81" s="12">
        <f t="shared" si="4"/>
        <v>4.5912299999999995</v>
      </c>
      <c r="D81" s="12">
        <f t="shared" si="5"/>
        <v>0.32000873099999994</v>
      </c>
      <c r="E81" s="12">
        <f t="shared" si="6"/>
        <v>1.4286104062499997E-2</v>
      </c>
      <c r="F81" s="12">
        <f>E81/Calculation!K$4*1000</f>
        <v>9.659299568965515E-3</v>
      </c>
      <c r="G81" s="12">
        <f t="shared" si="7"/>
        <v>31.416742618534489</v>
      </c>
    </row>
    <row r="82" spans="1:7">
      <c r="A82" s="12">
        <v>38.5</v>
      </c>
      <c r="B82" s="32">
        <v>3901.77</v>
      </c>
      <c r="C82" s="12">
        <f t="shared" si="4"/>
        <v>3.90177</v>
      </c>
      <c r="D82" s="12">
        <f t="shared" si="5"/>
        <v>0.271953369</v>
      </c>
      <c r="E82" s="12">
        <f t="shared" si="6"/>
        <v>1.2140775401785715E-2</v>
      </c>
      <c r="F82" s="12">
        <f>E82/Calculation!K$4*1000</f>
        <v>8.2087730911330065E-3</v>
      </c>
      <c r="G82" s="12">
        <f t="shared" si="7"/>
        <v>31.684763708435966</v>
      </c>
    </row>
    <row r="83" spans="1:7">
      <c r="A83" s="12">
        <v>39</v>
      </c>
      <c r="B83" s="32">
        <v>4370.28</v>
      </c>
      <c r="C83" s="12">
        <f t="shared" si="4"/>
        <v>4.3702800000000002</v>
      </c>
      <c r="D83" s="12">
        <f t="shared" si="5"/>
        <v>0.304608516</v>
      </c>
      <c r="E83" s="12">
        <f t="shared" si="6"/>
        <v>1.3598594464285714E-2</v>
      </c>
      <c r="F83" s="12">
        <f>E83/Calculation!K$4*1000</f>
        <v>9.19445197044335E-3</v>
      </c>
      <c r="G83" s="12">
        <f t="shared" si="7"/>
        <v>31.945812084359613</v>
      </c>
    </row>
    <row r="84" spans="1:7">
      <c r="A84" s="12">
        <v>39.5</v>
      </c>
      <c r="B84" s="32">
        <v>4230.6099999999997</v>
      </c>
      <c r="C84" s="12">
        <f t="shared" si="4"/>
        <v>4.2306099999999995</v>
      </c>
      <c r="D84" s="12">
        <f t="shared" si="5"/>
        <v>0.29487351699999997</v>
      </c>
      <c r="E84" s="12">
        <f t="shared" si="6"/>
        <v>1.3163996294642856E-2</v>
      </c>
      <c r="F84" s="12">
        <f>E84/Calculation!K$4*1000</f>
        <v>8.9006060139573059E-3</v>
      </c>
      <c r="G84" s="12">
        <f t="shared" si="7"/>
        <v>32.217237954125622</v>
      </c>
    </row>
    <row r="85" spans="1:7">
      <c r="A85" s="12">
        <v>40</v>
      </c>
      <c r="B85" s="32">
        <v>4280.87</v>
      </c>
      <c r="C85" s="12">
        <f t="shared" si="4"/>
        <v>4.2808700000000002</v>
      </c>
      <c r="D85" s="12">
        <f t="shared" si="5"/>
        <v>0.298376639</v>
      </c>
      <c r="E85" s="12">
        <f t="shared" si="6"/>
        <v>1.3320385669642857E-2</v>
      </c>
      <c r="F85" s="12">
        <f>E85/Calculation!K$4*1000</f>
        <v>9.0063459564860438E-3</v>
      </c>
      <c r="G85" s="12">
        <f t="shared" si="7"/>
        <v>32.48584223368227</v>
      </c>
    </row>
    <row r="86" spans="1:7">
      <c r="A86" s="12">
        <v>40.5</v>
      </c>
      <c r="B86" s="32">
        <v>4031.83</v>
      </c>
      <c r="C86" s="12">
        <f t="shared" si="4"/>
        <v>4.0318300000000002</v>
      </c>
      <c r="D86" s="12">
        <f t="shared" si="5"/>
        <v>0.28101855100000001</v>
      </c>
      <c r="E86" s="12">
        <f t="shared" si="6"/>
        <v>1.2545471026785715E-2</v>
      </c>
      <c r="F86" s="12">
        <f>E86/Calculation!K$4*1000</f>
        <v>8.4824009646962233E-3</v>
      </c>
      <c r="G86" s="12">
        <f t="shared" si="7"/>
        <v>32.748173437500007</v>
      </c>
    </row>
    <row r="87" spans="1:7">
      <c r="A87" s="12">
        <v>41</v>
      </c>
      <c r="B87" s="32">
        <v>4266.82</v>
      </c>
      <c r="C87" s="12">
        <f t="shared" si="4"/>
        <v>4.2668200000000001</v>
      </c>
      <c r="D87" s="12">
        <f t="shared" si="5"/>
        <v>0.297397354</v>
      </c>
      <c r="E87" s="12">
        <f t="shared" si="6"/>
        <v>1.3276667589285715E-2</v>
      </c>
      <c r="F87" s="12">
        <f>E87/Calculation!K$4*1000</f>
        <v>8.9767867405582923E-3</v>
      </c>
      <c r="G87" s="12">
        <f t="shared" si="7"/>
        <v>33.010061253078824</v>
      </c>
    </row>
    <row r="88" spans="1:7">
      <c r="A88" s="12">
        <v>41.5</v>
      </c>
      <c r="B88" s="32">
        <v>3906.95</v>
      </c>
      <c r="C88" s="12">
        <f t="shared" si="4"/>
        <v>3.9069499999999997</v>
      </c>
      <c r="D88" s="12">
        <f t="shared" si="5"/>
        <v>0.27231441499999998</v>
      </c>
      <c r="E88" s="12">
        <f t="shared" si="6"/>
        <v>1.2156893526785714E-2</v>
      </c>
      <c r="F88" s="12">
        <f>E88/Calculation!K$4*1000</f>
        <v>8.2196710796387518E-3</v>
      </c>
      <c r="G88" s="12">
        <f t="shared" si="7"/>
        <v>33.268008120381779</v>
      </c>
    </row>
    <row r="89" spans="1:7">
      <c r="A89" s="12">
        <v>42</v>
      </c>
      <c r="B89" s="32">
        <v>3663.08</v>
      </c>
      <c r="C89" s="12">
        <f t="shared" si="4"/>
        <v>3.6630799999999999</v>
      </c>
      <c r="D89" s="12">
        <f t="shared" si="5"/>
        <v>0.25531667600000002</v>
      </c>
      <c r="E89" s="12">
        <f t="shared" si="6"/>
        <v>1.1398065892857145E-2</v>
      </c>
      <c r="F89" s="12">
        <f>E89/Calculation!K$4*1000</f>
        <v>7.7066030377668324E-3</v>
      </c>
      <c r="G89" s="12">
        <f t="shared" si="7"/>
        <v>33.506902232142863</v>
      </c>
    </row>
    <row r="90" spans="1:7">
      <c r="A90" s="12">
        <v>42.5</v>
      </c>
      <c r="B90" s="32">
        <v>3737.72</v>
      </c>
      <c r="C90" s="12">
        <f t="shared" si="4"/>
        <v>3.7377199999999999</v>
      </c>
      <c r="D90" s="12">
        <f t="shared" si="5"/>
        <v>0.26051908400000001</v>
      </c>
      <c r="E90" s="12">
        <f t="shared" si="6"/>
        <v>1.1630316250000002E-2</v>
      </c>
      <c r="F90" s="12">
        <f>E90/Calculation!K$4*1000</f>
        <v>7.8636350574712646E-3</v>
      </c>
      <c r="G90" s="12">
        <f t="shared" si="7"/>
        <v>33.740455803571436</v>
      </c>
    </row>
    <row r="91" spans="1:7">
      <c r="A91" s="12">
        <v>43</v>
      </c>
      <c r="B91" s="32">
        <v>3408.14</v>
      </c>
      <c r="C91" s="12">
        <f t="shared" si="4"/>
        <v>3.4081399999999999</v>
      </c>
      <c r="D91" s="12">
        <f t="shared" si="5"/>
        <v>0.23754735800000001</v>
      </c>
      <c r="E91" s="12">
        <f t="shared" si="6"/>
        <v>1.0604792767857144E-2</v>
      </c>
      <c r="F91" s="12">
        <f>E91/Calculation!K$4*1000</f>
        <v>7.1702452791461424E-3</v>
      </c>
      <c r="G91" s="12">
        <f t="shared" si="7"/>
        <v>33.965964008620695</v>
      </c>
    </row>
    <row r="92" spans="1:7">
      <c r="A92" s="12">
        <v>43.5</v>
      </c>
      <c r="B92" s="32">
        <v>3267</v>
      </c>
      <c r="C92" s="12">
        <f t="shared" si="4"/>
        <v>3.2669999999999999</v>
      </c>
      <c r="D92" s="12">
        <f t="shared" si="5"/>
        <v>0.22770989999999999</v>
      </c>
      <c r="E92" s="12">
        <f t="shared" si="6"/>
        <v>1.0165620535714286E-2</v>
      </c>
      <c r="F92" s="12">
        <f>E92/Calculation!K$4*1000</f>
        <v>6.8733066502463056E-3</v>
      </c>
      <c r="G92" s="12">
        <f t="shared" si="7"/>
        <v>34.176617287561584</v>
      </c>
    </row>
    <row r="93" spans="1:7">
      <c r="A93" s="12">
        <v>44</v>
      </c>
      <c r="B93" s="32">
        <v>3085.95</v>
      </c>
      <c r="C93" s="12">
        <f t="shared" si="4"/>
        <v>3.08595</v>
      </c>
      <c r="D93" s="12">
        <f t="shared" si="5"/>
        <v>0.21509071500000002</v>
      </c>
      <c r="E93" s="12">
        <f t="shared" si="6"/>
        <v>9.6022640625000009E-3</v>
      </c>
      <c r="F93" s="12">
        <f>E93/Calculation!K$4*1000</f>
        <v>6.4924030172413801E-3</v>
      </c>
      <c r="G93" s="12">
        <f t="shared" si="7"/>
        <v>34.377102932573898</v>
      </c>
    </row>
    <row r="94" spans="1:7">
      <c r="A94" s="12">
        <v>44.5</v>
      </c>
      <c r="B94" s="32">
        <v>2954.41</v>
      </c>
      <c r="C94" s="12">
        <f t="shared" si="4"/>
        <v>2.9544099999999998</v>
      </c>
      <c r="D94" s="12">
        <f t="shared" si="5"/>
        <v>0.20592237699999999</v>
      </c>
      <c r="E94" s="12">
        <f t="shared" si="6"/>
        <v>9.1929632589285715E-3</v>
      </c>
      <c r="F94" s="12">
        <f>E94/Calculation!K$4*1000</f>
        <v>6.2156614326765187E-3</v>
      </c>
      <c r="G94" s="12">
        <f t="shared" si="7"/>
        <v>34.567723899322665</v>
      </c>
    </row>
    <row r="95" spans="1:7">
      <c r="A95" s="12">
        <v>45</v>
      </c>
      <c r="B95" s="32">
        <v>2774.84</v>
      </c>
      <c r="C95" s="12">
        <f t="shared" si="4"/>
        <v>2.7748400000000002</v>
      </c>
      <c r="D95" s="12">
        <f t="shared" si="5"/>
        <v>0.19340634800000003</v>
      </c>
      <c r="E95" s="12">
        <f t="shared" si="6"/>
        <v>8.6342119642857165E-3</v>
      </c>
      <c r="F95" s="12">
        <f>E95/Calculation!K$4*1000</f>
        <v>5.837871510673236E-3</v>
      </c>
      <c r="G95" s="12">
        <f t="shared" si="7"/>
        <v>34.748526893472913</v>
      </c>
    </row>
    <row r="96" spans="1:7">
      <c r="A96" s="12">
        <v>45.5</v>
      </c>
      <c r="B96" s="32">
        <v>2622.61</v>
      </c>
      <c r="C96" s="12">
        <f t="shared" si="4"/>
        <v>2.6226100000000003</v>
      </c>
      <c r="D96" s="12">
        <f t="shared" si="5"/>
        <v>0.18279591700000003</v>
      </c>
      <c r="E96" s="12">
        <f t="shared" si="6"/>
        <v>8.160532008928573E-3</v>
      </c>
      <c r="F96" s="12">
        <f>E96/Calculation!K$4*1000</f>
        <v>5.5176010878489334E-3</v>
      </c>
      <c r="G96" s="12">
        <f t="shared" si="7"/>
        <v>34.918858982450743</v>
      </c>
    </row>
    <row r="97" spans="1:7">
      <c r="A97" s="12">
        <v>46</v>
      </c>
      <c r="B97" s="32">
        <v>2979.54</v>
      </c>
      <c r="C97" s="12">
        <f t="shared" si="4"/>
        <v>2.9795400000000001</v>
      </c>
      <c r="D97" s="12">
        <f t="shared" si="5"/>
        <v>0.20767393800000003</v>
      </c>
      <c r="E97" s="12">
        <f t="shared" si="6"/>
        <v>9.271157946428573E-3</v>
      </c>
      <c r="F97" s="12">
        <f>E97/Calculation!K$4*1000</f>
        <v>6.2685314039408876E-3</v>
      </c>
      <c r="G97" s="12">
        <f t="shared" si="7"/>
        <v>35.095650969827588</v>
      </c>
    </row>
    <row r="98" spans="1:7">
      <c r="A98" s="12">
        <v>46.5</v>
      </c>
      <c r="B98" s="32">
        <v>2336.63</v>
      </c>
      <c r="C98" s="12">
        <f t="shared" si="4"/>
        <v>2.33663</v>
      </c>
      <c r="D98" s="12">
        <f t="shared" si="5"/>
        <v>0.162863111</v>
      </c>
      <c r="E98" s="12">
        <f t="shared" si="6"/>
        <v>7.2706745982142867E-3</v>
      </c>
      <c r="F98" s="12">
        <f>E98/Calculation!K$4*1000</f>
        <v>4.9159395525451566E-3</v>
      </c>
      <c r="G98" s="12">
        <f t="shared" si="7"/>
        <v>35.263418034174876</v>
      </c>
    </row>
    <row r="99" spans="1:7">
      <c r="A99" s="12">
        <v>47</v>
      </c>
      <c r="B99" s="32">
        <v>1946.45</v>
      </c>
      <c r="C99" s="12">
        <f t="shared" si="4"/>
        <v>1.94645</v>
      </c>
      <c r="D99" s="12">
        <f t="shared" si="5"/>
        <v>0.13566756499999999</v>
      </c>
      <c r="E99" s="12">
        <f t="shared" si="6"/>
        <v>6.0565877232142858E-3</v>
      </c>
      <c r="F99" s="12">
        <f>E99/Calculation!K$4*1000</f>
        <v>4.095055931855501E-3</v>
      </c>
      <c r="G99" s="12">
        <f t="shared" si="7"/>
        <v>35.398582966440884</v>
      </c>
    </row>
    <row r="100" spans="1:7">
      <c r="A100" s="12">
        <v>47.5</v>
      </c>
      <c r="B100" s="32">
        <v>1775.01</v>
      </c>
      <c r="C100" s="12">
        <f t="shared" si="4"/>
        <v>1.77501</v>
      </c>
      <c r="D100" s="12">
        <f t="shared" si="5"/>
        <v>0.123718197</v>
      </c>
      <c r="E100" s="12">
        <f t="shared" si="6"/>
        <v>5.523133794642858E-3</v>
      </c>
      <c r="F100" s="12">
        <f>E100/Calculation!K$4*1000</f>
        <v>3.7343703817733997E-3</v>
      </c>
      <c r="G100" s="12">
        <f t="shared" si="7"/>
        <v>35.51602436114532</v>
      </c>
    </row>
    <row r="101" spans="1:7">
      <c r="A101" s="12">
        <v>48</v>
      </c>
      <c r="B101" s="32">
        <v>1619.83</v>
      </c>
      <c r="C101" s="12">
        <f t="shared" si="4"/>
        <v>1.6198299999999999</v>
      </c>
      <c r="D101" s="12">
        <f t="shared" si="5"/>
        <v>0.11290215099999999</v>
      </c>
      <c r="E101" s="12">
        <f t="shared" si="6"/>
        <v>5.0402745982142854E-3</v>
      </c>
      <c r="F101" s="12">
        <f>E101/Calculation!K$4*1000</f>
        <v>3.4078935755336615E-3</v>
      </c>
      <c r="G101" s="12">
        <f t="shared" si="7"/>
        <v>35.623158320504928</v>
      </c>
    </row>
    <row r="102" spans="1:7">
      <c r="B102">
        <v>1341.97</v>
      </c>
    </row>
    <row r="103" spans="1:7">
      <c r="B103">
        <v>1098.8499999999999</v>
      </c>
    </row>
    <row r="104" spans="1:7">
      <c r="B104">
        <v>784.05</v>
      </c>
    </row>
    <row r="105" spans="1:7">
      <c r="B105">
        <v>529.84</v>
      </c>
    </row>
    <row r="106" spans="1:7">
      <c r="B106">
        <v>342.88</v>
      </c>
    </row>
  </sheetData>
  <mergeCells count="3">
    <mergeCell ref="A3:A4"/>
    <mergeCell ref="B3:C3"/>
    <mergeCell ref="D3:F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Charts</vt:lpstr>
      </vt:variant>
      <vt:variant>
        <vt:i4>2</vt:i4>
      </vt:variant>
    </vt:vector>
  </HeadingPairs>
  <TitlesOfParts>
    <vt:vector size="29" baseType="lpstr">
      <vt:lpstr>Fermentation</vt:lpstr>
      <vt:lpstr>Calculation</vt:lpstr>
      <vt:lpstr>Plate Count</vt:lpstr>
      <vt:lpstr>Flow cytometer</vt:lpstr>
      <vt:lpstr>CalibrationB. hydrogenotrophica</vt:lpstr>
      <vt:lpstr>Determination cell count GOOD</vt:lpstr>
      <vt:lpstr>OD600nm</vt:lpstr>
      <vt:lpstr>CDM</vt:lpstr>
      <vt:lpstr>H2</vt:lpstr>
      <vt:lpstr>CO2</vt:lpstr>
      <vt:lpstr>Metabolites</vt:lpstr>
      <vt:lpstr>D-Fructose</vt:lpstr>
      <vt:lpstr>Formic acid</vt:lpstr>
      <vt:lpstr>Acetic acid</vt:lpstr>
      <vt:lpstr>Propionic acid</vt:lpstr>
      <vt:lpstr>Butyric acid</vt:lpstr>
      <vt:lpstr>Lactic acid</vt:lpstr>
      <vt:lpstr>Ethanol</vt:lpstr>
      <vt:lpstr>Results Focus GC</vt:lpstr>
      <vt:lpstr>calibration ethanol</vt:lpstr>
      <vt:lpstr>Calibration acetic acid</vt:lpstr>
      <vt:lpstr>Calibration propionic acid</vt:lpstr>
      <vt:lpstr>Calibration butyric acid</vt:lpstr>
      <vt:lpstr>Calibration isobutyric acid</vt:lpstr>
      <vt:lpstr>Calibration isovaleric acid</vt:lpstr>
      <vt:lpstr>Calibration 2-methylbutyric a</vt:lpstr>
      <vt:lpstr>Carbon recovery</vt:lpstr>
      <vt:lpstr>Graph</vt:lpstr>
      <vt:lpstr>Graph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Lefeber</dc:creator>
  <cp:lastModifiedBy>Kevin D'hoe</cp:lastModifiedBy>
  <cp:lastPrinted>2009-02-16T08:48:51Z</cp:lastPrinted>
  <dcterms:created xsi:type="dcterms:W3CDTF">2009-02-15T16:08:16Z</dcterms:created>
  <dcterms:modified xsi:type="dcterms:W3CDTF">2016-04-13T16:20:29Z</dcterms:modified>
</cp:coreProperties>
</file>