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280" windowHeight="15780" tabRatio="930" firstSheet="7" activeTab="18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 F. prausnitzii" sheetId="27" r:id="rId5"/>
    <sheet name="Determination cell count" sheetId="26" r:id="rId6"/>
    <sheet name="OD600nm" sheetId="4" r:id="rId7"/>
    <sheet name="CDM" sheetId="5" r:id="rId8"/>
    <sheet name="H2" sheetId="17" r:id="rId9"/>
    <sheet name="CO2" sheetId="7" r:id="rId10"/>
    <sheet name="Metabolites" sheetId="8" r:id="rId11"/>
    <sheet name="D-Fructose" sheetId="19" r:id="rId12"/>
    <sheet name="Formic acid" sheetId="18" r:id="rId13"/>
    <sheet name="Acetic acid" sheetId="15" r:id="rId14"/>
    <sheet name="Propionic acid" sheetId="20" r:id="rId15"/>
    <sheet name="Butyric acid" sheetId="21" r:id="rId16"/>
    <sheet name="Lactic acid" sheetId="14" r:id="rId17"/>
    <sheet name="Ethanol" sheetId="16" r:id="rId18"/>
    <sheet name="Graph" sheetId="13" r:id="rId19"/>
    <sheet name="Graph (2)" sheetId="24" r:id="rId20"/>
    <sheet name="Carbon recovery" sheetId="23" r:id="rId21"/>
  </sheets>
  <definedNames>
    <definedName name="_2012_05_10_FPRAU_fruc1" localSheetId="9">'CO2'!$I$5:$I$293</definedName>
    <definedName name="_2012_06_08_BIF_REC_OLI_1" localSheetId="9">'CO2'!$N$5:$N$201</definedName>
    <definedName name="_2012_06_08_BIF_REC_OLI_1" localSheetId="8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5" i="26" l="1"/>
  <c r="H72" i="26"/>
  <c r="H71" i="26"/>
  <c r="H70" i="26"/>
  <c r="H69" i="26"/>
  <c r="H68" i="26"/>
  <c r="H67" i="26"/>
  <c r="H66" i="26"/>
  <c r="H65" i="26"/>
  <c r="H64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5" i="26"/>
  <c r="I5" i="26"/>
  <c r="J5" i="26"/>
  <c r="H6" i="26"/>
  <c r="I6" i="26"/>
  <c r="J6" i="26"/>
  <c r="H7" i="26"/>
  <c r="I7" i="26"/>
  <c r="J7" i="26"/>
  <c r="H8" i="26"/>
  <c r="I8" i="26"/>
  <c r="J8" i="26"/>
  <c r="H9" i="26"/>
  <c r="I9" i="26"/>
  <c r="J9" i="26"/>
  <c r="H10" i="26"/>
  <c r="I10" i="26"/>
  <c r="J10" i="26"/>
  <c r="H11" i="26"/>
  <c r="I11" i="26"/>
  <c r="J11" i="26"/>
  <c r="H12" i="26"/>
  <c r="I12" i="26"/>
  <c r="J12" i="26"/>
  <c r="H13" i="26"/>
  <c r="I13" i="26"/>
  <c r="J13" i="26"/>
  <c r="H14" i="26"/>
  <c r="I14" i="26"/>
  <c r="J14" i="26"/>
  <c r="H15" i="26"/>
  <c r="I15" i="26"/>
  <c r="J15" i="26"/>
  <c r="H16" i="26"/>
  <c r="I16" i="26"/>
  <c r="J16" i="26"/>
  <c r="H17" i="26"/>
  <c r="I17" i="26"/>
  <c r="J17" i="26"/>
  <c r="H18" i="26"/>
  <c r="I18" i="26"/>
  <c r="J18" i="26"/>
  <c r="H19" i="26"/>
  <c r="I19" i="26"/>
  <c r="J19" i="26"/>
  <c r="H20" i="26"/>
  <c r="I20" i="26"/>
  <c r="J20" i="26"/>
  <c r="H21" i="26"/>
  <c r="I21" i="26"/>
  <c r="J21" i="26"/>
  <c r="I4" i="26"/>
  <c r="J4" i="26"/>
  <c r="H4" i="26"/>
  <c r="B25" i="26"/>
  <c r="B24" i="26"/>
  <c r="K5" i="26"/>
  <c r="L5" i="26"/>
  <c r="M5" i="26"/>
  <c r="K6" i="26"/>
  <c r="L6" i="26"/>
  <c r="M6" i="26"/>
  <c r="K7" i="26"/>
  <c r="L7" i="26"/>
  <c r="M7" i="26"/>
  <c r="K8" i="26"/>
  <c r="L8" i="26"/>
  <c r="M8" i="26"/>
  <c r="K9" i="26"/>
  <c r="L9" i="26"/>
  <c r="M9" i="26"/>
  <c r="K10" i="26"/>
  <c r="L10" i="26"/>
  <c r="M10" i="26"/>
  <c r="K11" i="26"/>
  <c r="L11" i="26"/>
  <c r="M11" i="26"/>
  <c r="K12" i="26"/>
  <c r="L12" i="26"/>
  <c r="M12" i="26"/>
  <c r="K13" i="26"/>
  <c r="L13" i="26"/>
  <c r="M13" i="26"/>
  <c r="K14" i="26"/>
  <c r="L14" i="26"/>
  <c r="M14" i="26"/>
  <c r="K15" i="26"/>
  <c r="L15" i="26"/>
  <c r="M15" i="26"/>
  <c r="K16" i="26"/>
  <c r="L16" i="26"/>
  <c r="M16" i="26"/>
  <c r="K17" i="26"/>
  <c r="L17" i="26"/>
  <c r="M17" i="26"/>
  <c r="K18" i="26"/>
  <c r="L18" i="26"/>
  <c r="M18" i="26"/>
  <c r="K19" i="26"/>
  <c r="L19" i="26"/>
  <c r="M19" i="26"/>
  <c r="K20" i="26"/>
  <c r="L20" i="26"/>
  <c r="M20" i="26"/>
  <c r="K21" i="26"/>
  <c r="L21" i="26"/>
  <c r="M21" i="26"/>
  <c r="L4" i="26"/>
  <c r="M4" i="26"/>
  <c r="K4" i="2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C3" i="5"/>
  <c r="D3" i="5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3" i="4"/>
  <c r="D3" i="4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C3" i="22"/>
  <c r="D3" i="2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3" i="3"/>
  <c r="D3" i="3"/>
  <c r="D7" i="27"/>
  <c r="D8" i="27"/>
  <c r="H7" i="27"/>
  <c r="H8" i="27"/>
  <c r="L7" i="27"/>
  <c r="L8" i="27"/>
  <c r="D48" i="27"/>
  <c r="F40" i="27"/>
  <c r="I38" i="27"/>
  <c r="J38" i="27"/>
  <c r="K38" i="27"/>
  <c r="L38" i="27"/>
  <c r="F38" i="27"/>
  <c r="G37" i="27"/>
  <c r="H37" i="27"/>
  <c r="I37" i="27"/>
  <c r="J37" i="27"/>
  <c r="K37" i="27"/>
  <c r="L37" i="27"/>
  <c r="F37" i="27"/>
  <c r="G36" i="27"/>
  <c r="H36" i="27"/>
  <c r="I36" i="27"/>
  <c r="J36" i="27"/>
  <c r="K36" i="27"/>
  <c r="L36" i="27"/>
  <c r="F36" i="27"/>
  <c r="G35" i="27"/>
  <c r="H35" i="27"/>
  <c r="I35" i="27"/>
  <c r="J35" i="27"/>
  <c r="K35" i="27"/>
  <c r="L35" i="27"/>
  <c r="F35" i="27"/>
  <c r="G34" i="27"/>
  <c r="H34" i="27"/>
  <c r="I34" i="27"/>
  <c r="J34" i="27"/>
  <c r="K34" i="27"/>
  <c r="L34" i="27"/>
  <c r="F34" i="27"/>
  <c r="G33" i="27"/>
  <c r="H33" i="27"/>
  <c r="I33" i="27"/>
  <c r="J33" i="27"/>
  <c r="K33" i="27"/>
  <c r="L33" i="27"/>
  <c r="F33" i="27"/>
  <c r="G32" i="27"/>
  <c r="H32" i="27"/>
  <c r="I32" i="27"/>
  <c r="J32" i="27"/>
  <c r="K32" i="27"/>
  <c r="L32" i="27"/>
  <c r="F32" i="27"/>
  <c r="G31" i="27"/>
  <c r="H31" i="27"/>
  <c r="I31" i="27"/>
  <c r="J31" i="27"/>
  <c r="K31" i="27"/>
  <c r="L31" i="27"/>
  <c r="F31" i="27"/>
  <c r="G30" i="27"/>
  <c r="H30" i="27"/>
  <c r="I30" i="27"/>
  <c r="J30" i="27"/>
  <c r="K30" i="27"/>
  <c r="L30" i="27"/>
  <c r="F30" i="27"/>
  <c r="G29" i="27"/>
  <c r="H29" i="27"/>
  <c r="I29" i="27"/>
  <c r="J29" i="27"/>
  <c r="K29" i="27"/>
  <c r="L29" i="27"/>
  <c r="F29" i="27"/>
  <c r="G28" i="27"/>
  <c r="H28" i="27"/>
  <c r="I28" i="27"/>
  <c r="J28" i="27"/>
  <c r="K28" i="27"/>
  <c r="L28" i="27"/>
  <c r="F28" i="27"/>
  <c r="G27" i="27"/>
  <c r="H27" i="27"/>
  <c r="I27" i="27"/>
  <c r="J27" i="27"/>
  <c r="K27" i="27"/>
  <c r="L27" i="27"/>
  <c r="F27" i="27"/>
  <c r="G26" i="27"/>
  <c r="H26" i="27"/>
  <c r="I26" i="27"/>
  <c r="J26" i="27"/>
  <c r="K26" i="27"/>
  <c r="L26" i="27"/>
  <c r="F26" i="27"/>
  <c r="G25" i="27"/>
  <c r="H25" i="27"/>
  <c r="I25" i="27"/>
  <c r="J25" i="27"/>
  <c r="K25" i="27"/>
  <c r="L25" i="27"/>
  <c r="F25" i="27"/>
  <c r="G24" i="27"/>
  <c r="H24" i="27"/>
  <c r="I24" i="27"/>
  <c r="J24" i="27"/>
  <c r="K24" i="27"/>
  <c r="L24" i="27"/>
  <c r="F24" i="27"/>
  <c r="G23" i="27"/>
  <c r="H23" i="27"/>
  <c r="I23" i="27"/>
  <c r="J23" i="27"/>
  <c r="K23" i="27"/>
  <c r="L23" i="27"/>
  <c r="F23" i="27"/>
  <c r="O19" i="27"/>
  <c r="K19" i="27"/>
  <c r="G19" i="27"/>
  <c r="P19" i="27"/>
  <c r="R19" i="27"/>
  <c r="Q19" i="27"/>
  <c r="O18" i="27"/>
  <c r="K18" i="27"/>
  <c r="G18" i="27"/>
  <c r="P18" i="27"/>
  <c r="R18" i="27"/>
  <c r="Q18" i="27"/>
  <c r="O17" i="27"/>
  <c r="K17" i="27"/>
  <c r="G17" i="27"/>
  <c r="P17" i="27"/>
  <c r="R17" i="27"/>
  <c r="Q17" i="27"/>
  <c r="O16" i="27"/>
  <c r="K16" i="27"/>
  <c r="G16" i="27"/>
  <c r="P16" i="27"/>
  <c r="R16" i="27"/>
  <c r="Q16" i="27"/>
  <c r="O15" i="27"/>
  <c r="K15" i="27"/>
  <c r="G15" i="27"/>
  <c r="P15" i="27"/>
  <c r="R15" i="27"/>
  <c r="Q15" i="27"/>
  <c r="O14" i="27"/>
  <c r="K14" i="27"/>
  <c r="G14" i="27"/>
  <c r="P14" i="27"/>
  <c r="R14" i="27"/>
  <c r="Q14" i="27"/>
  <c r="O13" i="27"/>
  <c r="K13" i="27"/>
  <c r="G13" i="27"/>
  <c r="P13" i="27"/>
  <c r="R13" i="27"/>
  <c r="Q13" i="27"/>
  <c r="O12" i="27"/>
  <c r="K12" i="27"/>
  <c r="G12" i="27"/>
  <c r="P12" i="27"/>
  <c r="R12" i="27"/>
  <c r="Q12" i="27"/>
  <c r="O11" i="27"/>
  <c r="K11" i="27"/>
  <c r="G11" i="27"/>
  <c r="P11" i="27"/>
  <c r="R11" i="27"/>
  <c r="Q11" i="27"/>
  <c r="O10" i="27"/>
  <c r="K10" i="27"/>
  <c r="G10" i="27"/>
  <c r="P10" i="27"/>
  <c r="R10" i="27"/>
  <c r="Q10" i="27"/>
  <c r="O9" i="27"/>
  <c r="K9" i="27"/>
  <c r="G9" i="27"/>
  <c r="P9" i="27"/>
  <c r="R9" i="27"/>
  <c r="Q9" i="27"/>
  <c r="O8" i="27"/>
  <c r="K8" i="27"/>
  <c r="G8" i="27"/>
  <c r="P8" i="27"/>
  <c r="R8" i="27"/>
  <c r="Q8" i="27"/>
  <c r="O7" i="27"/>
  <c r="K7" i="27"/>
  <c r="G7" i="27"/>
  <c r="P7" i="27"/>
  <c r="R7" i="27"/>
  <c r="Q7" i="27"/>
  <c r="O6" i="27"/>
  <c r="K6" i="27"/>
  <c r="G6" i="27"/>
  <c r="P6" i="27"/>
  <c r="R6" i="27"/>
  <c r="Q6" i="27"/>
  <c r="O5" i="27"/>
  <c r="K5" i="27"/>
  <c r="G5" i="27"/>
  <c r="P5" i="27"/>
  <c r="R5" i="27"/>
  <c r="Q5" i="27"/>
  <c r="O4" i="27"/>
  <c r="K4" i="27"/>
  <c r="G4" i="27"/>
  <c r="P4" i="27"/>
  <c r="R4" i="27"/>
  <c r="Q4" i="27"/>
  <c r="F3" i="2"/>
  <c r="F4" i="2"/>
  <c r="I5" i="2"/>
  <c r="I3" i="2"/>
  <c r="J3" i="2"/>
  <c r="K3" i="2"/>
  <c r="I4" i="2"/>
  <c r="J4" i="2"/>
  <c r="K4" i="2"/>
  <c r="P5" i="26"/>
  <c r="R5" i="26"/>
  <c r="F5" i="2"/>
  <c r="I6" i="2"/>
  <c r="J5" i="2"/>
  <c r="K5" i="2"/>
  <c r="P6" i="26"/>
  <c r="R6" i="26"/>
  <c r="F6" i="2"/>
  <c r="I7" i="2"/>
  <c r="J6" i="2"/>
  <c r="K6" i="2"/>
  <c r="P7" i="26"/>
  <c r="R7" i="26"/>
  <c r="F7" i="2"/>
  <c r="I8" i="2"/>
  <c r="J7" i="2"/>
  <c r="K7" i="2"/>
  <c r="P8" i="26"/>
  <c r="R8" i="26"/>
  <c r="F8" i="2"/>
  <c r="I9" i="2"/>
  <c r="J8" i="2"/>
  <c r="K8" i="2"/>
  <c r="P9" i="26"/>
  <c r="R9" i="26"/>
  <c r="F9" i="2"/>
  <c r="I10" i="2"/>
  <c r="J9" i="2"/>
  <c r="K9" i="2"/>
  <c r="P10" i="26"/>
  <c r="R10" i="26"/>
  <c r="F10" i="2"/>
  <c r="I11" i="2"/>
  <c r="J10" i="2"/>
  <c r="K10" i="2"/>
  <c r="P11" i="26"/>
  <c r="R11" i="26"/>
  <c r="F11" i="2"/>
  <c r="I12" i="2"/>
  <c r="J11" i="2"/>
  <c r="K11" i="2"/>
  <c r="P12" i="26"/>
  <c r="R12" i="26"/>
  <c r="F12" i="2"/>
  <c r="I13" i="2"/>
  <c r="J12" i="2"/>
  <c r="K12" i="2"/>
  <c r="P13" i="26"/>
  <c r="R13" i="26"/>
  <c r="F13" i="2"/>
  <c r="I14" i="2"/>
  <c r="J13" i="2"/>
  <c r="K13" i="2"/>
  <c r="P14" i="26"/>
  <c r="R14" i="26"/>
  <c r="F14" i="2"/>
  <c r="I15" i="2"/>
  <c r="J14" i="2"/>
  <c r="K14" i="2"/>
  <c r="P15" i="26"/>
  <c r="R15" i="26"/>
  <c r="F15" i="2"/>
  <c r="I16" i="2"/>
  <c r="J15" i="2"/>
  <c r="K15" i="2"/>
  <c r="P16" i="26"/>
  <c r="R16" i="26"/>
  <c r="F16" i="2"/>
  <c r="I17" i="2"/>
  <c r="J16" i="2"/>
  <c r="K16" i="2"/>
  <c r="P17" i="26"/>
  <c r="R17" i="26"/>
  <c r="F17" i="2"/>
  <c r="I18" i="2"/>
  <c r="J17" i="2"/>
  <c r="K17" i="2"/>
  <c r="P18" i="26"/>
  <c r="R18" i="26"/>
  <c r="F18" i="2"/>
  <c r="I19" i="2"/>
  <c r="J18" i="2"/>
  <c r="K18" i="2"/>
  <c r="P19" i="26"/>
  <c r="R19" i="26"/>
  <c r="F19" i="2"/>
  <c r="I20" i="2"/>
  <c r="J19" i="2"/>
  <c r="K19" i="2"/>
  <c r="P20" i="26"/>
  <c r="R20" i="26"/>
  <c r="F20" i="2"/>
  <c r="I21" i="2"/>
  <c r="J20" i="2"/>
  <c r="K20" i="2"/>
  <c r="P21" i="26"/>
  <c r="R21" i="26"/>
  <c r="P4" i="26"/>
  <c r="R4" i="26"/>
  <c r="O4" i="26"/>
  <c r="S4" i="26"/>
  <c r="O5" i="26"/>
  <c r="S5" i="26"/>
  <c r="O6" i="26"/>
  <c r="S6" i="26"/>
  <c r="O7" i="26"/>
  <c r="S7" i="26"/>
  <c r="O8" i="26"/>
  <c r="S8" i="26"/>
  <c r="O9" i="26"/>
  <c r="S9" i="26"/>
  <c r="O10" i="26"/>
  <c r="S10" i="26"/>
  <c r="O11" i="26"/>
  <c r="S11" i="26"/>
  <c r="O12" i="26"/>
  <c r="S12" i="26"/>
  <c r="O13" i="26"/>
  <c r="S13" i="26"/>
  <c r="O14" i="26"/>
  <c r="S14" i="26"/>
  <c r="O15" i="26"/>
  <c r="S15" i="26"/>
  <c r="O16" i="26"/>
  <c r="S16" i="26"/>
  <c r="O17" i="26"/>
  <c r="S17" i="26"/>
  <c r="O18" i="26"/>
  <c r="S18" i="26"/>
  <c r="O19" i="26"/>
  <c r="S19" i="26"/>
  <c r="O20" i="26"/>
  <c r="S20" i="26"/>
  <c r="O21" i="26"/>
  <c r="S21" i="26"/>
  <c r="H20" i="22"/>
  <c r="L20" i="22"/>
  <c r="P20" i="22"/>
  <c r="Q20" i="22"/>
  <c r="N21" i="26"/>
  <c r="Q21" i="26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4" i="26"/>
  <c r="C101" i="7"/>
  <c r="D101" i="7"/>
  <c r="E101" i="7"/>
  <c r="J21" i="2"/>
  <c r="K21" i="2"/>
  <c r="F101" i="7"/>
  <c r="C100" i="7"/>
  <c r="D100" i="7"/>
  <c r="E100" i="7"/>
  <c r="F100" i="7"/>
  <c r="C99" i="7"/>
  <c r="D99" i="7"/>
  <c r="E99" i="7"/>
  <c r="F99" i="7"/>
  <c r="C98" i="7"/>
  <c r="D98" i="7"/>
  <c r="E98" i="7"/>
  <c r="F98" i="7"/>
  <c r="C97" i="7"/>
  <c r="D97" i="7"/>
  <c r="E97" i="7"/>
  <c r="F97" i="7"/>
  <c r="C96" i="7"/>
  <c r="D96" i="7"/>
  <c r="E96" i="7"/>
  <c r="F96" i="7"/>
  <c r="C95" i="7"/>
  <c r="D95" i="7"/>
  <c r="E95" i="7"/>
  <c r="F95" i="7"/>
  <c r="C94" i="7"/>
  <c r="D94" i="7"/>
  <c r="E94" i="7"/>
  <c r="F94" i="7"/>
  <c r="C93" i="7"/>
  <c r="D93" i="7"/>
  <c r="E93" i="7"/>
  <c r="F93" i="7"/>
  <c r="C92" i="7"/>
  <c r="D92" i="7"/>
  <c r="E92" i="7"/>
  <c r="F92" i="7"/>
  <c r="C91" i="7"/>
  <c r="D91" i="7"/>
  <c r="E91" i="7"/>
  <c r="F91" i="7"/>
  <c r="C90" i="7"/>
  <c r="D90" i="7"/>
  <c r="E90" i="7"/>
  <c r="F90" i="7"/>
  <c r="C89" i="7"/>
  <c r="D89" i="7"/>
  <c r="E89" i="7"/>
  <c r="F89" i="7"/>
  <c r="C88" i="7"/>
  <c r="D88" i="7"/>
  <c r="E88" i="7"/>
  <c r="F88" i="7"/>
  <c r="C87" i="7"/>
  <c r="D87" i="7"/>
  <c r="E87" i="7"/>
  <c r="F87" i="7"/>
  <c r="C86" i="7"/>
  <c r="D86" i="7"/>
  <c r="E86" i="7"/>
  <c r="F86" i="7"/>
  <c r="C85" i="7"/>
  <c r="D85" i="7"/>
  <c r="E85" i="7"/>
  <c r="F85" i="7"/>
  <c r="C84" i="7"/>
  <c r="D84" i="7"/>
  <c r="E84" i="7"/>
  <c r="F84" i="7"/>
  <c r="C83" i="7"/>
  <c r="D83" i="7"/>
  <c r="E83" i="7"/>
  <c r="F83" i="7"/>
  <c r="C82" i="7"/>
  <c r="D82" i="7"/>
  <c r="E82" i="7"/>
  <c r="F82" i="7"/>
  <c r="C81" i="7"/>
  <c r="D81" i="7"/>
  <c r="E81" i="7"/>
  <c r="F81" i="7"/>
  <c r="C80" i="7"/>
  <c r="D80" i="7"/>
  <c r="E80" i="7"/>
  <c r="F80" i="7"/>
  <c r="C79" i="7"/>
  <c r="D79" i="7"/>
  <c r="E79" i="7"/>
  <c r="F79" i="7"/>
  <c r="C78" i="7"/>
  <c r="D78" i="7"/>
  <c r="E78" i="7"/>
  <c r="F78" i="7"/>
  <c r="C77" i="7"/>
  <c r="D77" i="7"/>
  <c r="E77" i="7"/>
  <c r="F77" i="7"/>
  <c r="C76" i="7"/>
  <c r="D76" i="7"/>
  <c r="E76" i="7"/>
  <c r="F76" i="7"/>
  <c r="C75" i="7"/>
  <c r="D75" i="7"/>
  <c r="E75" i="7"/>
  <c r="F75" i="7"/>
  <c r="C74" i="7"/>
  <c r="D74" i="7"/>
  <c r="E74" i="7"/>
  <c r="F74" i="7"/>
  <c r="C73" i="7"/>
  <c r="D73" i="7"/>
  <c r="E73" i="7"/>
  <c r="F73" i="7"/>
  <c r="C72" i="7"/>
  <c r="D72" i="7"/>
  <c r="E72" i="7"/>
  <c r="F72" i="7"/>
  <c r="C71" i="7"/>
  <c r="D71" i="7"/>
  <c r="E71" i="7"/>
  <c r="F71" i="7"/>
  <c r="C70" i="7"/>
  <c r="D70" i="7"/>
  <c r="E70" i="7"/>
  <c r="F70" i="7"/>
  <c r="C69" i="7"/>
  <c r="D69" i="7"/>
  <c r="E69" i="7"/>
  <c r="F69" i="7"/>
  <c r="C68" i="7"/>
  <c r="D68" i="7"/>
  <c r="E68" i="7"/>
  <c r="F68" i="7"/>
  <c r="C67" i="7"/>
  <c r="D67" i="7"/>
  <c r="E67" i="7"/>
  <c r="F67" i="7"/>
  <c r="C66" i="7"/>
  <c r="D66" i="7"/>
  <c r="E66" i="7"/>
  <c r="F66" i="7"/>
  <c r="C65" i="7"/>
  <c r="D65" i="7"/>
  <c r="E65" i="7"/>
  <c r="F65" i="7"/>
  <c r="C64" i="7"/>
  <c r="D64" i="7"/>
  <c r="E64" i="7"/>
  <c r="F64" i="7"/>
  <c r="C63" i="7"/>
  <c r="D63" i="7"/>
  <c r="E63" i="7"/>
  <c r="F63" i="7"/>
  <c r="C62" i="7"/>
  <c r="D62" i="7"/>
  <c r="E62" i="7"/>
  <c r="F62" i="7"/>
  <c r="C61" i="7"/>
  <c r="D61" i="7"/>
  <c r="E61" i="7"/>
  <c r="F61" i="7"/>
  <c r="C60" i="7"/>
  <c r="D60" i="7"/>
  <c r="E60" i="7"/>
  <c r="F60" i="7"/>
  <c r="C59" i="7"/>
  <c r="D59" i="7"/>
  <c r="E59" i="7"/>
  <c r="F59" i="7"/>
  <c r="C58" i="7"/>
  <c r="D58" i="7"/>
  <c r="E58" i="7"/>
  <c r="F58" i="7"/>
  <c r="C57" i="7"/>
  <c r="D57" i="7"/>
  <c r="E57" i="7"/>
  <c r="F57" i="7"/>
  <c r="C56" i="7"/>
  <c r="D56" i="7"/>
  <c r="E56" i="7"/>
  <c r="F56" i="7"/>
  <c r="C55" i="7"/>
  <c r="D55" i="7"/>
  <c r="E55" i="7"/>
  <c r="F55" i="7"/>
  <c r="C54" i="7"/>
  <c r="D54" i="7"/>
  <c r="E54" i="7"/>
  <c r="F54" i="7"/>
  <c r="C53" i="7"/>
  <c r="D53" i="7"/>
  <c r="E53" i="7"/>
  <c r="F53" i="7"/>
  <c r="C52" i="7"/>
  <c r="D52" i="7"/>
  <c r="E52" i="7"/>
  <c r="F52" i="7"/>
  <c r="C51" i="7"/>
  <c r="D51" i="7"/>
  <c r="E51" i="7"/>
  <c r="F51" i="7"/>
  <c r="C50" i="7"/>
  <c r="D50" i="7"/>
  <c r="E50" i="7"/>
  <c r="F50" i="7"/>
  <c r="C49" i="7"/>
  <c r="D49" i="7"/>
  <c r="E49" i="7"/>
  <c r="F49" i="7"/>
  <c r="C48" i="7"/>
  <c r="D48" i="7"/>
  <c r="E48" i="7"/>
  <c r="F48" i="7"/>
  <c r="C47" i="7"/>
  <c r="D47" i="7"/>
  <c r="E47" i="7"/>
  <c r="F47" i="7"/>
  <c r="C46" i="7"/>
  <c r="D46" i="7"/>
  <c r="E46" i="7"/>
  <c r="F46" i="7"/>
  <c r="C45" i="7"/>
  <c r="D45" i="7"/>
  <c r="E45" i="7"/>
  <c r="F45" i="7"/>
  <c r="C44" i="7"/>
  <c r="D44" i="7"/>
  <c r="E44" i="7"/>
  <c r="F44" i="7"/>
  <c r="C43" i="7"/>
  <c r="D43" i="7"/>
  <c r="E43" i="7"/>
  <c r="F43" i="7"/>
  <c r="C42" i="7"/>
  <c r="D42" i="7"/>
  <c r="E42" i="7"/>
  <c r="F42" i="7"/>
  <c r="C41" i="7"/>
  <c r="D41" i="7"/>
  <c r="E41" i="7"/>
  <c r="F41" i="7"/>
  <c r="C40" i="7"/>
  <c r="D40" i="7"/>
  <c r="E40" i="7"/>
  <c r="F40" i="7"/>
  <c r="C39" i="7"/>
  <c r="D39" i="7"/>
  <c r="E39" i="7"/>
  <c r="F39" i="7"/>
  <c r="C38" i="7"/>
  <c r="D38" i="7"/>
  <c r="E38" i="7"/>
  <c r="F38" i="7"/>
  <c r="C37" i="7"/>
  <c r="D37" i="7"/>
  <c r="E37" i="7"/>
  <c r="F37" i="7"/>
  <c r="C36" i="7"/>
  <c r="D36" i="7"/>
  <c r="E36" i="7"/>
  <c r="F36" i="7"/>
  <c r="C35" i="7"/>
  <c r="D35" i="7"/>
  <c r="E35" i="7"/>
  <c r="F35" i="7"/>
  <c r="C34" i="7"/>
  <c r="D34" i="7"/>
  <c r="E34" i="7"/>
  <c r="F34" i="7"/>
  <c r="C33" i="7"/>
  <c r="D33" i="7"/>
  <c r="E33" i="7"/>
  <c r="F33" i="7"/>
  <c r="C32" i="7"/>
  <c r="D32" i="7"/>
  <c r="E32" i="7"/>
  <c r="F32" i="7"/>
  <c r="C31" i="7"/>
  <c r="D31" i="7"/>
  <c r="E31" i="7"/>
  <c r="F31" i="7"/>
  <c r="C30" i="7"/>
  <c r="D30" i="7"/>
  <c r="E30" i="7"/>
  <c r="F30" i="7"/>
  <c r="C29" i="7"/>
  <c r="D29" i="7"/>
  <c r="E29" i="7"/>
  <c r="F29" i="7"/>
  <c r="C28" i="7"/>
  <c r="D28" i="7"/>
  <c r="E28" i="7"/>
  <c r="F28" i="7"/>
  <c r="C27" i="7"/>
  <c r="D27" i="7"/>
  <c r="E27" i="7"/>
  <c r="F27" i="7"/>
  <c r="C26" i="7"/>
  <c r="D26" i="7"/>
  <c r="E26" i="7"/>
  <c r="F26" i="7"/>
  <c r="C25" i="7"/>
  <c r="D25" i="7"/>
  <c r="E25" i="7"/>
  <c r="F25" i="7"/>
  <c r="C24" i="7"/>
  <c r="D24" i="7"/>
  <c r="E24" i="7"/>
  <c r="F24" i="7"/>
  <c r="C23" i="7"/>
  <c r="D23" i="7"/>
  <c r="E23" i="7"/>
  <c r="F23" i="7"/>
  <c r="C22" i="7"/>
  <c r="D22" i="7"/>
  <c r="E22" i="7"/>
  <c r="F22" i="7"/>
  <c r="C21" i="7"/>
  <c r="D21" i="7"/>
  <c r="E21" i="7"/>
  <c r="F21" i="7"/>
  <c r="C20" i="7"/>
  <c r="D20" i="7"/>
  <c r="E20" i="7"/>
  <c r="F20" i="7"/>
  <c r="C19" i="7"/>
  <c r="D19" i="7"/>
  <c r="E19" i="7"/>
  <c r="F19" i="7"/>
  <c r="C18" i="7"/>
  <c r="D18" i="7"/>
  <c r="E18" i="7"/>
  <c r="F18" i="7"/>
  <c r="C17" i="7"/>
  <c r="D17" i="7"/>
  <c r="E17" i="7"/>
  <c r="F17" i="7"/>
  <c r="C16" i="7"/>
  <c r="D16" i="7"/>
  <c r="E16" i="7"/>
  <c r="F16" i="7"/>
  <c r="C15" i="7"/>
  <c r="D15" i="7"/>
  <c r="E15" i="7"/>
  <c r="F15" i="7"/>
  <c r="C14" i="7"/>
  <c r="D14" i="7"/>
  <c r="E14" i="7"/>
  <c r="F14" i="7"/>
  <c r="C13" i="7"/>
  <c r="D13" i="7"/>
  <c r="E13" i="7"/>
  <c r="F13" i="7"/>
  <c r="C12" i="7"/>
  <c r="D12" i="7"/>
  <c r="E12" i="7"/>
  <c r="F12" i="7"/>
  <c r="C11" i="7"/>
  <c r="D11" i="7"/>
  <c r="E11" i="7"/>
  <c r="F11" i="7"/>
  <c r="C10" i="7"/>
  <c r="D10" i="7"/>
  <c r="E10" i="7"/>
  <c r="F10" i="7"/>
  <c r="C9" i="7"/>
  <c r="D9" i="7"/>
  <c r="E9" i="7"/>
  <c r="F9" i="7"/>
  <c r="C8" i="7"/>
  <c r="D8" i="7"/>
  <c r="E8" i="7"/>
  <c r="F8" i="7"/>
  <c r="C7" i="7"/>
  <c r="D7" i="7"/>
  <c r="E7" i="7"/>
  <c r="F7" i="7"/>
  <c r="C6" i="7"/>
  <c r="D6" i="7"/>
  <c r="E6" i="7"/>
  <c r="F6" i="7"/>
  <c r="C5" i="7"/>
  <c r="D5" i="7"/>
  <c r="E5" i="7"/>
  <c r="F5" i="7"/>
  <c r="C101" i="17"/>
  <c r="D101" i="17"/>
  <c r="E101" i="17"/>
  <c r="F101" i="17"/>
  <c r="C100" i="17"/>
  <c r="D100" i="17"/>
  <c r="E100" i="17"/>
  <c r="F100" i="17"/>
  <c r="C67" i="17"/>
  <c r="D67" i="17"/>
  <c r="E67" i="17"/>
  <c r="F67" i="17"/>
  <c r="C68" i="17"/>
  <c r="D68" i="17"/>
  <c r="E68" i="17"/>
  <c r="F68" i="17"/>
  <c r="C69" i="17"/>
  <c r="D69" i="17"/>
  <c r="E69" i="17"/>
  <c r="F69" i="17"/>
  <c r="C70" i="17"/>
  <c r="D70" i="17"/>
  <c r="E70" i="17"/>
  <c r="F70" i="17"/>
  <c r="C71" i="17"/>
  <c r="D71" i="17"/>
  <c r="E71" i="17"/>
  <c r="F71" i="17"/>
  <c r="C72" i="17"/>
  <c r="D72" i="17"/>
  <c r="E72" i="17"/>
  <c r="F72" i="17"/>
  <c r="C73" i="17"/>
  <c r="D73" i="17"/>
  <c r="E73" i="17"/>
  <c r="F73" i="17"/>
  <c r="C74" i="17"/>
  <c r="D74" i="17"/>
  <c r="E74" i="17"/>
  <c r="F74" i="17"/>
  <c r="C75" i="17"/>
  <c r="D75" i="17"/>
  <c r="E75" i="17"/>
  <c r="F75" i="17"/>
  <c r="C76" i="17"/>
  <c r="D76" i="17"/>
  <c r="E76" i="17"/>
  <c r="F76" i="17"/>
  <c r="C77" i="17"/>
  <c r="D77" i="17"/>
  <c r="E77" i="17"/>
  <c r="F77" i="17"/>
  <c r="C78" i="17"/>
  <c r="D78" i="17"/>
  <c r="E78" i="17"/>
  <c r="F78" i="17"/>
  <c r="C79" i="17"/>
  <c r="D79" i="17"/>
  <c r="E79" i="17"/>
  <c r="F79" i="17"/>
  <c r="C80" i="17"/>
  <c r="D80" i="17"/>
  <c r="E80" i="17"/>
  <c r="F80" i="17"/>
  <c r="C81" i="17"/>
  <c r="D81" i="17"/>
  <c r="E81" i="17"/>
  <c r="F81" i="17"/>
  <c r="C82" i="17"/>
  <c r="D82" i="17"/>
  <c r="E82" i="17"/>
  <c r="F82" i="17"/>
  <c r="C83" i="17"/>
  <c r="D83" i="17"/>
  <c r="E83" i="17"/>
  <c r="F83" i="17"/>
  <c r="C84" i="17"/>
  <c r="D84" i="17"/>
  <c r="E84" i="17"/>
  <c r="F84" i="17"/>
  <c r="C85" i="17"/>
  <c r="D85" i="17"/>
  <c r="E85" i="17"/>
  <c r="F85" i="17"/>
  <c r="C86" i="17"/>
  <c r="D86" i="17"/>
  <c r="E86" i="17"/>
  <c r="F86" i="17"/>
  <c r="C87" i="17"/>
  <c r="D87" i="17"/>
  <c r="E87" i="17"/>
  <c r="F87" i="17"/>
  <c r="C88" i="17"/>
  <c r="D88" i="17"/>
  <c r="E88" i="17"/>
  <c r="F88" i="17"/>
  <c r="C89" i="17"/>
  <c r="D89" i="17"/>
  <c r="E89" i="17"/>
  <c r="F89" i="17"/>
  <c r="C90" i="17"/>
  <c r="D90" i="17"/>
  <c r="E90" i="17"/>
  <c r="F90" i="17"/>
  <c r="C91" i="17"/>
  <c r="D91" i="17"/>
  <c r="E91" i="17"/>
  <c r="F91" i="17"/>
  <c r="C92" i="17"/>
  <c r="D92" i="17"/>
  <c r="E92" i="17"/>
  <c r="F92" i="17"/>
  <c r="C93" i="17"/>
  <c r="D93" i="17"/>
  <c r="E93" i="17"/>
  <c r="F93" i="17"/>
  <c r="C94" i="17"/>
  <c r="D94" i="17"/>
  <c r="E94" i="17"/>
  <c r="F94" i="17"/>
  <c r="C95" i="17"/>
  <c r="D95" i="17"/>
  <c r="E95" i="17"/>
  <c r="F95" i="17"/>
  <c r="C96" i="17"/>
  <c r="D96" i="17"/>
  <c r="E96" i="17"/>
  <c r="F96" i="17"/>
  <c r="C97" i="17"/>
  <c r="D97" i="17"/>
  <c r="E97" i="17"/>
  <c r="F97" i="17"/>
  <c r="C98" i="17"/>
  <c r="D98" i="17"/>
  <c r="E98" i="17"/>
  <c r="F98" i="17"/>
  <c r="C99" i="17"/>
  <c r="D99" i="17"/>
  <c r="E99" i="17"/>
  <c r="F99" i="17"/>
  <c r="C66" i="17"/>
  <c r="D66" i="17"/>
  <c r="E66" i="17"/>
  <c r="F66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D54" i="17"/>
  <c r="E54" i="17"/>
  <c r="F54" i="17"/>
  <c r="D55" i="17"/>
  <c r="E55" i="17"/>
  <c r="F55" i="17"/>
  <c r="D56" i="17"/>
  <c r="E56" i="17"/>
  <c r="F56" i="17"/>
  <c r="D57" i="17"/>
  <c r="E57" i="17"/>
  <c r="F57" i="17"/>
  <c r="D58" i="17"/>
  <c r="E58" i="17"/>
  <c r="F58" i="17"/>
  <c r="D59" i="17"/>
  <c r="E59" i="17"/>
  <c r="F59" i="17"/>
  <c r="D60" i="17"/>
  <c r="E60" i="17"/>
  <c r="F60" i="17"/>
  <c r="D61" i="17"/>
  <c r="E61" i="17"/>
  <c r="F61" i="17"/>
  <c r="D62" i="17"/>
  <c r="E62" i="17"/>
  <c r="F62" i="17"/>
  <c r="D63" i="17"/>
  <c r="E63" i="17"/>
  <c r="F63" i="17"/>
  <c r="D64" i="17"/>
  <c r="E64" i="17"/>
  <c r="F64" i="17"/>
  <c r="D53" i="17"/>
  <c r="E53" i="17"/>
  <c r="F53" i="17"/>
  <c r="D45" i="17"/>
  <c r="E45" i="17"/>
  <c r="F45" i="17"/>
  <c r="D46" i="17"/>
  <c r="E46" i="17"/>
  <c r="F46" i="17"/>
  <c r="D47" i="17"/>
  <c r="E47" i="17"/>
  <c r="F47" i="17"/>
  <c r="D48" i="17"/>
  <c r="E48" i="17"/>
  <c r="F48" i="17"/>
  <c r="D49" i="17"/>
  <c r="E49" i="17"/>
  <c r="F49" i="17"/>
  <c r="D50" i="17"/>
  <c r="E50" i="17"/>
  <c r="F50" i="17"/>
  <c r="D51" i="17"/>
  <c r="E51" i="17"/>
  <c r="F51" i="17"/>
  <c r="D52" i="17"/>
  <c r="E52" i="17"/>
  <c r="F52" i="17"/>
  <c r="D44" i="17"/>
  <c r="E44" i="17"/>
  <c r="F44" i="17"/>
  <c r="D42" i="17"/>
  <c r="E42" i="17"/>
  <c r="F42" i="17"/>
  <c r="D43" i="17"/>
  <c r="E43" i="17"/>
  <c r="F43" i="17"/>
  <c r="D41" i="17"/>
  <c r="E41" i="17"/>
  <c r="F41" i="17"/>
  <c r="D40" i="17"/>
  <c r="E40" i="17"/>
  <c r="F40" i="17"/>
  <c r="D39" i="17"/>
  <c r="E39" i="17"/>
  <c r="F39" i="17"/>
  <c r="D37" i="17"/>
  <c r="E37" i="17"/>
  <c r="F37" i="17"/>
  <c r="D38" i="17"/>
  <c r="E38" i="17"/>
  <c r="F38" i="17"/>
  <c r="D36" i="17"/>
  <c r="E36" i="17"/>
  <c r="F36" i="17"/>
  <c r="D34" i="17"/>
  <c r="E34" i="17"/>
  <c r="F34" i="17"/>
  <c r="D35" i="17"/>
  <c r="E35" i="17"/>
  <c r="F35" i="17"/>
  <c r="D33" i="17"/>
  <c r="E33" i="17"/>
  <c r="F33" i="17"/>
  <c r="D32" i="17"/>
  <c r="E32" i="17"/>
  <c r="F32" i="17"/>
  <c r="D31" i="17"/>
  <c r="E31" i="17"/>
  <c r="F31" i="17"/>
  <c r="D30" i="17"/>
  <c r="E30" i="17"/>
  <c r="F30" i="17"/>
  <c r="D29" i="17"/>
  <c r="E29" i="17"/>
  <c r="F29" i="17"/>
  <c r="D28" i="17"/>
  <c r="E28" i="17"/>
  <c r="F28" i="17"/>
  <c r="D27" i="17"/>
  <c r="E27" i="17"/>
  <c r="F27" i="17"/>
  <c r="D26" i="17"/>
  <c r="E26" i="17"/>
  <c r="F26" i="17"/>
  <c r="D25" i="17"/>
  <c r="E25" i="17"/>
  <c r="F25" i="17"/>
  <c r="D24" i="17"/>
  <c r="E24" i="17"/>
  <c r="F24" i="17"/>
  <c r="D23" i="17"/>
  <c r="E23" i="17"/>
  <c r="F23" i="17"/>
  <c r="D21" i="17"/>
  <c r="E21" i="17"/>
  <c r="F21" i="17"/>
  <c r="D22" i="17"/>
  <c r="E22" i="17"/>
  <c r="F22" i="17"/>
  <c r="D20" i="17"/>
  <c r="E20" i="17"/>
  <c r="F20" i="17"/>
  <c r="D18" i="17"/>
  <c r="E18" i="17"/>
  <c r="F18" i="17"/>
  <c r="D19" i="17"/>
  <c r="E19" i="17"/>
  <c r="F19" i="17"/>
  <c r="D17" i="17"/>
  <c r="E17" i="17"/>
  <c r="F17" i="17"/>
  <c r="D16" i="17"/>
  <c r="E16" i="17"/>
  <c r="F16" i="17"/>
  <c r="D15" i="17"/>
  <c r="E15" i="17"/>
  <c r="F15" i="17"/>
  <c r="D13" i="17"/>
  <c r="E13" i="17"/>
  <c r="F13" i="17"/>
  <c r="D14" i="17"/>
  <c r="E14" i="17"/>
  <c r="F14" i="17"/>
  <c r="D12" i="17"/>
  <c r="E12" i="17"/>
  <c r="F12" i="17"/>
  <c r="D11" i="17"/>
  <c r="E11" i="17"/>
  <c r="F11" i="17"/>
  <c r="D10" i="17"/>
  <c r="E10" i="17"/>
  <c r="F10" i="17"/>
  <c r="H21" i="22"/>
  <c r="U21" i="22"/>
  <c r="L21" i="22"/>
  <c r="V21" i="22"/>
  <c r="P21" i="22"/>
  <c r="W21" i="22"/>
  <c r="H5" i="22"/>
  <c r="U5" i="22"/>
  <c r="L5" i="22"/>
  <c r="V5" i="22"/>
  <c r="P5" i="22"/>
  <c r="W5" i="22"/>
  <c r="H6" i="22"/>
  <c r="U6" i="22"/>
  <c r="L6" i="22"/>
  <c r="V6" i="22"/>
  <c r="P6" i="22"/>
  <c r="W6" i="22"/>
  <c r="H7" i="22"/>
  <c r="U7" i="22"/>
  <c r="L7" i="22"/>
  <c r="V7" i="22"/>
  <c r="P7" i="22"/>
  <c r="W7" i="22"/>
  <c r="H8" i="22"/>
  <c r="U8" i="22"/>
  <c r="L8" i="22"/>
  <c r="V8" i="22"/>
  <c r="P8" i="22"/>
  <c r="W8" i="22"/>
  <c r="H9" i="22"/>
  <c r="U9" i="22"/>
  <c r="L9" i="22"/>
  <c r="V9" i="22"/>
  <c r="P9" i="22"/>
  <c r="W9" i="22"/>
  <c r="H10" i="22"/>
  <c r="U10" i="22"/>
  <c r="L10" i="22"/>
  <c r="V10" i="22"/>
  <c r="P10" i="22"/>
  <c r="W10" i="22"/>
  <c r="H11" i="22"/>
  <c r="U11" i="22"/>
  <c r="L11" i="22"/>
  <c r="V11" i="22"/>
  <c r="P11" i="22"/>
  <c r="W11" i="22"/>
  <c r="H12" i="22"/>
  <c r="U12" i="22"/>
  <c r="L12" i="22"/>
  <c r="V12" i="22"/>
  <c r="P12" i="22"/>
  <c r="W12" i="22"/>
  <c r="H13" i="22"/>
  <c r="U13" i="22"/>
  <c r="L13" i="22"/>
  <c r="V13" i="22"/>
  <c r="P13" i="22"/>
  <c r="W13" i="22"/>
  <c r="H14" i="22"/>
  <c r="U14" i="22"/>
  <c r="L14" i="22"/>
  <c r="V14" i="22"/>
  <c r="P14" i="22"/>
  <c r="W14" i="22"/>
  <c r="H15" i="22"/>
  <c r="U15" i="22"/>
  <c r="L15" i="22"/>
  <c r="V15" i="22"/>
  <c r="P15" i="22"/>
  <c r="W15" i="22"/>
  <c r="H16" i="22"/>
  <c r="U16" i="22"/>
  <c r="L16" i="22"/>
  <c r="V16" i="22"/>
  <c r="P16" i="22"/>
  <c r="W16" i="22"/>
  <c r="H17" i="22"/>
  <c r="U17" i="22"/>
  <c r="L17" i="22"/>
  <c r="V17" i="22"/>
  <c r="P17" i="22"/>
  <c r="W17" i="22"/>
  <c r="H18" i="22"/>
  <c r="U18" i="22"/>
  <c r="L18" i="22"/>
  <c r="V18" i="22"/>
  <c r="P18" i="22"/>
  <c r="W18" i="22"/>
  <c r="H19" i="22"/>
  <c r="U19" i="22"/>
  <c r="L19" i="22"/>
  <c r="V19" i="22"/>
  <c r="P19" i="22"/>
  <c r="W19" i="22"/>
  <c r="U20" i="22"/>
  <c r="V20" i="22"/>
  <c r="W20" i="22"/>
  <c r="X5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X21" i="22"/>
  <c r="H4" i="22"/>
  <c r="U4" i="22"/>
  <c r="L4" i="22"/>
  <c r="V4" i="22"/>
  <c r="P4" i="22"/>
  <c r="W4" i="22"/>
  <c r="X4" i="22"/>
  <c r="R4" i="22"/>
  <c r="Q21" i="22"/>
  <c r="S21" i="22"/>
  <c r="S20" i="22"/>
  <c r="Q19" i="22"/>
  <c r="S19" i="22"/>
  <c r="Q18" i="22"/>
  <c r="S18" i="22"/>
  <c r="Q17" i="22"/>
  <c r="S17" i="22"/>
  <c r="Q16" i="22"/>
  <c r="S16" i="22"/>
  <c r="Q15" i="22"/>
  <c r="S15" i="22"/>
  <c r="Q14" i="22"/>
  <c r="S14" i="22"/>
  <c r="Q13" i="22"/>
  <c r="S13" i="22"/>
  <c r="Q12" i="22"/>
  <c r="S12" i="22"/>
  <c r="Q11" i="22"/>
  <c r="S11" i="22"/>
  <c r="Q10" i="22"/>
  <c r="S10" i="22"/>
  <c r="Q9" i="22"/>
  <c r="S9" i="22"/>
  <c r="Q8" i="22"/>
  <c r="S8" i="22"/>
  <c r="Q7" i="22"/>
  <c r="S7" i="22"/>
  <c r="Q6" i="22"/>
  <c r="S6" i="22"/>
  <c r="Q5" i="22"/>
  <c r="S5" i="22"/>
  <c r="L43" i="8"/>
  <c r="L26" i="8"/>
  <c r="B6" i="23"/>
  <c r="L21" i="8"/>
  <c r="L4" i="8"/>
  <c r="B5" i="23"/>
  <c r="T21" i="8"/>
  <c r="T4" i="8"/>
  <c r="B4" i="23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B8" i="23"/>
  <c r="H4" i="8"/>
  <c r="H21" i="8"/>
  <c r="B2" i="23"/>
  <c r="P4" i="8"/>
  <c r="P21" i="8"/>
  <c r="C17" i="23"/>
  <c r="C18" i="23"/>
  <c r="U4" i="8"/>
  <c r="U21" i="8"/>
  <c r="C4" i="23"/>
  <c r="B10" i="23"/>
  <c r="B9" i="23"/>
  <c r="M43" i="8"/>
  <c r="M26" i="8"/>
  <c r="C6" i="23"/>
  <c r="M21" i="8"/>
  <c r="M4" i="8"/>
  <c r="C5" i="23"/>
  <c r="Q4" i="8"/>
  <c r="Q21" i="8"/>
  <c r="I4" i="8"/>
  <c r="I21" i="8"/>
  <c r="C2" i="23"/>
  <c r="I25" i="8"/>
  <c r="G24" i="16"/>
  <c r="H24" i="16"/>
  <c r="G25" i="16"/>
  <c r="H25" i="16"/>
  <c r="G24" i="14"/>
  <c r="H24" i="14"/>
  <c r="G25" i="14"/>
  <c r="H25" i="14"/>
  <c r="G24" i="21"/>
  <c r="H24" i="21"/>
  <c r="G25" i="21"/>
  <c r="H25" i="21"/>
  <c r="G24" i="20"/>
  <c r="H24" i="20"/>
  <c r="G25" i="20"/>
  <c r="H25" i="20"/>
  <c r="G24" i="15"/>
  <c r="H24" i="15"/>
  <c r="G25" i="15"/>
  <c r="H25" i="15"/>
  <c r="G24" i="18"/>
  <c r="H24" i="18"/>
  <c r="G25" i="18"/>
  <c r="H25" i="18"/>
  <c r="G24" i="19"/>
  <c r="H24" i="19"/>
  <c r="G25" i="19"/>
  <c r="H25" i="19"/>
  <c r="H42" i="8"/>
  <c r="I42" i="8"/>
  <c r="L42" i="8"/>
  <c r="M42" i="8"/>
  <c r="P42" i="8"/>
  <c r="Q42" i="8"/>
  <c r="H43" i="8"/>
  <c r="I43" i="8"/>
  <c r="P43" i="8"/>
  <c r="Q43" i="8"/>
  <c r="H20" i="8"/>
  <c r="I20" i="8"/>
  <c r="L20" i="8"/>
  <c r="M20" i="8"/>
  <c r="P20" i="8"/>
  <c r="Q20" i="8"/>
  <c r="T20" i="8"/>
  <c r="U20" i="8"/>
  <c r="G20" i="5"/>
  <c r="G21" i="5"/>
  <c r="R20" i="22"/>
  <c r="T20" i="22"/>
  <c r="R21" i="22"/>
  <c r="T21" i="22"/>
  <c r="Q20" i="3"/>
  <c r="R20" i="3"/>
  <c r="S20" i="3"/>
  <c r="Q21" i="3"/>
  <c r="R21" i="3"/>
  <c r="S21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D20" i="2"/>
  <c r="D21" i="2"/>
  <c r="F21" i="2"/>
  <c r="C3" i="2"/>
  <c r="H19" i="8"/>
  <c r="L41" i="8"/>
  <c r="D21" i="23"/>
  <c r="L19" i="8"/>
  <c r="T19" i="8"/>
  <c r="I20" i="4"/>
  <c r="J20" i="4"/>
  <c r="I21" i="4"/>
  <c r="J21" i="4"/>
  <c r="P19" i="8"/>
  <c r="Q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4" i="22"/>
  <c r="S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G19" i="18"/>
  <c r="H19" i="18"/>
  <c r="G20" i="18"/>
  <c r="H20" i="18"/>
  <c r="G21" i="18"/>
  <c r="H21" i="18"/>
  <c r="G22" i="18"/>
  <c r="H22" i="18"/>
  <c r="G23" i="18"/>
  <c r="H23" i="18"/>
  <c r="G7" i="18"/>
  <c r="H7" i="18"/>
  <c r="G8" i="18"/>
  <c r="H8" i="18"/>
  <c r="G9" i="18"/>
  <c r="H9" i="18"/>
  <c r="D22" i="23"/>
  <c r="C5" i="17"/>
  <c r="D5" i="17"/>
  <c r="E5" i="17"/>
  <c r="F5" i="17"/>
  <c r="G5" i="17"/>
  <c r="D6" i="17"/>
  <c r="E6" i="17"/>
  <c r="F6" i="17"/>
  <c r="G6" i="17"/>
  <c r="D7" i="17"/>
  <c r="E7" i="17"/>
  <c r="F7" i="17"/>
  <c r="G7" i="17"/>
  <c r="D8" i="17"/>
  <c r="E8" i="17"/>
  <c r="F8" i="17"/>
  <c r="G8" i="17"/>
  <c r="D9" i="17"/>
  <c r="E9" i="17"/>
  <c r="F9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D65" i="17"/>
  <c r="E65" i="17"/>
  <c r="F65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B7" i="23"/>
  <c r="D19" i="23"/>
  <c r="D18" i="23"/>
  <c r="D17" i="23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H7" i="14"/>
  <c r="G7" i="14"/>
  <c r="J19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3" i="4"/>
  <c r="M41" i="8"/>
  <c r="M19" i="8"/>
  <c r="U19" i="8"/>
  <c r="Q19" i="8"/>
  <c r="I19" i="8"/>
  <c r="L25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T13" i="8"/>
  <c r="H7" i="21"/>
  <c r="G7" i="21"/>
  <c r="G8" i="2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3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5"/>
  <c r="H18" i="15"/>
  <c r="G19" i="15"/>
  <c r="H19" i="15"/>
  <c r="G20" i="15"/>
  <c r="H20" i="15"/>
  <c r="G21" i="15"/>
  <c r="H21" i="15"/>
  <c r="G22" i="15"/>
  <c r="H22" i="15"/>
  <c r="G23" i="15"/>
  <c r="H23" i="15"/>
  <c r="H36" i="8"/>
  <c r="I36" i="8"/>
  <c r="M36" i="8"/>
  <c r="P36" i="8"/>
  <c r="Q36" i="8"/>
  <c r="H37" i="8"/>
  <c r="I37" i="8"/>
  <c r="M37" i="8"/>
  <c r="P37" i="8"/>
  <c r="Q37" i="8"/>
  <c r="H38" i="8"/>
  <c r="I38" i="8"/>
  <c r="M38" i="8"/>
  <c r="P38" i="8"/>
  <c r="Q38" i="8"/>
  <c r="H39" i="8"/>
  <c r="I39" i="8"/>
  <c r="M39" i="8"/>
  <c r="P39" i="8"/>
  <c r="Q39" i="8"/>
  <c r="H40" i="8"/>
  <c r="I40" i="8"/>
  <c r="M40" i="8"/>
  <c r="P40" i="8"/>
  <c r="Q40" i="8"/>
  <c r="H41" i="8"/>
  <c r="I41" i="8"/>
  <c r="P41" i="8"/>
  <c r="Q41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G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P25" i="8"/>
  <c r="H25" i="8"/>
  <c r="U3" i="8"/>
  <c r="Q3" i="8"/>
  <c r="M3" i="8"/>
  <c r="Q25" i="8"/>
  <c r="M25" i="8"/>
  <c r="T3" i="8"/>
  <c r="P3" i="8"/>
  <c r="L3" i="8"/>
  <c r="G3" i="5"/>
  <c r="P26" i="8"/>
  <c r="I26" i="8"/>
  <c r="Q26" i="8"/>
  <c r="H26" i="8"/>
  <c r="G4" i="5"/>
  <c r="P5" i="8"/>
  <c r="I5" i="8"/>
  <c r="H5" i="8"/>
  <c r="T5" i="8"/>
  <c r="Q27" i="8"/>
  <c r="Q5" i="8"/>
  <c r="P27" i="8"/>
  <c r="H27" i="8"/>
  <c r="L5" i="8"/>
  <c r="M27" i="8"/>
  <c r="U5" i="8"/>
  <c r="I27" i="8"/>
  <c r="M5" i="8"/>
  <c r="L7" i="8"/>
  <c r="G5" i="5"/>
  <c r="I6" i="8"/>
  <c r="M28" i="8"/>
  <c r="I28" i="8"/>
  <c r="Q28" i="8"/>
  <c r="P6" i="8"/>
  <c r="P28" i="8"/>
  <c r="H28" i="8"/>
  <c r="H6" i="8"/>
  <c r="L6" i="8"/>
  <c r="U6" i="8"/>
  <c r="Q6" i="8"/>
  <c r="T6" i="8"/>
  <c r="M6" i="8"/>
  <c r="P29" i="8"/>
  <c r="Q29" i="8"/>
  <c r="I29" i="8"/>
  <c r="M7" i="8"/>
  <c r="H29" i="8"/>
  <c r="I7" i="8"/>
  <c r="T7" i="8"/>
  <c r="U7" i="8"/>
  <c r="M29" i="8"/>
  <c r="Q7" i="8"/>
  <c r="H7" i="8"/>
  <c r="P7" i="8"/>
  <c r="G6" i="5"/>
  <c r="U8" i="8"/>
  <c r="M8" i="8"/>
  <c r="I30" i="8"/>
  <c r="P30" i="8"/>
  <c r="H8" i="8"/>
  <c r="H30" i="8"/>
  <c r="G7" i="5"/>
  <c r="T8" i="8"/>
  <c r="Q8" i="8"/>
  <c r="M30" i="8"/>
  <c r="T9" i="8"/>
  <c r="L8" i="8"/>
  <c r="I8" i="8"/>
  <c r="P8" i="8"/>
  <c r="Q30" i="8"/>
  <c r="L9" i="8"/>
  <c r="M31" i="8"/>
  <c r="U9" i="8"/>
  <c r="M9" i="8"/>
  <c r="H31" i="8"/>
  <c r="I31" i="8"/>
  <c r="P31" i="8"/>
  <c r="H9" i="8"/>
  <c r="P9" i="8"/>
  <c r="Q9" i="8"/>
  <c r="G8" i="5"/>
  <c r="Q31" i="8"/>
  <c r="I9" i="8"/>
  <c r="Q32" i="8"/>
  <c r="U10" i="8"/>
  <c r="M32" i="8"/>
  <c r="H32" i="8"/>
  <c r="Q10" i="8"/>
  <c r="I10" i="8"/>
  <c r="T10" i="8"/>
  <c r="L10" i="8"/>
  <c r="G9" i="5"/>
  <c r="P32" i="8"/>
  <c r="P10" i="8"/>
  <c r="M10" i="8"/>
  <c r="I32" i="8"/>
  <c r="H10" i="8"/>
  <c r="P33" i="8"/>
  <c r="T11" i="8"/>
  <c r="L11" i="8"/>
  <c r="I33" i="8"/>
  <c r="Q11" i="8"/>
  <c r="I11" i="8"/>
  <c r="G10" i="5"/>
  <c r="M33" i="8"/>
  <c r="H33" i="8"/>
  <c r="P11" i="8"/>
  <c r="Q33" i="8"/>
  <c r="U11" i="8"/>
  <c r="M11" i="8"/>
  <c r="H11" i="8"/>
  <c r="Q34" i="8"/>
  <c r="U12" i="8"/>
  <c r="M12" i="8"/>
  <c r="H12" i="8"/>
  <c r="M34" i="8"/>
  <c r="H34" i="8"/>
  <c r="P12" i="8"/>
  <c r="G11" i="5"/>
  <c r="I34" i="8"/>
  <c r="Q12" i="8"/>
  <c r="I12" i="8"/>
  <c r="P34" i="8"/>
  <c r="T12" i="8"/>
  <c r="L12" i="8"/>
  <c r="G12" i="5"/>
  <c r="H35" i="8"/>
  <c r="H13" i="8"/>
  <c r="U13" i="8"/>
  <c r="L13" i="8"/>
  <c r="Q35" i="8"/>
  <c r="I35" i="8"/>
  <c r="Q13" i="8"/>
  <c r="I13" i="8"/>
  <c r="P35" i="8"/>
  <c r="P13" i="8"/>
  <c r="M35" i="8"/>
  <c r="M13" i="8"/>
  <c r="B3" i="23"/>
  <c r="C3" i="23"/>
  <c r="D20" i="23"/>
  <c r="C20" i="23"/>
  <c r="C15" i="23"/>
  <c r="C16" i="23"/>
  <c r="D15" i="23"/>
  <c r="B12" i="23"/>
  <c r="D16" i="23"/>
  <c r="C19" i="23"/>
  <c r="C21" i="23"/>
  <c r="C22" i="23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<sst xmlns="http://schemas.openxmlformats.org/spreadsheetml/2006/main" count="570" uniqueCount="276">
  <si>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</si>
  <si>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</si>
  <si>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</si>
  <si>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</si>
  <si>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</si>
  <si>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</si>
  <si>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</si>
  <si>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</si>
  <si>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</si>
  <si>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</si>
  <si>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</si>
  <si>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</si>
  <si>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</si>
  <si>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</si>
  <si>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</si>
  <si>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</si>
  <si>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</si>
  <si>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</si>
  <si>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</si>
  <si>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</si>
  <si>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</si>
  <si>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</si>
  <si>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</si>
  <si>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</si>
  <si>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</si>
  <si>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</si>
  <si>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</si>
  <si>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</si>
  <si>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</si>
  <si>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</si>
  <si>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</si>
  <si>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</si>
  <si>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</si>
  <si>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</si>
  <si>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</si>
  <si>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</si>
  <si>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</si>
  <si>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</si>
  <si>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</si>
  <si>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</si>
  <si>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</si>
  <si>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</si>
  <si>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</si>
  <si>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</si>
  <si>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</si>
  <si>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</si>
  <si>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</si>
  <si>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</si>
  <si>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</si>
  <si>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</si>
  <si>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</si>
  <si>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</si>
  <si>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</si>
  <si>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</si>
  <si>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</si>
  <si>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</si>
  <si>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</si>
  <si>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</si>
  <si>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</si>
  <si>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</si>
  <si>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</si>
  <si>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</si>
  <si>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</si>
  <si>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</si>
  <si>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</si>
  <si>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</si>
  <si>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</si>
  <si>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</si>
  <si>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</si>
  <si>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</si>
  <si>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</si>
  <si>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</si>
  <si>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</si>
  <si>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</si>
  <si>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</si>
  <si>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</si>
  <si>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</si>
  <si>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</si>
  <si>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</si>
  <si>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</si>
  <si>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</si>
  <si>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</si>
  <si>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</si>
  <si>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</si>
  <si>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</si>
  <si>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</si>
  <si>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</si>
  <si>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</si>
  <si>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</si>
  <si>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</si>
  <si>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</si>
  <si>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</si>
  <si>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</si>
  <si>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Na-acetate trihydrate (50 mM)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</si>
  <si>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</si>
  <si>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</si>
  <si>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</si>
  <si>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</si>
  <si>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</si>
  <si>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</si>
  <si>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</si>
  <si>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</si>
  <si>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</si>
  <si>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</si>
  <si>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</si>
  <si>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</si>
  <si>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</si>
  <si>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</si>
  <si>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</si>
  <si>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</si>
  <si>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</si>
  <si>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</si>
  <si>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</si>
  <si>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</si>
  <si>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</si>
  <si>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</si>
  <si>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</si>
  <si>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</si>
  <si>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</si>
  <si>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</si>
  <si>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</si>
  <si>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</si>
  <si>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</si>
  <si>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</si>
  <si>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Acetic acid consumed</t>
  </si>
  <si>
    <t>Formic acid produced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</si>
  <si>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</si>
  <si>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</si>
  <si>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</si>
  <si>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</si>
  <si>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r>
      <rPr>
        <i/>
        <sz val="11"/>
        <color theme="1"/>
        <rFont val="Calibri"/>
        <family val="2"/>
        <scheme val="minor"/>
      </rPr>
      <t xml:space="preserve">Faecalibacterium prausnitzii </t>
    </r>
    <r>
      <rPr>
        <sz val="11"/>
        <color theme="1"/>
        <rFont val="Calibri"/>
        <family val="2"/>
        <scheme val="minor"/>
      </rPr>
      <t>DSM 17677</t>
    </r>
    <r>
      <rPr>
        <vertAlign val="superscript"/>
        <sz val="11"/>
        <color theme="1"/>
        <rFont val="Calibri"/>
        <family val="2"/>
        <scheme val="minor"/>
      </rPr>
      <t>T</t>
    </r>
  </si>
  <si>
    <t>Theoretical</t>
  </si>
  <si>
    <t>Experimental</t>
  </si>
  <si>
    <t>x</t>
  </si>
  <si>
    <t>2x</t>
  </si>
  <si>
    <t>z</t>
  </si>
  <si>
    <t>f</t>
  </si>
  <si>
    <t>2x-z-f</t>
  </si>
  <si>
    <t>y</t>
  </si>
  <si>
    <t>LN(Count/mL)</t>
  </si>
  <si>
    <t>2x-z+y</t>
  </si>
  <si>
    <t>(2x-2+Y)/2</t>
  </si>
  <si>
    <t>Left (mL) after inoculation</t>
  </si>
  <si>
    <t>D-Fructose</t>
  </si>
  <si>
    <t>D - Fructose</t>
  </si>
  <si>
    <t>D-Fructose consumed</t>
  </si>
  <si>
    <t>6.80</t>
  </si>
  <si>
    <t>D -Fructose (50 mM)</t>
  </si>
  <si>
    <t>9.00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</si>
  <si>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</si>
  <si>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STDEV LOG(Count/mL)</t>
  </si>
  <si>
    <t>LOG</t>
  </si>
  <si>
    <t>0.40</t>
  </si>
  <si>
    <t>0.20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</si>
  <si>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</si>
  <si>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</si>
  <si>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</si>
  <si>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</si>
  <si>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</si>
  <si>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</si>
  <si>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</si>
  <si>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</si>
  <si>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</si>
  <si>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</si>
  <si>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</si>
  <si>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</si>
  <si>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</si>
  <si>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</si>
  <si>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</si>
  <si>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</si>
  <si>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</si>
  <si>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</si>
  <si>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</si>
  <si>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2x moles pyruvate produced</t>
  </si>
  <si>
    <t>z moles lactate produced</t>
  </si>
  <si>
    <t>f moles formate produced</t>
  </si>
  <si>
    <t>2x-z-f moles CO2 produced</t>
  </si>
  <si>
    <t>y moles acetate consumed</t>
  </si>
  <si>
    <t>2x-z+y moles acetyl-CoA produced</t>
  </si>
  <si>
    <t>(2x-2+y)/2 moles butyrate produced</t>
  </si>
  <si>
    <t>0 moles H2</t>
  </si>
  <si>
    <t>x moles D-fructose consumed</t>
  </si>
  <si>
    <t xml:space="preserve">Volume (ul) 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</si>
  <si>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</si>
  <si>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</si>
  <si>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</si>
  <si>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</si>
  <si>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</si>
  <si>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</si>
  <si>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</si>
  <si>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</si>
  <si>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</si>
  <si>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</si>
  <si>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</si>
  <si>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</si>
  <si>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</si>
  <si>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</si>
  <si>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</si>
  <si>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</si>
  <si>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CT1</t>
  </si>
  <si>
    <t>CT2</t>
  </si>
  <si>
    <t>Log Dilution for 1 ml</t>
  </si>
  <si>
    <t>AUTO</t>
  </si>
  <si>
    <t>baseline</t>
  </si>
  <si>
    <t>Rico</t>
  </si>
  <si>
    <t>intercept</t>
  </si>
  <si>
    <t>Efficiency E (%)</t>
  </si>
  <si>
    <t>IPC FP10 epp</t>
  </si>
  <si>
    <t>Ct1</t>
  </si>
  <si>
    <t>Ct2</t>
  </si>
  <si>
    <t>Ct3</t>
  </si>
  <si>
    <t>Ct1 IPC corrected</t>
  </si>
  <si>
    <t>Ct2 IPC corrected</t>
  </si>
  <si>
    <t>Ct3 IPC corrected</t>
  </si>
  <si>
    <t>Log (cells/ml) 1</t>
  </si>
  <si>
    <t>Log (cells/ml) 2</t>
  </si>
  <si>
    <t>Log (cells/ml) 3</t>
  </si>
  <si>
    <t>Log (cells/ml)</t>
  </si>
  <si>
    <t>STDV Log (cells/ml)</t>
  </si>
  <si>
    <t>cells/ml medium</t>
  </si>
  <si>
    <t>STDV Log (cells/ml medium)</t>
  </si>
  <si>
    <t>Dilution log (10x)</t>
  </si>
  <si>
    <t xml:space="preserve">Dilution </t>
  </si>
  <si>
    <t>F. prausnitzii</t>
  </si>
  <si>
    <t>CT1 normalized per mL</t>
  </si>
  <si>
    <t>CT2 normalized per mL</t>
  </si>
  <si>
    <t>CT3 normalized per mL</t>
  </si>
  <si>
    <t>Average CT normalized per mL</t>
  </si>
  <si>
    <t>Ct Threshold</t>
  </si>
  <si>
    <t>Threshold</t>
  </si>
  <si>
    <t>Total Average</t>
  </si>
  <si>
    <t>STDV  (cells/ml medium)</t>
  </si>
  <si>
    <t>Log (cells/ml medium)</t>
  </si>
  <si>
    <t>outliers</t>
  </si>
  <si>
    <t>Outliers</t>
  </si>
  <si>
    <t>IPC value epp 10 plate 20150709</t>
  </si>
  <si>
    <t>IPC value epp 10 plate 20150707</t>
  </si>
  <si>
    <t>IPC value  epp 10 plate 20150702</t>
  </si>
  <si>
    <t>IPC value epp 10 plate 20150708</t>
  </si>
  <si>
    <t>IPC value epp 9 plate 20150714</t>
  </si>
  <si>
    <t>IPC value epp 9 plate 20150715</t>
  </si>
  <si>
    <t>IPC value epp 9 plate 20150717</t>
  </si>
  <si>
    <t>IPC value epp 9 plate 201507120</t>
  </si>
  <si>
    <t>IPC value epp 8 plate 20150722</t>
  </si>
  <si>
    <t>IPC value epp 8 plate 20150729</t>
  </si>
  <si>
    <t>IPC value epp 7 plate 20150730</t>
  </si>
  <si>
    <t>IPC value epp 7 plate 20150804</t>
  </si>
  <si>
    <t>IPC value epp 6 plate 20150804</t>
  </si>
  <si>
    <t>IPC value epp 6 plate 20150807</t>
  </si>
  <si>
    <t>IPC value epp 6 plate 20150820</t>
  </si>
  <si>
    <t>IPC value epp 6 plate 20150902</t>
  </si>
  <si>
    <t>IPC value epp 5 plate 20150910</t>
  </si>
  <si>
    <t>IPC value epp 5 plate 20150911</t>
  </si>
  <si>
    <t>IPC value epp 5 plate 20150922</t>
  </si>
  <si>
    <t>IPC value epp 4 plate 20150929</t>
  </si>
  <si>
    <t>IPC value epp 4 plate 20151002</t>
  </si>
  <si>
    <t>IPC value epp 4 plate 20151007</t>
  </si>
  <si>
    <t>IPC value epp 4 plate 20151009</t>
  </si>
  <si>
    <t>IPC value epp 3 plate 20151020</t>
  </si>
  <si>
    <t>IPC value epp 3 plate 20151111</t>
  </si>
  <si>
    <t>CT3</t>
  </si>
  <si>
    <t>Average CT</t>
  </si>
  <si>
    <t>Dilution for 1 ml</t>
  </si>
  <si>
    <t>IPC value epp 2 plate 20151111</t>
  </si>
  <si>
    <t>IPC value epp 2 plate 20151112</t>
  </si>
  <si>
    <t>IPC value epp 2 plate 20151204</t>
  </si>
  <si>
    <t>IPC value epp 1 plate 20160119</t>
  </si>
  <si>
    <t>IPC value epp 1 plate 20160208</t>
  </si>
  <si>
    <t>IPC value epp 1 plate 20160222</t>
  </si>
  <si>
    <t>IPC value epp 1 plate 20160223</t>
  </si>
  <si>
    <t>IPC value epp 9 plate 20160223</t>
  </si>
  <si>
    <t>IPC value epp 9 plate 20160225</t>
  </si>
  <si>
    <t>IPC value epp 9 plate 20160308</t>
  </si>
  <si>
    <t>IPC value epp 9 plate 20160310</t>
  </si>
  <si>
    <t>IPC value epp 8 plate 20160325</t>
  </si>
  <si>
    <t>IPC value epp 8 plate 20160405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</si>
</sst>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8000"/>
      <name val="Calibri"/>
      <scheme val="minor"/>
    </font>
    <font>
      <sz val="11"/>
      <color theme="1"/>
      <name val="Calibri"/>
      <family val="2"/>
      <scheme val="minor"/>
    </font>
    <font>
      <i/>
      <sz val="11"/>
      <name val="Calibri"/>
      <scheme val="minor"/>
    </font>
    <font>
      <sz val="11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444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24" fillId="0" borderId="16" xfId="0" applyFont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164" fontId="18" fillId="0" borderId="16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1" fontId="25" fillId="0" borderId="0" xfId="0" applyNumberFormat="1" applyFont="1"/>
    <xf numFmtId="1" fontId="25" fillId="0" borderId="18" xfId="0" applyNumberFormat="1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18" fillId="11" borderId="0" xfId="0" applyFont="1" applyFill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5" fontId="0" fillId="0" borderId="0" xfId="0" applyNumberFormat="1"/>
    <xf numFmtId="165" fontId="25" fillId="0" borderId="0" xfId="0" applyNumberFormat="1" applyFont="1"/>
    <xf numFmtId="165" fontId="26" fillId="0" borderId="0" xfId="0" applyNumberFormat="1" applyFont="1"/>
    <xf numFmtId="0" fontId="27" fillId="0" borderId="0" xfId="297"/>
    <xf numFmtId="0" fontId="27" fillId="0" borderId="3" xfId="297" applyFill="1" applyBorder="1" applyAlignment="1">
      <alignment horizontal="center" vertical="center"/>
    </xf>
    <xf numFmtId="0" fontId="27" fillId="0" borderId="16" xfId="297" applyFill="1" applyBorder="1" applyAlignment="1">
      <alignment horizontal="center" vertical="center"/>
    </xf>
    <xf numFmtId="11" fontId="27" fillId="0" borderId="16" xfId="297" applyNumberFormat="1" applyFill="1" applyBorder="1" applyAlignment="1">
      <alignment horizontal="center" vertical="center"/>
    </xf>
    <xf numFmtId="0" fontId="0" fillId="0" borderId="16" xfId="297" applyFont="1" applyBorder="1" applyAlignment="1">
      <alignment horizontal="center" vertical="center"/>
    </xf>
    <xf numFmtId="0" fontId="27" fillId="0" borderId="16" xfId="297" applyBorder="1" applyAlignment="1">
      <alignment horizontal="center" vertical="center"/>
    </xf>
    <xf numFmtId="11" fontId="27" fillId="0" borderId="16" xfId="297" applyNumberFormat="1" applyBorder="1" applyAlignment="1">
      <alignment horizontal="center" vertical="center"/>
    </xf>
    <xf numFmtId="2" fontId="27" fillId="0" borderId="16" xfId="297" applyNumberFormat="1" applyBorder="1" applyAlignment="1">
      <alignment horizontal="center" vertical="center"/>
    </xf>
    <xf numFmtId="0" fontId="27" fillId="2" borderId="21" xfId="297" applyFill="1" applyBorder="1" applyAlignment="1">
      <alignment wrapText="1"/>
    </xf>
    <xf numFmtId="0" fontId="0" fillId="2" borderId="21" xfId="297" applyFont="1" applyFill="1" applyBorder="1" applyAlignment="1">
      <alignment wrapText="1"/>
    </xf>
    <xf numFmtId="0" fontId="0" fillId="2" borderId="21" xfId="297" applyFont="1" applyFill="1" applyBorder="1" applyAlignment="1">
      <alignment horizontal="center" vertical="center" wrapText="1"/>
    </xf>
    <xf numFmtId="0" fontId="27" fillId="0" borderId="16" xfId="297" applyBorder="1"/>
    <xf numFmtId="0" fontId="27" fillId="2" borderId="16" xfId="297" applyFill="1" applyBorder="1"/>
    <xf numFmtId="0" fontId="0" fillId="0" borderId="0" xfId="297" applyFont="1"/>
    <xf numFmtId="0" fontId="28" fillId="12" borderId="0" xfId="297" applyFont="1" applyFill="1"/>
    <xf numFmtId="165" fontId="27" fillId="0" borderId="16" xfId="297" applyNumberFormat="1" applyBorder="1"/>
    <xf numFmtId="0" fontId="0" fillId="0" borderId="16" xfId="297" applyFont="1" applyBorder="1"/>
    <xf numFmtId="165" fontId="27" fillId="0" borderId="16" xfId="297" applyNumberFormat="1" applyBorder="1" applyAlignment="1">
      <alignment horizontal="center" vertical="center"/>
    </xf>
    <xf numFmtId="165" fontId="27" fillId="0" borderId="0" xfId="297" applyNumberFormat="1"/>
    <xf numFmtId="0" fontId="0" fillId="0" borderId="0" xfId="297" applyFont="1" applyFill="1" applyBorder="1"/>
    <xf numFmtId="165" fontId="25" fillId="0" borderId="16" xfId="0" applyNumberFormat="1" applyFont="1" applyBorder="1" applyAlignment="1">
      <alignment horizontal="center" vertical="center"/>
    </xf>
    <xf numFmtId="165" fontId="25" fillId="0" borderId="18" xfId="0" applyNumberFormat="1" applyFont="1" applyBorder="1" applyAlignment="1">
      <alignment horizontal="center" vertical="center"/>
    </xf>
    <xf numFmtId="2" fontId="27" fillId="0" borderId="16" xfId="297" applyNumberFormat="1" applyBorder="1"/>
    <xf numFmtId="1" fontId="27" fillId="0" borderId="16" xfId="297" applyNumberFormat="1" applyBorder="1"/>
    <xf numFmtId="0" fontId="29" fillId="0" borderId="16" xfId="297" applyFont="1" applyBorder="1"/>
    <xf numFmtId="165" fontId="25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5" fontId="27" fillId="0" borderId="0" xfId="297" applyNumberFormat="1" applyBorder="1" applyAlignment="1">
      <alignment horizontal="center" vertical="center"/>
    </xf>
    <xf numFmtId="165" fontId="27" fillId="0" borderId="0" xfId="297" applyNumberFormat="1" applyBorder="1"/>
    <xf numFmtId="2" fontId="27" fillId="0" borderId="0" xfId="297" applyNumberFormat="1" applyBorder="1"/>
    <xf numFmtId="1" fontId="27" fillId="0" borderId="0" xfId="297" applyNumberFormat="1" applyBorder="1"/>
    <xf numFmtId="0" fontId="27" fillId="2" borderId="4" xfId="297" applyFill="1" applyBorder="1" applyAlignment="1">
      <alignment horizontal="center" vertical="center"/>
    </xf>
    <xf numFmtId="0" fontId="27" fillId="2" borderId="3" xfId="297" applyFill="1" applyBorder="1" applyAlignment="1">
      <alignment horizontal="center" vertical="center"/>
    </xf>
    <xf numFmtId="0" fontId="27" fillId="2" borderId="16" xfId="297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 vertical="center"/>
    </xf>
    <xf numFmtId="164" fontId="24" fillId="0" borderId="18" xfId="0" applyNumberFormat="1" applyFont="1" applyBorder="1" applyAlignment="1">
      <alignment horizontal="center" vertical="center"/>
    </xf>
    <xf numFmtId="164" fontId="0" fillId="0" borderId="16" xfId="0" applyNumberFormat="1" applyFont="1" applyBorder="1" applyAlignment="1">
      <alignment horizontal="center"/>
    </xf>
    <xf numFmtId="165" fontId="25" fillId="0" borderId="3" xfId="0" applyNumberFormat="1" applyFont="1" applyBorder="1" applyAlignment="1">
      <alignment horizontal="center" vertical="center"/>
    </xf>
    <xf numFmtId="165" fontId="25" fillId="0" borderId="20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0" fillId="0" borderId="22" xfId="297" applyFont="1" applyBorder="1" applyAlignment="1">
      <alignment horizontal="center"/>
    </xf>
    <xf numFmtId="0" fontId="27" fillId="0" borderId="22" xfId="297" applyBorder="1" applyAlignment="1">
      <alignment horizontal="center"/>
    </xf>
    <xf numFmtId="0" fontId="27" fillId="0" borderId="17" xfId="297" applyNumberFormat="1" applyFill="1" applyBorder="1" applyAlignment="1">
      <alignment horizontal="center" vertical="center"/>
    </xf>
    <xf numFmtId="0" fontId="27" fillId="0" borderId="5" xfId="297" applyNumberFormat="1" applyFill="1" applyBorder="1" applyAlignment="1">
      <alignment horizontal="center" vertical="center"/>
    </xf>
    <xf numFmtId="0" fontId="27" fillId="0" borderId="18" xfId="297" applyNumberFormat="1" applyFill="1" applyBorder="1" applyAlignment="1">
      <alignment horizontal="center" vertical="center"/>
    </xf>
    <xf numFmtId="0" fontId="27" fillId="2" borderId="4" xfId="297" applyFill="1" applyBorder="1" applyAlignment="1">
      <alignment horizontal="center" vertical="center"/>
    </xf>
    <xf numFmtId="0" fontId="27" fillId="2" borderId="3" xfId="297" applyFill="1" applyBorder="1" applyAlignment="1">
      <alignment horizontal="center" vertical="center"/>
    </xf>
    <xf numFmtId="0" fontId="0" fillId="2" borderId="4" xfId="297" applyFont="1" applyFill="1" applyBorder="1" applyAlignment="1">
      <alignment horizontal="center" vertical="center"/>
    </xf>
    <xf numFmtId="0" fontId="27" fillId="2" borderId="16" xfId="297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444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Input" xfId="10"/>
    <cellStyle name="Linked Cell" xfId="11"/>
    <cellStyle name="Neutral" xfId="12"/>
    <cellStyle name="Normal" xfId="0" builtinId="0"/>
    <cellStyle name="Normal 2" xfId="297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1425FF"/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hartsheet" Target="chartsheets/sheet2.xml"/><Relationship Id="rId21" Type="http://schemas.openxmlformats.org/officeDocument/2006/relationships/worksheet" Target="worksheets/sheet19.xml"/><Relationship Id="rId22" Type="http://schemas.openxmlformats.org/officeDocument/2006/relationships/theme" Target="theme/theme1.xml"/><Relationship Id="rId23" Type="http://schemas.openxmlformats.org/officeDocument/2006/relationships/connections" Target="connections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('Calibration F. prausnitzii'!$R$4:$R$5,'Calibration F. prausnitzii'!$R$7:$R$9,'Calibration F. prausnitzii'!$R$12:$R$18)</c:f>
              <c:numCache>
                <c:formatCode>0.00</c:formatCode>
                <c:ptCount val="12"/>
                <c:pt idx="0">
                  <c:v>8.615856001921256</c:v>
                </c:pt>
                <c:pt idx="1">
                  <c:v>7.578787169009893</c:v>
                </c:pt>
                <c:pt idx="2">
                  <c:v>5.16625245195416</c:v>
                </c:pt>
                <c:pt idx="3">
                  <c:v>4.327142945090009</c:v>
                </c:pt>
                <c:pt idx="4">
                  <c:v>8.5970052819172</c:v>
                </c:pt>
                <c:pt idx="5">
                  <c:v>7.638654956108294</c:v>
                </c:pt>
                <c:pt idx="6">
                  <c:v>7.317915960046743</c:v>
                </c:pt>
                <c:pt idx="7">
                  <c:v>6.979500247162297</c:v>
                </c:pt>
                <c:pt idx="8">
                  <c:v>6.727141401256697</c:v>
                </c:pt>
                <c:pt idx="9">
                  <c:v>6.258345785566837</c:v>
                </c:pt>
                <c:pt idx="10">
                  <c:v>5.898754948228658</c:v>
                </c:pt>
                <c:pt idx="11">
                  <c:v>5.513685518117733</c:v>
                </c:pt>
              </c:numCache>
            </c:numRef>
          </c:xVal>
          <c:yVal>
            <c:numRef>
              <c:f>('Calibration F. prausnitzii'!$L$23:$L$24,'Calibration F. prausnitzii'!$L$26:$L$28,'Calibration F. prausnitzii'!$L$31:$L$37)</c:f>
              <c:numCache>
                <c:formatCode>0.0</c:formatCode>
                <c:ptCount val="12"/>
                <c:pt idx="0">
                  <c:v>7.615938071690805</c:v>
                </c:pt>
                <c:pt idx="1">
                  <c:v>10.99721674549859</c:v>
                </c:pt>
                <c:pt idx="2">
                  <c:v>18.92516283619683</c:v>
                </c:pt>
                <c:pt idx="3">
                  <c:v>22.15071698455295</c:v>
                </c:pt>
                <c:pt idx="4">
                  <c:v>7.926772761510367</c:v>
                </c:pt>
                <c:pt idx="5">
                  <c:v>11.08311685737625</c:v>
                </c:pt>
                <c:pt idx="6">
                  <c:v>13.44173781888341</c:v>
                </c:pt>
                <c:pt idx="7">
                  <c:v>14.0348183395133</c:v>
                </c:pt>
                <c:pt idx="8">
                  <c:v>13.99912230985021</c:v>
                </c:pt>
                <c:pt idx="9">
                  <c:v>15.79201794481929</c:v>
                </c:pt>
                <c:pt idx="10">
                  <c:v>16.9694255274202</c:v>
                </c:pt>
                <c:pt idx="11">
                  <c:v>17.46778266446447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271368"/>
        <c:axId val="-2077189320"/>
      </c:scatterChart>
      <c:valAx>
        <c:axId val="-2091271368"/>
        <c:scaling>
          <c:orientation val="minMax"/>
          <c:max val="15.0"/>
          <c:min val="0.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7189320"/>
        <c:crosses val="autoZero"/>
        <c:crossBetween val="midCat"/>
        <c:majorUnit val="2.0"/>
      </c:valAx>
      <c:valAx>
        <c:axId val="-207718932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crossAx val="-2091271368"/>
        <c:crosses val="autoZero"/>
        <c:crossBetween val="midCat"/>
        <c:minorUnit val="1.0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08992728368"/>
          <c:y val="0.0470910618390274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Metabolites!$M$4:$M$21</c:f>
                <c:numCache>
                  <c:formatCode>General</c:formatCode>
                  <c:ptCount val="18"/>
                  <c:pt idx="0">
                    <c:v>0.00640930583025784</c:v>
                  </c:pt>
                  <c:pt idx="1">
                    <c:v>0.0169574293034186</c:v>
                  </c:pt>
                  <c:pt idx="2">
                    <c:v>0.0192279174907735</c:v>
                  </c:pt>
                  <c:pt idx="3">
                    <c:v>0.0128186116605157</c:v>
                  </c:pt>
                  <c:pt idx="4">
                    <c:v>0.0169574293034186</c:v>
                  </c:pt>
                  <c:pt idx="5">
                    <c:v>0.011101243339254</c:v>
                  </c:pt>
                  <c:pt idx="6">
                    <c:v>0.011101243339254</c:v>
                  </c:pt>
                  <c:pt idx="7">
                    <c:v>0.011101243339254</c:v>
                  </c:pt>
                  <c:pt idx="8">
                    <c:v>0.00640930583025784</c:v>
                  </c:pt>
                  <c:pt idx="9">
                    <c:v>0.022202486678508</c:v>
                  </c:pt>
                  <c:pt idx="10">
                    <c:v>0.0169742022305239</c:v>
                  </c:pt>
                  <c:pt idx="11">
                    <c:v>0.0169917194670879</c:v>
                  </c:pt>
                  <c:pt idx="12">
                    <c:v>0.011147742745679</c:v>
                  </c:pt>
                  <c:pt idx="13">
                    <c:v>0.00646530811777018</c:v>
                  </c:pt>
                  <c:pt idx="14">
                    <c:v>0.0171663993156231</c:v>
                  </c:pt>
                  <c:pt idx="15">
                    <c:v>0.0114049480029028</c:v>
                  </c:pt>
                  <c:pt idx="16">
                    <c:v>0.0131865369022791</c:v>
                  </c:pt>
                  <c:pt idx="17">
                    <c:v>0.0131865369022795</c:v>
                  </c:pt>
                </c:numCache>
              </c:numRef>
            </c:plus>
            <c:minus>
              <c:numRef>
                <c:f>Metabolites!$M$4:$M$21</c:f>
                <c:numCache>
                  <c:formatCode>General</c:formatCode>
                  <c:ptCount val="18"/>
                  <c:pt idx="0">
                    <c:v>0.00640930583025784</c:v>
                  </c:pt>
                  <c:pt idx="1">
                    <c:v>0.0169574293034186</c:v>
                  </c:pt>
                  <c:pt idx="2">
                    <c:v>0.0192279174907735</c:v>
                  </c:pt>
                  <c:pt idx="3">
                    <c:v>0.0128186116605157</c:v>
                  </c:pt>
                  <c:pt idx="4">
                    <c:v>0.0169574293034186</c:v>
                  </c:pt>
                  <c:pt idx="5">
                    <c:v>0.011101243339254</c:v>
                  </c:pt>
                  <c:pt idx="6">
                    <c:v>0.011101243339254</c:v>
                  </c:pt>
                  <c:pt idx="7">
                    <c:v>0.011101243339254</c:v>
                  </c:pt>
                  <c:pt idx="8">
                    <c:v>0.00640930583025784</c:v>
                  </c:pt>
                  <c:pt idx="9">
                    <c:v>0.022202486678508</c:v>
                  </c:pt>
                  <c:pt idx="10">
                    <c:v>0.0169742022305239</c:v>
                  </c:pt>
                  <c:pt idx="11">
                    <c:v>0.0169917194670879</c:v>
                  </c:pt>
                  <c:pt idx="12">
                    <c:v>0.011147742745679</c:v>
                  </c:pt>
                  <c:pt idx="13">
                    <c:v>0.00646530811777018</c:v>
                  </c:pt>
                  <c:pt idx="14">
                    <c:v>0.0171663993156231</c:v>
                  </c:pt>
                  <c:pt idx="15">
                    <c:v>0.0114049480029028</c:v>
                  </c:pt>
                  <c:pt idx="16">
                    <c:v>0.0131865369022791</c:v>
                  </c:pt>
                  <c:pt idx="17">
                    <c:v>0.0131865369022795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Metabolites!$L$4:$L$21</c:f>
              <c:numCache>
                <c:formatCode>0</c:formatCode>
                <c:ptCount val="18"/>
                <c:pt idx="0">
                  <c:v>1.979721728833629</c:v>
                </c:pt>
                <c:pt idx="1">
                  <c:v>1.983422143280047</c:v>
                </c:pt>
                <c:pt idx="2">
                  <c:v>1.976021314387212</c:v>
                </c:pt>
                <c:pt idx="3">
                  <c:v>2.013025458851391</c:v>
                </c:pt>
                <c:pt idx="4">
                  <c:v>2.061130846654825</c:v>
                </c:pt>
                <c:pt idx="5">
                  <c:v>2.064831261101243</c:v>
                </c:pt>
                <c:pt idx="6">
                  <c:v>2.05373001776199</c:v>
                </c:pt>
                <c:pt idx="7">
                  <c:v>2.042628774422736</c:v>
                </c:pt>
                <c:pt idx="8">
                  <c:v>2.0352279455299</c:v>
                </c:pt>
                <c:pt idx="9">
                  <c:v>2.031527531083481</c:v>
                </c:pt>
                <c:pt idx="10">
                  <c:v>2.018720656555275</c:v>
                </c:pt>
                <c:pt idx="11">
                  <c:v>2.009680268085646</c:v>
                </c:pt>
                <c:pt idx="12">
                  <c:v>2.040036922459263</c:v>
                </c:pt>
                <c:pt idx="13">
                  <c:v>1.985821607324275</c:v>
                </c:pt>
                <c:pt idx="14">
                  <c:v>1.992880214933247</c:v>
                </c:pt>
                <c:pt idx="15">
                  <c:v>2.72578257269377</c:v>
                </c:pt>
                <c:pt idx="16">
                  <c:v>3.212791765948615</c:v>
                </c:pt>
                <c:pt idx="17">
                  <c:v>3.646747051870584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Metabolites!$Q$4:$Q$21</c:f>
                <c:numCache>
                  <c:formatCode>General</c:formatCode>
                  <c:ptCount val="18"/>
                  <c:pt idx="0">
                    <c:v>0.540382372675703</c:v>
                  </c:pt>
                  <c:pt idx="1">
                    <c:v>0.433932197195513</c:v>
                  </c:pt>
                  <c:pt idx="2">
                    <c:v>0.189383537154947</c:v>
                  </c:pt>
                  <c:pt idx="3">
                    <c:v>0.419086008063876</c:v>
                  </c:pt>
                  <c:pt idx="4">
                    <c:v>0.14228149450987</c:v>
                  </c:pt>
                  <c:pt idx="5">
                    <c:v>0.279317138504781</c:v>
                  </c:pt>
                  <c:pt idx="6">
                    <c:v>0.349840716216234</c:v>
                  </c:pt>
                  <c:pt idx="7">
                    <c:v>0.999583593569288</c:v>
                  </c:pt>
                  <c:pt idx="8">
                    <c:v>0.462196160714205</c:v>
                  </c:pt>
                  <c:pt idx="9">
                    <c:v>0.422272184283297</c:v>
                  </c:pt>
                  <c:pt idx="10">
                    <c:v>0.0585405205404285</c:v>
                  </c:pt>
                  <c:pt idx="11">
                    <c:v>0.236767530437423</c:v>
                  </c:pt>
                  <c:pt idx="12">
                    <c:v>0.160687302784606</c:v>
                  </c:pt>
                  <c:pt idx="13">
                    <c:v>0.673050779876253</c:v>
                  </c:pt>
                  <c:pt idx="14">
                    <c:v>0.42145013028269</c:v>
                  </c:pt>
                  <c:pt idx="15">
                    <c:v>0.489610390974548</c:v>
                  </c:pt>
                  <c:pt idx="16">
                    <c:v>0.465692207780867</c:v>
                  </c:pt>
                  <c:pt idx="17">
                    <c:v>0.178302652956818</c:v>
                  </c:pt>
                </c:numCache>
              </c:numRef>
            </c:plus>
            <c:minus>
              <c:numRef>
                <c:f>Metabolites!$Q$4:$Q$21</c:f>
                <c:numCache>
                  <c:formatCode>General</c:formatCode>
                  <c:ptCount val="18"/>
                  <c:pt idx="0">
                    <c:v>0.540382372675703</c:v>
                  </c:pt>
                  <c:pt idx="1">
                    <c:v>0.433932197195513</c:v>
                  </c:pt>
                  <c:pt idx="2">
                    <c:v>0.189383537154947</c:v>
                  </c:pt>
                  <c:pt idx="3">
                    <c:v>0.419086008063876</c:v>
                  </c:pt>
                  <c:pt idx="4">
                    <c:v>0.14228149450987</c:v>
                  </c:pt>
                  <c:pt idx="5">
                    <c:v>0.279317138504781</c:v>
                  </c:pt>
                  <c:pt idx="6">
                    <c:v>0.349840716216234</c:v>
                  </c:pt>
                  <c:pt idx="7">
                    <c:v>0.999583593569288</c:v>
                  </c:pt>
                  <c:pt idx="8">
                    <c:v>0.462196160714205</c:v>
                  </c:pt>
                  <c:pt idx="9">
                    <c:v>0.422272184283297</c:v>
                  </c:pt>
                  <c:pt idx="10">
                    <c:v>0.0585405205404285</c:v>
                  </c:pt>
                  <c:pt idx="11">
                    <c:v>0.236767530437423</c:v>
                  </c:pt>
                  <c:pt idx="12">
                    <c:v>0.160687302784606</c:v>
                  </c:pt>
                  <c:pt idx="13">
                    <c:v>0.673050779876253</c:v>
                  </c:pt>
                  <c:pt idx="14">
                    <c:v>0.42145013028269</c:v>
                  </c:pt>
                  <c:pt idx="15">
                    <c:v>0.489610390974548</c:v>
                  </c:pt>
                  <c:pt idx="16">
                    <c:v>0.465692207780867</c:v>
                  </c:pt>
                  <c:pt idx="17">
                    <c:v>0.178302652956818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Metabolites!$P$4:$P$21</c:f>
              <c:numCache>
                <c:formatCode>0</c:formatCode>
                <c:ptCount val="18"/>
                <c:pt idx="0">
                  <c:v>49.47543713572023</c:v>
                </c:pt>
                <c:pt idx="1">
                  <c:v>49.60865945045795</c:v>
                </c:pt>
                <c:pt idx="2">
                  <c:v>49.66971967804609</c:v>
                </c:pt>
                <c:pt idx="3">
                  <c:v>49.51429364418541</c:v>
                </c:pt>
                <c:pt idx="4">
                  <c:v>48.84263114071607</c:v>
                </c:pt>
                <c:pt idx="5">
                  <c:v>48.98140438523453</c:v>
                </c:pt>
                <c:pt idx="6">
                  <c:v>48.81487649181238</c:v>
                </c:pt>
                <c:pt idx="7">
                  <c:v>48.1931723563697</c:v>
                </c:pt>
                <c:pt idx="8">
                  <c:v>48.15431584790453</c:v>
                </c:pt>
                <c:pt idx="9">
                  <c:v>47.59367194004995</c:v>
                </c:pt>
                <c:pt idx="10">
                  <c:v>47.33514466046951</c:v>
                </c:pt>
                <c:pt idx="11">
                  <c:v>47.09476210524734</c:v>
                </c:pt>
                <c:pt idx="12">
                  <c:v>45.54663110864779</c:v>
                </c:pt>
                <c:pt idx="13">
                  <c:v>44.00593511789956</c:v>
                </c:pt>
                <c:pt idx="14">
                  <c:v>40.5940765488288</c:v>
                </c:pt>
                <c:pt idx="15">
                  <c:v>35.6367380955769</c:v>
                </c:pt>
                <c:pt idx="16">
                  <c:v>35.52920615769095</c:v>
                </c:pt>
                <c:pt idx="17">
                  <c:v>35.8261394139108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Metabolites!$U$4:$U$21</c:f>
                <c:numCache>
                  <c:formatCode>General</c:formatCode>
                  <c:ptCount val="18"/>
                  <c:pt idx="0">
                    <c:v>0.0452241146962009</c:v>
                  </c:pt>
                  <c:pt idx="1">
                    <c:v>0.0376287379441425</c:v>
                  </c:pt>
                  <c:pt idx="2">
                    <c:v>0.0546732886904972</c:v>
                  </c:pt>
                  <c:pt idx="3">
                    <c:v>0.025085825296095</c:v>
                  </c:pt>
                  <c:pt idx="4">
                    <c:v>0.0217249619813165</c:v>
                  </c:pt>
                  <c:pt idx="5">
                    <c:v>0.0331854275831402</c:v>
                  </c:pt>
                  <c:pt idx="6">
                    <c:v>0.107166692642108</c:v>
                  </c:pt>
                  <c:pt idx="7">
                    <c:v>0.094696913828822</c:v>
                  </c:pt>
                  <c:pt idx="8">
                    <c:v>0.0452241146962009</c:v>
                  </c:pt>
                  <c:pt idx="9">
                    <c:v>0.0546732886904972</c:v>
                  </c:pt>
                  <c:pt idx="10">
                    <c:v>0.0332182519427673</c:v>
                  </c:pt>
                  <c:pt idx="11">
                    <c:v>0.0699771996352704</c:v>
                  </c:pt>
                  <c:pt idx="12">
                    <c:v>0.066648860545934</c:v>
                  </c:pt>
                  <c:pt idx="13">
                    <c:v>0.0456192672978684</c:v>
                  </c:pt>
                  <c:pt idx="14">
                    <c:v>0.0335943786737199</c:v>
                  </c:pt>
                  <c:pt idx="15">
                    <c:v>0.312735895694508</c:v>
                  </c:pt>
                  <c:pt idx="16">
                    <c:v>0.180640945233573</c:v>
                  </c:pt>
                  <c:pt idx="17">
                    <c:v>0.0948167448163487</c:v>
                  </c:pt>
                </c:numCache>
              </c:numRef>
            </c:plus>
            <c:minus>
              <c:numRef>
                <c:f>Metabolites!$U$4:$U$21</c:f>
                <c:numCache>
                  <c:formatCode>General</c:formatCode>
                  <c:ptCount val="18"/>
                  <c:pt idx="0">
                    <c:v>0.0452241146962009</c:v>
                  </c:pt>
                  <c:pt idx="1">
                    <c:v>0.0376287379441425</c:v>
                  </c:pt>
                  <c:pt idx="2">
                    <c:v>0.0546732886904972</c:v>
                  </c:pt>
                  <c:pt idx="3">
                    <c:v>0.025085825296095</c:v>
                  </c:pt>
                  <c:pt idx="4">
                    <c:v>0.0217249619813165</c:v>
                  </c:pt>
                  <c:pt idx="5">
                    <c:v>0.0331854275831402</c:v>
                  </c:pt>
                  <c:pt idx="6">
                    <c:v>0.107166692642108</c:v>
                  </c:pt>
                  <c:pt idx="7">
                    <c:v>0.094696913828822</c:v>
                  </c:pt>
                  <c:pt idx="8">
                    <c:v>0.0452241146962009</c:v>
                  </c:pt>
                  <c:pt idx="9">
                    <c:v>0.0546732886904972</c:v>
                  </c:pt>
                  <c:pt idx="10">
                    <c:v>0.0332182519427673</c:v>
                  </c:pt>
                  <c:pt idx="11">
                    <c:v>0.0699771996352704</c:v>
                  </c:pt>
                  <c:pt idx="12">
                    <c:v>0.066648860545934</c:v>
                  </c:pt>
                  <c:pt idx="13">
                    <c:v>0.0456192672978684</c:v>
                  </c:pt>
                  <c:pt idx="14">
                    <c:v>0.0335943786737199</c:v>
                  </c:pt>
                  <c:pt idx="15">
                    <c:v>0.312735895694508</c:v>
                  </c:pt>
                  <c:pt idx="16">
                    <c:v>0.180640945233573</c:v>
                  </c:pt>
                  <c:pt idx="17">
                    <c:v>0.0948167448163487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Metabolites!$T$4:$T$21</c:f>
              <c:numCache>
                <c:formatCode>0</c:formatCode>
                <c:ptCount val="18"/>
                <c:pt idx="0">
                  <c:v>1.506264030704613</c:v>
                </c:pt>
                <c:pt idx="1">
                  <c:v>1.585922224636107</c:v>
                </c:pt>
                <c:pt idx="2">
                  <c:v>1.745238612499095</c:v>
                </c:pt>
                <c:pt idx="3">
                  <c:v>1.919038308349627</c:v>
                </c:pt>
                <c:pt idx="4">
                  <c:v>2.107321312187703</c:v>
                </c:pt>
                <c:pt idx="5">
                  <c:v>2.186979506119198</c:v>
                </c:pt>
                <c:pt idx="6">
                  <c:v>2.230429430081831</c:v>
                </c:pt>
                <c:pt idx="7">
                  <c:v>2.389745817944818</c:v>
                </c:pt>
                <c:pt idx="8">
                  <c:v>2.534578897820262</c:v>
                </c:pt>
                <c:pt idx="9">
                  <c:v>2.766311825620971</c:v>
                </c:pt>
                <c:pt idx="10">
                  <c:v>3.073498347062034</c:v>
                </c:pt>
                <c:pt idx="11">
                  <c:v>3.693455465893008</c:v>
                </c:pt>
                <c:pt idx="12">
                  <c:v>5.221286570853001</c:v>
                </c:pt>
                <c:pt idx="13">
                  <c:v>8.093861387786077</c:v>
                </c:pt>
                <c:pt idx="14">
                  <c:v>11.3995408510405</c:v>
                </c:pt>
                <c:pt idx="15">
                  <c:v>23.11536261805571</c:v>
                </c:pt>
                <c:pt idx="16">
                  <c:v>23.6968818481772</c:v>
                </c:pt>
                <c:pt idx="17">
                  <c:v>23.71178086222825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0.00523571897064513</c:v>
                </c:pt>
                <c:pt idx="5">
                  <c:v>0.0166627112659291</c:v>
                </c:pt>
                <c:pt idx="6">
                  <c:v>0.0318248513642437</c:v>
                </c:pt>
                <c:pt idx="7">
                  <c:v>0.0539043052747676</c:v>
                </c:pt>
                <c:pt idx="8">
                  <c:v>0.0849396128108215</c:v>
                </c:pt>
                <c:pt idx="9">
                  <c:v>0.125675240390767</c:v>
                </c:pt>
                <c:pt idx="10">
                  <c:v>0.17752025711481</c:v>
                </c:pt>
                <c:pt idx="11">
                  <c:v>0.23875871542321</c:v>
                </c:pt>
                <c:pt idx="12">
                  <c:v>0.308074366979637</c:v>
                </c:pt>
                <c:pt idx="13">
                  <c:v>0.384002659523323</c:v>
                </c:pt>
                <c:pt idx="14">
                  <c:v>0.462600704846992</c:v>
                </c:pt>
                <c:pt idx="15">
                  <c:v>0.54568267924142</c:v>
                </c:pt>
                <c:pt idx="16">
                  <c:v>0.633143380233975</c:v>
                </c:pt>
                <c:pt idx="17">
                  <c:v>0.722297100102816</c:v>
                </c:pt>
                <c:pt idx="18">
                  <c:v>0.81348967079216</c:v>
                </c:pt>
                <c:pt idx="19">
                  <c:v>0.907537570522209</c:v>
                </c:pt>
                <c:pt idx="20">
                  <c:v>1.005875559498123</c:v>
                </c:pt>
                <c:pt idx="21">
                  <c:v>1.109038831880706</c:v>
                </c:pt>
                <c:pt idx="22">
                  <c:v>1.215162081636088</c:v>
                </c:pt>
                <c:pt idx="23">
                  <c:v>1.325912592371072</c:v>
                </c:pt>
                <c:pt idx="24">
                  <c:v>1.441888726248768</c:v>
                </c:pt>
                <c:pt idx="25">
                  <c:v>1.559717942518609</c:v>
                </c:pt>
                <c:pt idx="26">
                  <c:v>1.686546506342342</c:v>
                </c:pt>
                <c:pt idx="27">
                  <c:v>1.826143990048361</c:v>
                </c:pt>
                <c:pt idx="28">
                  <c:v>1.978148205690479</c:v>
                </c:pt>
                <c:pt idx="29">
                  <c:v>2.149715769318304</c:v>
                </c:pt>
                <c:pt idx="30">
                  <c:v>2.348350296920146</c:v>
                </c:pt>
                <c:pt idx="31">
                  <c:v>2.587385431469515</c:v>
                </c:pt>
                <c:pt idx="32">
                  <c:v>2.875123959759169</c:v>
                </c:pt>
                <c:pt idx="33">
                  <c:v>3.223883515548844</c:v>
                </c:pt>
                <c:pt idx="34">
                  <c:v>3.66207816063357</c:v>
                </c:pt>
                <c:pt idx="35">
                  <c:v>4.207839690254535</c:v>
                </c:pt>
                <c:pt idx="36">
                  <c:v>4.899197379262377</c:v>
                </c:pt>
                <c:pt idx="37">
                  <c:v>5.76757613209309</c:v>
                </c:pt>
                <c:pt idx="38">
                  <c:v>6.792118652005179</c:v>
                </c:pt>
                <c:pt idx="39">
                  <c:v>7.99846032119675</c:v>
                </c:pt>
                <c:pt idx="40">
                  <c:v>9.341694173371174</c:v>
                </c:pt>
                <c:pt idx="41">
                  <c:v>10.71595987937489</c:v>
                </c:pt>
                <c:pt idx="42">
                  <c:v>12.09297937192837</c:v>
                </c:pt>
                <c:pt idx="43">
                  <c:v>13.43456649631377</c:v>
                </c:pt>
                <c:pt idx="44">
                  <c:v>14.69023182357298</c:v>
                </c:pt>
                <c:pt idx="45">
                  <c:v>15.80939686461314</c:v>
                </c:pt>
                <c:pt idx="46">
                  <c:v>16.74426640700199</c:v>
                </c:pt>
                <c:pt idx="47">
                  <c:v>17.48147907132248</c:v>
                </c:pt>
                <c:pt idx="48">
                  <c:v>18.07299422496726</c:v>
                </c:pt>
                <c:pt idx="49">
                  <c:v>18.55265089313593</c:v>
                </c:pt>
                <c:pt idx="50">
                  <c:v>18.92151778509326</c:v>
                </c:pt>
                <c:pt idx="51">
                  <c:v>19.20370209373628</c:v>
                </c:pt>
                <c:pt idx="52">
                  <c:v>19.41923047613368</c:v>
                </c:pt>
                <c:pt idx="53">
                  <c:v>19.5852385240225</c:v>
                </c:pt>
                <c:pt idx="54">
                  <c:v>19.71719061992681</c:v>
                </c:pt>
                <c:pt idx="55">
                  <c:v>19.82475698806526</c:v>
                </c:pt>
                <c:pt idx="56">
                  <c:v>19.91417047916167</c:v>
                </c:pt>
                <c:pt idx="57">
                  <c:v>19.98997247764551</c:v>
                </c:pt>
                <c:pt idx="58">
                  <c:v>20.05377975182357</c:v>
                </c:pt>
                <c:pt idx="59">
                  <c:v>20.10777690131476</c:v>
                </c:pt>
                <c:pt idx="60">
                  <c:v>20.14484139059894</c:v>
                </c:pt>
                <c:pt idx="61">
                  <c:v>20.17974308417292</c:v>
                </c:pt>
                <c:pt idx="62">
                  <c:v>20.22097027074837</c:v>
                </c:pt>
                <c:pt idx="63">
                  <c:v>20.25419854561654</c:v>
                </c:pt>
                <c:pt idx="64">
                  <c:v>20.2812906967947</c:v>
                </c:pt>
                <c:pt idx="65">
                  <c:v>20.29367708890818</c:v>
                </c:pt>
                <c:pt idx="66">
                  <c:v>20.29367708890818</c:v>
                </c:pt>
                <c:pt idx="67">
                  <c:v>20.29367708890818</c:v>
                </c:pt>
                <c:pt idx="68">
                  <c:v>20.29367708890818</c:v>
                </c:pt>
                <c:pt idx="69">
                  <c:v>20.29367708890818</c:v>
                </c:pt>
                <c:pt idx="70">
                  <c:v>20.29367708890818</c:v>
                </c:pt>
                <c:pt idx="71">
                  <c:v>20.29367708890818</c:v>
                </c:pt>
                <c:pt idx="72">
                  <c:v>20.29367708890818</c:v>
                </c:pt>
                <c:pt idx="73">
                  <c:v>20.29367708890818</c:v>
                </c:pt>
                <c:pt idx="74">
                  <c:v>20.29367708890818</c:v>
                </c:pt>
                <c:pt idx="75">
                  <c:v>20.29367708890818</c:v>
                </c:pt>
                <c:pt idx="76">
                  <c:v>20.29367708890818</c:v>
                </c:pt>
                <c:pt idx="77">
                  <c:v>20.29367708890818</c:v>
                </c:pt>
                <c:pt idx="78">
                  <c:v>20.29367708890818</c:v>
                </c:pt>
                <c:pt idx="79">
                  <c:v>20.29367708890818</c:v>
                </c:pt>
                <c:pt idx="80">
                  <c:v>20.29367708890818</c:v>
                </c:pt>
                <c:pt idx="81">
                  <c:v>20.29367708890818</c:v>
                </c:pt>
                <c:pt idx="82">
                  <c:v>20.29367708890818</c:v>
                </c:pt>
                <c:pt idx="83">
                  <c:v>20.29367708890818</c:v>
                </c:pt>
                <c:pt idx="84">
                  <c:v>20.29367708890818</c:v>
                </c:pt>
                <c:pt idx="85">
                  <c:v>20.29367708890818</c:v>
                </c:pt>
                <c:pt idx="86">
                  <c:v>20.29367708890818</c:v>
                </c:pt>
                <c:pt idx="87">
                  <c:v>20.29367708890818</c:v>
                </c:pt>
                <c:pt idx="88">
                  <c:v>20.29367708890818</c:v>
                </c:pt>
                <c:pt idx="89">
                  <c:v>20.29367708890818</c:v>
                </c:pt>
                <c:pt idx="90">
                  <c:v>20.29367708890818</c:v>
                </c:pt>
                <c:pt idx="91">
                  <c:v>20.29367708890818</c:v>
                </c:pt>
                <c:pt idx="92">
                  <c:v>20.29367708890818</c:v>
                </c:pt>
                <c:pt idx="93">
                  <c:v>20.29367708890818</c:v>
                </c:pt>
                <c:pt idx="94">
                  <c:v>20.29367708890818</c:v>
                </c:pt>
                <c:pt idx="95">
                  <c:v>20.29367708890818</c:v>
                </c:pt>
                <c:pt idx="96">
                  <c:v>20.29367708890818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Metabolites!$I$4:$I$21</c:f>
                <c:numCache>
                  <c:formatCode>General</c:formatCode>
                  <c:ptCount val="18"/>
                  <c:pt idx="0">
                    <c:v>0.671976822274434</c:v>
                  </c:pt>
                  <c:pt idx="1">
                    <c:v>0.365049214184086</c:v>
                  </c:pt>
                  <c:pt idx="2">
                    <c:v>0.281499163701289</c:v>
                  </c:pt>
                  <c:pt idx="3">
                    <c:v>0.341005790082612</c:v>
                  </c:pt>
                  <c:pt idx="4">
                    <c:v>0.0433517410962834</c:v>
                  </c:pt>
                  <c:pt idx="5">
                    <c:v>0.300007549714462</c:v>
                  </c:pt>
                  <c:pt idx="6">
                    <c:v>0.365330432324699</c:v>
                  </c:pt>
                  <c:pt idx="7">
                    <c:v>1.25390415005123</c:v>
                  </c:pt>
                  <c:pt idx="8">
                    <c:v>0.803524782110573</c:v>
                  </c:pt>
                  <c:pt idx="9">
                    <c:v>0.186779312668698</c:v>
                  </c:pt>
                  <c:pt idx="10">
                    <c:v>0.144921179059677</c:v>
                  </c:pt>
                  <c:pt idx="11">
                    <c:v>0.244046119168142</c:v>
                  </c:pt>
                  <c:pt idx="12">
                    <c:v>0.311854658017853</c:v>
                  </c:pt>
                  <c:pt idx="13">
                    <c:v>0.309643713848857</c:v>
                  </c:pt>
                  <c:pt idx="14">
                    <c:v>0.259105419003207</c:v>
                  </c:pt>
                  <c:pt idx="15">
                    <c:v>0.4115801184757</c:v>
                  </c:pt>
                  <c:pt idx="16">
                    <c:v>0.155046984635121</c:v>
                  </c:pt>
                  <c:pt idx="17">
                    <c:v>0.311771676568966</c:v>
                  </c:pt>
                </c:numCache>
              </c:numRef>
            </c:plus>
            <c:minus>
              <c:numRef>
                <c:f>Metabolites!$I$4:$I$21</c:f>
                <c:numCache>
                  <c:formatCode>General</c:formatCode>
                  <c:ptCount val="18"/>
                  <c:pt idx="0">
                    <c:v>0.671976822274434</c:v>
                  </c:pt>
                  <c:pt idx="1">
                    <c:v>0.365049214184086</c:v>
                  </c:pt>
                  <c:pt idx="2">
                    <c:v>0.281499163701289</c:v>
                  </c:pt>
                  <c:pt idx="3">
                    <c:v>0.341005790082612</c:v>
                  </c:pt>
                  <c:pt idx="4">
                    <c:v>0.0433517410962834</c:v>
                  </c:pt>
                  <c:pt idx="5">
                    <c:v>0.300007549714462</c:v>
                  </c:pt>
                  <c:pt idx="6">
                    <c:v>0.365330432324699</c:v>
                  </c:pt>
                  <c:pt idx="7">
                    <c:v>1.25390415005123</c:v>
                  </c:pt>
                  <c:pt idx="8">
                    <c:v>0.803524782110573</c:v>
                  </c:pt>
                  <c:pt idx="9">
                    <c:v>0.186779312668698</c:v>
                  </c:pt>
                  <c:pt idx="10">
                    <c:v>0.144921179059677</c:v>
                  </c:pt>
                  <c:pt idx="11">
                    <c:v>0.244046119168142</c:v>
                  </c:pt>
                  <c:pt idx="12">
                    <c:v>0.311854658017853</c:v>
                  </c:pt>
                  <c:pt idx="13">
                    <c:v>0.309643713848857</c:v>
                  </c:pt>
                  <c:pt idx="14">
                    <c:v>0.259105419003207</c:v>
                  </c:pt>
                  <c:pt idx="15">
                    <c:v>0.4115801184757</c:v>
                  </c:pt>
                  <c:pt idx="16">
                    <c:v>0.155046984635121</c:v>
                  </c:pt>
                  <c:pt idx="17">
                    <c:v>0.311771676568966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Metabolites!$H$4:$H$21</c:f>
              <c:numCache>
                <c:formatCode>0</c:formatCode>
                <c:ptCount val="18"/>
                <c:pt idx="0">
                  <c:v>50.48105387803434</c:v>
                </c:pt>
                <c:pt idx="1">
                  <c:v>50.7400828892836</c:v>
                </c:pt>
                <c:pt idx="2">
                  <c:v>50.9047513321492</c:v>
                </c:pt>
                <c:pt idx="3">
                  <c:v>50.83444345766726</c:v>
                </c:pt>
                <c:pt idx="4">
                  <c:v>50.37189165186503</c:v>
                </c:pt>
                <c:pt idx="5">
                  <c:v>50.70307874481941</c:v>
                </c:pt>
                <c:pt idx="6">
                  <c:v>50.6161190053286</c:v>
                </c:pt>
                <c:pt idx="7">
                  <c:v>50.36449082297217</c:v>
                </c:pt>
                <c:pt idx="8">
                  <c:v>50.15726761397277</c:v>
                </c:pt>
                <c:pt idx="9">
                  <c:v>49.87048549437538</c:v>
                </c:pt>
                <c:pt idx="10">
                  <c:v>50.12353747615775</c:v>
                </c:pt>
                <c:pt idx="11">
                  <c:v>49.81374457859155</c:v>
                </c:pt>
                <c:pt idx="12">
                  <c:v>48.12666339022066</c:v>
                </c:pt>
                <c:pt idx="13">
                  <c:v>45.77094840039523</c:v>
                </c:pt>
                <c:pt idx="14">
                  <c:v>41.47026394627541</c:v>
                </c:pt>
                <c:pt idx="15">
                  <c:v>29.97980665029717</c:v>
                </c:pt>
                <c:pt idx="16">
                  <c:v>29.36240436806237</c:v>
                </c:pt>
                <c:pt idx="17">
                  <c:v>28.54207661265725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Metabolites!$J$23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Metabolites!$M$26:$M$43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0.0173365705555776</c:v>
                  </c:pt>
                  <c:pt idx="3">
                    <c:v>0.0398579569207155</c:v>
                  </c:pt>
                  <c:pt idx="4">
                    <c:v>0.0300278210312631</c:v>
                  </c:pt>
                  <c:pt idx="5">
                    <c:v>0.0173365705555777</c:v>
                  </c:pt>
                  <c:pt idx="6">
                    <c:v>0.0346731411111552</c:v>
                  </c:pt>
                  <c:pt idx="7">
                    <c:v>0.0684112333826094</c:v>
                  </c:pt>
                  <c:pt idx="8">
                    <c:v>0.0567472477584838</c:v>
                  </c:pt>
                  <c:pt idx="9">
                    <c:v>0.0398579569207156</c:v>
                  </c:pt>
                  <c:pt idx="10">
                    <c:v>0.0398973812104492</c:v>
                  </c:pt>
                  <c:pt idx="11">
                    <c:v>0.0236735376608143</c:v>
                  </c:pt>
                  <c:pt idx="12">
                    <c:v>0.023724723688189</c:v>
                  </c:pt>
                  <c:pt idx="13">
                    <c:v>0.0433437647929544</c:v>
                  </c:pt>
                  <c:pt idx="14">
                    <c:v>0.122851489643165</c:v>
                  </c:pt>
                  <c:pt idx="15">
                    <c:v>0.368043215205302</c:v>
                  </c:pt>
                  <c:pt idx="16">
                    <c:v>0.138307261713168</c:v>
                  </c:pt>
                  <c:pt idx="17">
                    <c:v>0.276860804398186</c:v>
                  </c:pt>
                </c:numCache>
              </c:numRef>
            </c:plus>
            <c:minus>
              <c:numRef>
                <c:f>Metabolites!$M$26:$M$43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0.0173365705555776</c:v>
                  </c:pt>
                  <c:pt idx="3">
                    <c:v>0.0398579569207155</c:v>
                  </c:pt>
                  <c:pt idx="4">
                    <c:v>0.0300278210312631</c:v>
                  </c:pt>
                  <c:pt idx="5">
                    <c:v>0.0173365705555777</c:v>
                  </c:pt>
                  <c:pt idx="6">
                    <c:v>0.0346731411111552</c:v>
                  </c:pt>
                  <c:pt idx="7">
                    <c:v>0.0684112333826094</c:v>
                  </c:pt>
                  <c:pt idx="8">
                    <c:v>0.0567472477584838</c:v>
                  </c:pt>
                  <c:pt idx="9">
                    <c:v>0.0398579569207156</c:v>
                  </c:pt>
                  <c:pt idx="10">
                    <c:v>0.0398973812104492</c:v>
                  </c:pt>
                  <c:pt idx="11">
                    <c:v>0.0236735376608143</c:v>
                  </c:pt>
                  <c:pt idx="12">
                    <c:v>0.023724723688189</c:v>
                  </c:pt>
                  <c:pt idx="13">
                    <c:v>0.0433437647929544</c:v>
                  </c:pt>
                  <c:pt idx="14">
                    <c:v>0.122851489643165</c:v>
                  </c:pt>
                  <c:pt idx="15">
                    <c:v>0.368043215205302</c:v>
                  </c:pt>
                  <c:pt idx="16">
                    <c:v>0.138307261713168</c:v>
                  </c:pt>
                  <c:pt idx="17">
                    <c:v>0.276860804398186</c:v>
                  </c:pt>
                </c:numCache>
              </c:numRef>
            </c:minus>
          </c:errBars>
          <c:xVal>
            <c:numRef>
              <c:f>Metabolites!$E$26:$E$43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Metabolites!$L$26:$L$43</c:f>
              <c:numCache>
                <c:formatCode>0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0.0529640979079181</c:v>
                </c:pt>
                <c:pt idx="3">
                  <c:v>0.412363333711648</c:v>
                </c:pt>
                <c:pt idx="4">
                  <c:v>0.749063670411985</c:v>
                </c:pt>
                <c:pt idx="5">
                  <c:v>1.093330306813453</c:v>
                </c:pt>
                <c:pt idx="6">
                  <c:v>1.354367646502478</c:v>
                </c:pt>
                <c:pt idx="7">
                  <c:v>1.755381530662429</c:v>
                </c:pt>
                <c:pt idx="8">
                  <c:v>2.110997616615594</c:v>
                </c:pt>
                <c:pt idx="9">
                  <c:v>2.561192448832898</c:v>
                </c:pt>
                <c:pt idx="10">
                  <c:v>3.252940089313021</c:v>
                </c:pt>
                <c:pt idx="11">
                  <c:v>4.39353706052755</c:v>
                </c:pt>
                <c:pt idx="12">
                  <c:v>6.123981880405541</c:v>
                </c:pt>
                <c:pt idx="13">
                  <c:v>9.899237584638244</c:v>
                </c:pt>
                <c:pt idx="14">
                  <c:v>14.74844585566596</c:v>
                </c:pt>
                <c:pt idx="15">
                  <c:v>27.70791494755602</c:v>
                </c:pt>
                <c:pt idx="16">
                  <c:v>28.93894462771894</c:v>
                </c:pt>
                <c:pt idx="17">
                  <c:v>29.56551403130457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0.00209849477705774</c:v>
                </c:pt>
                <c:pt idx="1">
                  <c:v>0.0065284733472773</c:v>
                </c:pt>
                <c:pt idx="2">
                  <c:v>0.00955956164159977</c:v>
                </c:pt>
                <c:pt idx="3">
                  <c:v>0.0112851465023213</c:v>
                </c:pt>
                <c:pt idx="4">
                  <c:v>0.0138034039800754</c:v>
                </c:pt>
                <c:pt idx="5">
                  <c:v>0.0152956810982687</c:v>
                </c:pt>
                <c:pt idx="6">
                  <c:v>0.015585938359003</c:v>
                </c:pt>
                <c:pt idx="7">
                  <c:v>0.0158761956197374</c:v>
                </c:pt>
                <c:pt idx="8">
                  <c:v>0.0171861933990247</c:v>
                </c:pt>
                <c:pt idx="9">
                  <c:v>0.0195038287971854</c:v>
                </c:pt>
                <c:pt idx="10">
                  <c:v>0.0206688641080945</c:v>
                </c:pt>
                <c:pt idx="11">
                  <c:v>0.0211934035692522</c:v>
                </c:pt>
                <c:pt idx="12">
                  <c:v>0.0217246940036981</c:v>
                </c:pt>
                <c:pt idx="13">
                  <c:v>0.0230375094113346</c:v>
                </c:pt>
                <c:pt idx="14">
                  <c:v>0.024350324818971</c:v>
                </c:pt>
                <c:pt idx="15">
                  <c:v>0.0249131973410833</c:v>
                </c:pt>
                <c:pt idx="16">
                  <c:v>0.0253119211978717</c:v>
                </c:pt>
                <c:pt idx="17">
                  <c:v>0.0278183523171556</c:v>
                </c:pt>
                <c:pt idx="18">
                  <c:v>0.0303247834364396</c:v>
                </c:pt>
                <c:pt idx="19">
                  <c:v>0.0363685755194109</c:v>
                </c:pt>
                <c:pt idx="20">
                  <c:v>0.0461234096767462</c:v>
                </c:pt>
                <c:pt idx="21">
                  <c:v>0.0540484965162766</c:v>
                </c:pt>
                <c:pt idx="22">
                  <c:v>0.0598979449017951</c:v>
                </c:pt>
                <c:pt idx="23">
                  <c:v>0.0638880372940237</c:v>
                </c:pt>
                <c:pt idx="24">
                  <c:v>0.0667657915420904</c:v>
                </c:pt>
                <c:pt idx="25">
                  <c:v>0.0753337828678943</c:v>
                </c:pt>
                <c:pt idx="26">
                  <c:v>0.0839235039167446</c:v>
                </c:pt>
                <c:pt idx="27">
                  <c:v>0.0850130943152185</c:v>
                </c:pt>
                <c:pt idx="28">
                  <c:v>0.0874077741864251</c:v>
                </c:pt>
                <c:pt idx="29">
                  <c:v>0.0911075435303645</c:v>
                </c:pt>
                <c:pt idx="30">
                  <c:v>0.0930999140616631</c:v>
                </c:pt>
                <c:pt idx="31">
                  <c:v>0.093242399920992</c:v>
                </c:pt>
                <c:pt idx="32">
                  <c:v>0.093242399920992</c:v>
                </c:pt>
                <c:pt idx="33">
                  <c:v>0.0933168537440642</c:v>
                </c:pt>
                <c:pt idx="34">
                  <c:v>0.0969161767182004</c:v>
                </c:pt>
                <c:pt idx="35">
                  <c:v>0.101850672308321</c:v>
                </c:pt>
                <c:pt idx="36">
                  <c:v>0.103589445986798</c:v>
                </c:pt>
                <c:pt idx="37">
                  <c:v>0.104000739374859</c:v>
                </c:pt>
                <c:pt idx="38">
                  <c:v>0.108527779867798</c:v>
                </c:pt>
                <c:pt idx="39">
                  <c:v>0.117373188550872</c:v>
                </c:pt>
                <c:pt idx="40">
                  <c:v>0.122032626062778</c:v>
                </c:pt>
                <c:pt idx="41">
                  <c:v>0.126778764500539</c:v>
                </c:pt>
                <c:pt idx="42">
                  <c:v>0.131524902938299</c:v>
                </c:pt>
                <c:pt idx="43">
                  <c:v>0.131783826111429</c:v>
                </c:pt>
                <c:pt idx="44">
                  <c:v>0.133078441977079</c:v>
                </c:pt>
                <c:pt idx="45">
                  <c:v>0.142311795679471</c:v>
                </c:pt>
                <c:pt idx="46">
                  <c:v>0.152062405925905</c:v>
                </c:pt>
                <c:pt idx="47">
                  <c:v>0.155427227572161</c:v>
                </c:pt>
                <c:pt idx="48">
                  <c:v>0.157072599742472</c:v>
                </c:pt>
                <c:pt idx="49">
                  <c:v>0.15920275845521</c:v>
                </c:pt>
                <c:pt idx="50">
                  <c:v>0.163648554781974</c:v>
                </c:pt>
                <c:pt idx="51">
                  <c:v>0.166242094231034</c:v>
                </c:pt>
                <c:pt idx="52">
                  <c:v>0.168650154778807</c:v>
                </c:pt>
                <c:pt idx="53">
                  <c:v>0.171243061194075</c:v>
                </c:pt>
                <c:pt idx="54">
                  <c:v>0.171798864864145</c:v>
                </c:pt>
                <c:pt idx="55">
                  <c:v>0.171984343765432</c:v>
                </c:pt>
                <c:pt idx="56">
                  <c:v>0.172354668534214</c:v>
                </c:pt>
                <c:pt idx="57">
                  <c:v>0.172724993302996</c:v>
                </c:pt>
                <c:pt idx="58">
                  <c:v>0.172724993302996</c:v>
                </c:pt>
                <c:pt idx="59">
                  <c:v>0.174947574949482</c:v>
                </c:pt>
                <c:pt idx="60">
                  <c:v>0.178662433714161</c:v>
                </c:pt>
                <c:pt idx="61">
                  <c:v>0.183712109123522</c:v>
                </c:pt>
                <c:pt idx="62">
                  <c:v>0.187467403313554</c:v>
                </c:pt>
                <c:pt idx="63">
                  <c:v>0.192309436415773</c:v>
                </c:pt>
                <c:pt idx="64">
                  <c:v>0.199621453484349</c:v>
                </c:pt>
                <c:pt idx="65">
                  <c:v>0.202585839491553</c:v>
                </c:pt>
                <c:pt idx="66">
                  <c:v>0.203475357917501</c:v>
                </c:pt>
                <c:pt idx="67">
                  <c:v>0.205748121397619</c:v>
                </c:pt>
                <c:pt idx="68">
                  <c:v>0.207427872593772</c:v>
                </c:pt>
                <c:pt idx="69">
                  <c:v>0.207427872593772</c:v>
                </c:pt>
                <c:pt idx="70">
                  <c:v>0.213949656892143</c:v>
                </c:pt>
                <c:pt idx="71">
                  <c:v>0.220570051433635</c:v>
                </c:pt>
                <c:pt idx="72">
                  <c:v>0.221953296487805</c:v>
                </c:pt>
                <c:pt idx="73">
                  <c:v>0.223633047683957</c:v>
                </c:pt>
                <c:pt idx="74">
                  <c:v>0.229858325840346</c:v>
                </c:pt>
                <c:pt idx="75">
                  <c:v>0.235886383510496</c:v>
                </c:pt>
                <c:pt idx="76">
                  <c:v>0.238455653132597</c:v>
                </c:pt>
                <c:pt idx="77">
                  <c:v>0.241815155524903</c:v>
                </c:pt>
                <c:pt idx="78">
                  <c:v>0.24280328419397</c:v>
                </c:pt>
                <c:pt idx="79">
                  <c:v>0.251004819688495</c:v>
                </c:pt>
                <c:pt idx="80">
                  <c:v>0.260787496136052</c:v>
                </c:pt>
                <c:pt idx="81">
                  <c:v>0.267704396819526</c:v>
                </c:pt>
                <c:pt idx="82">
                  <c:v>0.273040156549967</c:v>
                </c:pt>
                <c:pt idx="83">
                  <c:v>0.273534558590813</c:v>
                </c:pt>
                <c:pt idx="84">
                  <c:v>0.274127570874779</c:v>
                </c:pt>
                <c:pt idx="85">
                  <c:v>0.274324791361018</c:v>
                </c:pt>
                <c:pt idx="86">
                  <c:v>0.274917803644983</c:v>
                </c:pt>
                <c:pt idx="87">
                  <c:v>0.275510815928949</c:v>
                </c:pt>
                <c:pt idx="88">
                  <c:v>0.281736094085338</c:v>
                </c:pt>
                <c:pt idx="89">
                  <c:v>0.287862761998607</c:v>
                </c:pt>
                <c:pt idx="90">
                  <c:v>0.28806065789747</c:v>
                </c:pt>
                <c:pt idx="91">
                  <c:v>0.289839694749367</c:v>
                </c:pt>
                <c:pt idx="92">
                  <c:v>0.291717341844383</c:v>
                </c:pt>
                <c:pt idx="93">
                  <c:v>0.292112458229485</c:v>
                </c:pt>
                <c:pt idx="94">
                  <c:v>0.292507574614587</c:v>
                </c:pt>
                <c:pt idx="95">
                  <c:v>0.293001976655433</c:v>
                </c:pt>
                <c:pt idx="96">
                  <c:v>0.293306353795737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362600"/>
        <c:axId val="-2112376280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6808.0</c:v>
                </c:pt>
                <c:pt idx="1">
                  <c:v>15657.0</c:v>
                </c:pt>
                <c:pt idx="2">
                  <c:v>29973.0</c:v>
                </c:pt>
                <c:pt idx="3">
                  <c:v>4020.0</c:v>
                </c:pt>
                <c:pt idx="4">
                  <c:v>3822.0</c:v>
                </c:pt>
                <c:pt idx="5">
                  <c:v>3692.0</c:v>
                </c:pt>
                <c:pt idx="6">
                  <c:v>4380.0</c:v>
                </c:pt>
                <c:pt idx="7">
                  <c:v>5116.0</c:v>
                </c:pt>
                <c:pt idx="8">
                  <c:v>5417.0</c:v>
                </c:pt>
                <c:pt idx="9">
                  <c:v>7295.0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cytometer'!$X$4:$X$21</c:f>
                <c:numCache>
                  <c:formatCode>General</c:formatCode>
                  <c:ptCount val="18"/>
                  <c:pt idx="0">
                    <c:v>0.0404577649898048</c:v>
                  </c:pt>
                  <c:pt idx="1">
                    <c:v>0.0139593059879953</c:v>
                  </c:pt>
                  <c:pt idx="2">
                    <c:v>0.0130753449730559</c:v>
                  </c:pt>
                  <c:pt idx="3">
                    <c:v>0.012015318455406</c:v>
                  </c:pt>
                  <c:pt idx="4">
                    <c:v>0.0257686718369884</c:v>
                  </c:pt>
                  <c:pt idx="5">
                    <c:v>0.0130329144806565</c:v>
                  </c:pt>
                  <c:pt idx="6">
                    <c:v>0.0553186740383515</c:v>
                  </c:pt>
                  <c:pt idx="7">
                    <c:v>0.0113845841996791</c:v>
                  </c:pt>
                  <c:pt idx="8">
                    <c:v>0.00485833721645925</c:v>
                  </c:pt>
                  <c:pt idx="9">
                    <c:v>0.0185349988177421</c:v>
                  </c:pt>
                  <c:pt idx="10">
                    <c:v>0.044222760880834</c:v>
                  </c:pt>
                  <c:pt idx="11">
                    <c:v>0.0199844118173014</c:v>
                  </c:pt>
                  <c:pt idx="12">
                    <c:v>0.0241191813671481</c:v>
                  </c:pt>
                  <c:pt idx="13">
                    <c:v>0.0437357197822144</c:v>
                  </c:pt>
                  <c:pt idx="14">
                    <c:v>0.0155434135233772</c:v>
                  </c:pt>
                  <c:pt idx="15">
                    <c:v>0.0112203033575766</c:v>
                  </c:pt>
                  <c:pt idx="16">
                    <c:v>0.0175930250323155</c:v>
                  </c:pt>
                  <c:pt idx="17">
                    <c:v>0.0806526340352894</c:v>
                  </c:pt>
                </c:numCache>
              </c:numRef>
            </c:plus>
            <c:minus>
              <c:numRef>
                <c:f>'Flow cytometer'!$X$4:$X$21</c:f>
                <c:numCache>
                  <c:formatCode>General</c:formatCode>
                  <c:ptCount val="18"/>
                  <c:pt idx="0">
                    <c:v>0.0404577649898048</c:v>
                  </c:pt>
                  <c:pt idx="1">
                    <c:v>0.0139593059879953</c:v>
                  </c:pt>
                  <c:pt idx="2">
                    <c:v>0.0130753449730559</c:v>
                  </c:pt>
                  <c:pt idx="3">
                    <c:v>0.012015318455406</c:v>
                  </c:pt>
                  <c:pt idx="4">
                    <c:v>0.0257686718369884</c:v>
                  </c:pt>
                  <c:pt idx="5">
                    <c:v>0.0130329144806565</c:v>
                  </c:pt>
                  <c:pt idx="6">
                    <c:v>0.0553186740383515</c:v>
                  </c:pt>
                  <c:pt idx="7">
                    <c:v>0.0113845841996791</c:v>
                  </c:pt>
                  <c:pt idx="8">
                    <c:v>0.00485833721645925</c:v>
                  </c:pt>
                  <c:pt idx="9">
                    <c:v>0.0185349988177421</c:v>
                  </c:pt>
                  <c:pt idx="10">
                    <c:v>0.044222760880834</c:v>
                  </c:pt>
                  <c:pt idx="11">
                    <c:v>0.0199844118173014</c:v>
                  </c:pt>
                  <c:pt idx="12">
                    <c:v>0.0241191813671481</c:v>
                  </c:pt>
                  <c:pt idx="13">
                    <c:v>0.0437357197822144</c:v>
                  </c:pt>
                  <c:pt idx="14">
                    <c:v>0.0155434135233772</c:v>
                  </c:pt>
                  <c:pt idx="15">
                    <c:v>0.0112203033575766</c:v>
                  </c:pt>
                  <c:pt idx="16">
                    <c:v>0.0175930250323155</c:v>
                  </c:pt>
                  <c:pt idx="17">
                    <c:v>0.0806526340352894</c:v>
                  </c:pt>
                </c:numCache>
              </c:numRef>
            </c:minus>
          </c:errBars>
          <c:xVal>
            <c:numRef>
              <c:f>'Flow cytometer'!$D$4:$D$21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'Flow cytometer'!$S$4:$S$21</c:f>
              <c:numCache>
                <c:formatCode>0.00</c:formatCode>
                <c:ptCount val="18"/>
                <c:pt idx="0">
                  <c:v>6.970427908631392</c:v>
                </c:pt>
                <c:pt idx="1">
                  <c:v>7.348817589751317</c:v>
                </c:pt>
                <c:pt idx="2">
                  <c:v>7.6282995802806</c:v>
                </c:pt>
                <c:pt idx="3">
                  <c:v>7.756270873534936</c:v>
                </c:pt>
                <c:pt idx="4">
                  <c:v>7.728759475167874</c:v>
                </c:pt>
                <c:pt idx="5">
                  <c:v>7.723368874834904</c:v>
                </c:pt>
                <c:pt idx="6">
                  <c:v>7.809317250044303</c:v>
                </c:pt>
                <c:pt idx="7">
                  <c:v>7.871724678610187</c:v>
                </c:pt>
                <c:pt idx="8">
                  <c:v>7.893287669958862</c:v>
                </c:pt>
                <c:pt idx="9">
                  <c:v>8.00561189518827</c:v>
                </c:pt>
                <c:pt idx="10">
                  <c:v>8.17049735724775</c:v>
                </c:pt>
                <c:pt idx="11">
                  <c:v>8.3746355241346</c:v>
                </c:pt>
                <c:pt idx="12">
                  <c:v>8.5614819098852</c:v>
                </c:pt>
                <c:pt idx="13">
                  <c:v>8.73207263491029</c:v>
                </c:pt>
                <c:pt idx="14">
                  <c:v>8.764416742060726</c:v>
                </c:pt>
                <c:pt idx="15">
                  <c:v>8.955941870193305</c:v>
                </c:pt>
                <c:pt idx="16">
                  <c:v>8.993762505516805</c:v>
                </c:pt>
                <c:pt idx="17">
                  <c:v>8.930130036312863</c:v>
                </c:pt>
              </c:numCache>
            </c:numRef>
          </c:yVal>
          <c:smooth val="0"/>
        </c:ser>
        <c:ser>
          <c:idx val="5"/>
          <c:order val="9"/>
          <c:tx>
            <c:v>qPCR</c:v>
          </c:tx>
          <c:spPr>
            <a:ln>
              <a:solidFill>
                <a:srgbClr val="1425FF"/>
              </a:solidFill>
            </a:ln>
          </c:spPr>
          <c:marker>
            <c:symbol val="circle"/>
            <c:size val="8"/>
            <c:spPr>
              <a:solidFill>
                <a:srgbClr val="0000FF"/>
              </a:solidFill>
              <a:ln w="25400">
                <a:solidFill>
                  <a:srgbClr val="1425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count'!$S$4:$S$21</c:f>
                <c:numCache>
                  <c:formatCode>General</c:formatCode>
                  <c:ptCount val="18"/>
                  <c:pt idx="0">
                    <c:v>0.165159593220881</c:v>
                  </c:pt>
                  <c:pt idx="1">
                    <c:v>0.0792679359816116</c:v>
                  </c:pt>
                  <c:pt idx="2">
                    <c:v>0.099702627439969</c:v>
                  </c:pt>
                  <c:pt idx="3">
                    <c:v>0.0144141999708975</c:v>
                  </c:pt>
                  <c:pt idx="4">
                    <c:v>0.0447997161737753</c:v>
                  </c:pt>
                  <c:pt idx="5">
                    <c:v>0.0240871274688623</c:v>
                  </c:pt>
                  <c:pt idx="6">
                    <c:v>0.0117301983449711</c:v>
                  </c:pt>
                  <c:pt idx="7">
                    <c:v>0.0332253358744504</c:v>
                  </c:pt>
                  <c:pt idx="8">
                    <c:v>0.025814843320225</c:v>
                  </c:pt>
                  <c:pt idx="9">
                    <c:v>0.0577964034698603</c:v>
                  </c:pt>
                  <c:pt idx="10">
                    <c:v>0.0308791046461147</c:v>
                  </c:pt>
                  <c:pt idx="11">
                    <c:v>0.00600723549519085</c:v>
                  </c:pt>
                  <c:pt idx="12">
                    <c:v>0.0182439023527679</c:v>
                  </c:pt>
                  <c:pt idx="13">
                    <c:v>0.0277951925053562</c:v>
                  </c:pt>
                  <c:pt idx="14">
                    <c:v>0.0211302248194428</c:v>
                  </c:pt>
                  <c:pt idx="15">
                    <c:v>0.0260129462312792</c:v>
                  </c:pt>
                  <c:pt idx="16">
                    <c:v>0.0423524035011583</c:v>
                  </c:pt>
                  <c:pt idx="17">
                    <c:v>0.0289696489302989</c:v>
                  </c:pt>
                </c:numCache>
              </c:numRef>
            </c:plus>
            <c:minus>
              <c:numRef>
                <c:f>'Determination cell count'!$S$4:$S$21</c:f>
                <c:numCache>
                  <c:formatCode>General</c:formatCode>
                  <c:ptCount val="18"/>
                  <c:pt idx="0">
                    <c:v>0.165159593220881</c:v>
                  </c:pt>
                  <c:pt idx="1">
                    <c:v>0.0792679359816116</c:v>
                  </c:pt>
                  <c:pt idx="2">
                    <c:v>0.099702627439969</c:v>
                  </c:pt>
                  <c:pt idx="3">
                    <c:v>0.0144141999708975</c:v>
                  </c:pt>
                  <c:pt idx="4">
                    <c:v>0.0447997161737753</c:v>
                  </c:pt>
                  <c:pt idx="5">
                    <c:v>0.0240871274688623</c:v>
                  </c:pt>
                  <c:pt idx="6">
                    <c:v>0.0117301983449711</c:v>
                  </c:pt>
                  <c:pt idx="7">
                    <c:v>0.0332253358744504</c:v>
                  </c:pt>
                  <c:pt idx="8">
                    <c:v>0.025814843320225</c:v>
                  </c:pt>
                  <c:pt idx="9">
                    <c:v>0.0577964034698603</c:v>
                  </c:pt>
                  <c:pt idx="10">
                    <c:v>0.0308791046461147</c:v>
                  </c:pt>
                  <c:pt idx="11">
                    <c:v>0.00600723549519085</c:v>
                  </c:pt>
                  <c:pt idx="12">
                    <c:v>0.0182439023527679</c:v>
                  </c:pt>
                  <c:pt idx="13">
                    <c:v>0.0277951925053562</c:v>
                  </c:pt>
                  <c:pt idx="14">
                    <c:v>0.0211302248194428</c:v>
                  </c:pt>
                  <c:pt idx="15">
                    <c:v>0.0260129462312792</c:v>
                  </c:pt>
                  <c:pt idx="16">
                    <c:v>0.0423524035011583</c:v>
                  </c:pt>
                  <c:pt idx="17">
                    <c:v>0.0289696489302989</c:v>
                  </c:pt>
                </c:numCache>
              </c:numRef>
            </c:minus>
          </c:errBars>
          <c:xVal>
            <c:numRef>
              <c:f>'Determination cell count'!$D$4:$D$21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'Determination cell count'!$R$4:$R$21</c:f>
              <c:numCache>
                <c:formatCode>0.00</c:formatCode>
                <c:ptCount val="18"/>
                <c:pt idx="0">
                  <c:v>6.19144238154661</c:v>
                </c:pt>
                <c:pt idx="1">
                  <c:v>6.797562767126096</c:v>
                </c:pt>
                <c:pt idx="2">
                  <c:v>7.222939175279275</c:v>
                </c:pt>
                <c:pt idx="3">
                  <c:v>7.59974279162999</c:v>
                </c:pt>
                <c:pt idx="4">
                  <c:v>7.682506904074803</c:v>
                </c:pt>
                <c:pt idx="5">
                  <c:v>7.73926337140262</c:v>
                </c:pt>
                <c:pt idx="6">
                  <c:v>7.761553542428671</c:v>
                </c:pt>
                <c:pt idx="7">
                  <c:v>7.836749657434767</c:v>
                </c:pt>
                <c:pt idx="8">
                  <c:v>7.859984763709857</c:v>
                </c:pt>
                <c:pt idx="9">
                  <c:v>7.938968822336481</c:v>
                </c:pt>
                <c:pt idx="10">
                  <c:v>8.067721890547385</c:v>
                </c:pt>
                <c:pt idx="11">
                  <c:v>8.240747225928142</c:v>
                </c:pt>
                <c:pt idx="12">
                  <c:v>8.49869623763294</c:v>
                </c:pt>
                <c:pt idx="13">
                  <c:v>8.8294397695219</c:v>
                </c:pt>
                <c:pt idx="14">
                  <c:v>8.88904606162076</c:v>
                </c:pt>
                <c:pt idx="15">
                  <c:v>9.05130798888602</c:v>
                </c:pt>
                <c:pt idx="16">
                  <c:v>8.987572437683553</c:v>
                </c:pt>
                <c:pt idx="17">
                  <c:v>8.763614928518665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393208"/>
        <c:axId val="-2107381192"/>
      </c:scatterChart>
      <c:valAx>
        <c:axId val="-2076362600"/>
        <c:scaling>
          <c:orientation val="minMax"/>
          <c:max val="48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12376280"/>
        <c:crosses val="autoZero"/>
        <c:crossBetween val="midCat"/>
        <c:majorUnit val="6.0"/>
      </c:valAx>
      <c:valAx>
        <c:axId val="-211237628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76362600"/>
        <c:crosses val="autoZero"/>
        <c:crossBetween val="midCat"/>
      </c:valAx>
      <c:valAx>
        <c:axId val="-2107381192"/>
        <c:scaling>
          <c:orientation val="minMax"/>
          <c:max val="12.0"/>
          <c:min val="5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Bacterial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092393208"/>
        <c:crosses val="max"/>
        <c:crossBetween val="midCat"/>
        <c:majorUnit val="1.0"/>
        <c:minorUnit val="0.2"/>
      </c:valAx>
      <c:valAx>
        <c:axId val="-2092393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0738119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Metabolites!$M$4:$M$21</c:f>
                <c:numCache>
                  <c:formatCode>General</c:formatCode>
                  <c:ptCount val="18"/>
                  <c:pt idx="0">
                    <c:v>0.00640930583025784</c:v>
                  </c:pt>
                  <c:pt idx="1">
                    <c:v>0.0169574293034186</c:v>
                  </c:pt>
                  <c:pt idx="2">
                    <c:v>0.0192279174907735</c:v>
                  </c:pt>
                  <c:pt idx="3">
                    <c:v>0.0128186116605157</c:v>
                  </c:pt>
                  <c:pt idx="4">
                    <c:v>0.0169574293034186</c:v>
                  </c:pt>
                  <c:pt idx="5">
                    <c:v>0.011101243339254</c:v>
                  </c:pt>
                  <c:pt idx="6">
                    <c:v>0.011101243339254</c:v>
                  </c:pt>
                  <c:pt idx="7">
                    <c:v>0.011101243339254</c:v>
                  </c:pt>
                  <c:pt idx="8">
                    <c:v>0.00640930583025784</c:v>
                  </c:pt>
                  <c:pt idx="9">
                    <c:v>0.022202486678508</c:v>
                  </c:pt>
                  <c:pt idx="10">
                    <c:v>0.0169742022305239</c:v>
                  </c:pt>
                  <c:pt idx="11">
                    <c:v>0.0169917194670879</c:v>
                  </c:pt>
                  <c:pt idx="12">
                    <c:v>0.011147742745679</c:v>
                  </c:pt>
                  <c:pt idx="13">
                    <c:v>0.00646530811777018</c:v>
                  </c:pt>
                  <c:pt idx="14">
                    <c:v>0.0171663993156231</c:v>
                  </c:pt>
                  <c:pt idx="15">
                    <c:v>0.0114049480029028</c:v>
                  </c:pt>
                  <c:pt idx="16">
                    <c:v>0.0131865369022791</c:v>
                  </c:pt>
                  <c:pt idx="17">
                    <c:v>0.0131865369022795</c:v>
                  </c:pt>
                </c:numCache>
              </c:numRef>
            </c:plus>
            <c:minus>
              <c:numRef>
                <c:f>Metabolites!$M$4:$M$21</c:f>
                <c:numCache>
                  <c:formatCode>General</c:formatCode>
                  <c:ptCount val="18"/>
                  <c:pt idx="0">
                    <c:v>0.00640930583025784</c:v>
                  </c:pt>
                  <c:pt idx="1">
                    <c:v>0.0169574293034186</c:v>
                  </c:pt>
                  <c:pt idx="2">
                    <c:v>0.0192279174907735</c:v>
                  </c:pt>
                  <c:pt idx="3">
                    <c:v>0.0128186116605157</c:v>
                  </c:pt>
                  <c:pt idx="4">
                    <c:v>0.0169574293034186</c:v>
                  </c:pt>
                  <c:pt idx="5">
                    <c:v>0.011101243339254</c:v>
                  </c:pt>
                  <c:pt idx="6">
                    <c:v>0.011101243339254</c:v>
                  </c:pt>
                  <c:pt idx="7">
                    <c:v>0.011101243339254</c:v>
                  </c:pt>
                  <c:pt idx="8">
                    <c:v>0.00640930583025784</c:v>
                  </c:pt>
                  <c:pt idx="9">
                    <c:v>0.022202486678508</c:v>
                  </c:pt>
                  <c:pt idx="10">
                    <c:v>0.0169742022305239</c:v>
                  </c:pt>
                  <c:pt idx="11">
                    <c:v>0.0169917194670879</c:v>
                  </c:pt>
                  <c:pt idx="12">
                    <c:v>0.011147742745679</c:v>
                  </c:pt>
                  <c:pt idx="13">
                    <c:v>0.00646530811777018</c:v>
                  </c:pt>
                  <c:pt idx="14">
                    <c:v>0.0171663993156231</c:v>
                  </c:pt>
                  <c:pt idx="15">
                    <c:v>0.0114049480029028</c:v>
                  </c:pt>
                  <c:pt idx="16">
                    <c:v>0.0131865369022791</c:v>
                  </c:pt>
                  <c:pt idx="17">
                    <c:v>0.0131865369022795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Metabolites!$L$4:$L$21</c:f>
              <c:numCache>
                <c:formatCode>0</c:formatCode>
                <c:ptCount val="18"/>
                <c:pt idx="0">
                  <c:v>1.979721728833629</c:v>
                </c:pt>
                <c:pt idx="1">
                  <c:v>1.983422143280047</c:v>
                </c:pt>
                <c:pt idx="2">
                  <c:v>1.976021314387212</c:v>
                </c:pt>
                <c:pt idx="3">
                  <c:v>2.013025458851391</c:v>
                </c:pt>
                <c:pt idx="4">
                  <c:v>2.061130846654825</c:v>
                </c:pt>
                <c:pt idx="5">
                  <c:v>2.064831261101243</c:v>
                </c:pt>
                <c:pt idx="6">
                  <c:v>2.05373001776199</c:v>
                </c:pt>
                <c:pt idx="7">
                  <c:v>2.042628774422736</c:v>
                </c:pt>
                <c:pt idx="8">
                  <c:v>2.0352279455299</c:v>
                </c:pt>
                <c:pt idx="9">
                  <c:v>2.031527531083481</c:v>
                </c:pt>
                <c:pt idx="10">
                  <c:v>2.018720656555275</c:v>
                </c:pt>
                <c:pt idx="11">
                  <c:v>2.009680268085646</c:v>
                </c:pt>
                <c:pt idx="12">
                  <c:v>2.040036922459263</c:v>
                </c:pt>
                <c:pt idx="13">
                  <c:v>1.985821607324275</c:v>
                </c:pt>
                <c:pt idx="14">
                  <c:v>1.992880214933247</c:v>
                </c:pt>
                <c:pt idx="15">
                  <c:v>2.72578257269377</c:v>
                </c:pt>
                <c:pt idx="16">
                  <c:v>3.212791765948615</c:v>
                </c:pt>
                <c:pt idx="17">
                  <c:v>3.646747051870584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triang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Metabolites!$Q$4:$Q$21</c:f>
                <c:numCache>
                  <c:formatCode>General</c:formatCode>
                  <c:ptCount val="18"/>
                  <c:pt idx="0">
                    <c:v>0.540382372675703</c:v>
                  </c:pt>
                  <c:pt idx="1">
                    <c:v>0.433932197195513</c:v>
                  </c:pt>
                  <c:pt idx="2">
                    <c:v>0.189383537154947</c:v>
                  </c:pt>
                  <c:pt idx="3">
                    <c:v>0.419086008063876</c:v>
                  </c:pt>
                  <c:pt idx="4">
                    <c:v>0.14228149450987</c:v>
                  </c:pt>
                  <c:pt idx="5">
                    <c:v>0.279317138504781</c:v>
                  </c:pt>
                  <c:pt idx="6">
                    <c:v>0.349840716216234</c:v>
                  </c:pt>
                  <c:pt idx="7">
                    <c:v>0.999583593569288</c:v>
                  </c:pt>
                  <c:pt idx="8">
                    <c:v>0.462196160714205</c:v>
                  </c:pt>
                  <c:pt idx="9">
                    <c:v>0.422272184283297</c:v>
                  </c:pt>
                  <c:pt idx="10">
                    <c:v>0.0585405205404285</c:v>
                  </c:pt>
                  <c:pt idx="11">
                    <c:v>0.236767530437423</c:v>
                  </c:pt>
                  <c:pt idx="12">
                    <c:v>0.160687302784606</c:v>
                  </c:pt>
                  <c:pt idx="13">
                    <c:v>0.673050779876253</c:v>
                  </c:pt>
                  <c:pt idx="14">
                    <c:v>0.42145013028269</c:v>
                  </c:pt>
                  <c:pt idx="15">
                    <c:v>0.489610390974548</c:v>
                  </c:pt>
                  <c:pt idx="16">
                    <c:v>0.465692207780867</c:v>
                  </c:pt>
                  <c:pt idx="17">
                    <c:v>0.178302652956818</c:v>
                  </c:pt>
                </c:numCache>
              </c:numRef>
            </c:plus>
            <c:minus>
              <c:numRef>
                <c:f>Metabolites!$Q$4:$Q$21</c:f>
                <c:numCache>
                  <c:formatCode>General</c:formatCode>
                  <c:ptCount val="18"/>
                  <c:pt idx="0">
                    <c:v>0.540382372675703</c:v>
                  </c:pt>
                  <c:pt idx="1">
                    <c:v>0.433932197195513</c:v>
                  </c:pt>
                  <c:pt idx="2">
                    <c:v>0.189383537154947</c:v>
                  </c:pt>
                  <c:pt idx="3">
                    <c:v>0.419086008063876</c:v>
                  </c:pt>
                  <c:pt idx="4">
                    <c:v>0.14228149450987</c:v>
                  </c:pt>
                  <c:pt idx="5">
                    <c:v>0.279317138504781</c:v>
                  </c:pt>
                  <c:pt idx="6">
                    <c:v>0.349840716216234</c:v>
                  </c:pt>
                  <c:pt idx="7">
                    <c:v>0.999583593569288</c:v>
                  </c:pt>
                  <c:pt idx="8">
                    <c:v>0.462196160714205</c:v>
                  </c:pt>
                  <c:pt idx="9">
                    <c:v>0.422272184283297</c:v>
                  </c:pt>
                  <c:pt idx="10">
                    <c:v>0.0585405205404285</c:v>
                  </c:pt>
                  <c:pt idx="11">
                    <c:v>0.236767530437423</c:v>
                  </c:pt>
                  <c:pt idx="12">
                    <c:v>0.160687302784606</c:v>
                  </c:pt>
                  <c:pt idx="13">
                    <c:v>0.673050779876253</c:v>
                  </c:pt>
                  <c:pt idx="14">
                    <c:v>0.42145013028269</c:v>
                  </c:pt>
                  <c:pt idx="15">
                    <c:v>0.489610390974548</c:v>
                  </c:pt>
                  <c:pt idx="16">
                    <c:v>0.465692207780867</c:v>
                  </c:pt>
                  <c:pt idx="17">
                    <c:v>0.178302652956818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Metabolites!$P$4:$P$21</c:f>
              <c:numCache>
                <c:formatCode>0</c:formatCode>
                <c:ptCount val="18"/>
                <c:pt idx="0">
                  <c:v>49.47543713572023</c:v>
                </c:pt>
                <c:pt idx="1">
                  <c:v>49.60865945045795</c:v>
                </c:pt>
                <c:pt idx="2">
                  <c:v>49.66971967804609</c:v>
                </c:pt>
                <c:pt idx="3">
                  <c:v>49.51429364418541</c:v>
                </c:pt>
                <c:pt idx="4">
                  <c:v>48.84263114071607</c:v>
                </c:pt>
                <c:pt idx="5">
                  <c:v>48.98140438523453</c:v>
                </c:pt>
                <c:pt idx="6">
                  <c:v>48.81487649181238</c:v>
                </c:pt>
                <c:pt idx="7">
                  <c:v>48.1931723563697</c:v>
                </c:pt>
                <c:pt idx="8">
                  <c:v>48.15431584790453</c:v>
                </c:pt>
                <c:pt idx="9">
                  <c:v>47.59367194004995</c:v>
                </c:pt>
                <c:pt idx="10">
                  <c:v>47.33514466046951</c:v>
                </c:pt>
                <c:pt idx="11">
                  <c:v>47.09476210524734</c:v>
                </c:pt>
                <c:pt idx="12">
                  <c:v>45.54663110864779</c:v>
                </c:pt>
                <c:pt idx="13">
                  <c:v>44.00593511789956</c:v>
                </c:pt>
                <c:pt idx="14">
                  <c:v>40.5940765488288</c:v>
                </c:pt>
                <c:pt idx="15">
                  <c:v>35.6367380955769</c:v>
                </c:pt>
                <c:pt idx="16">
                  <c:v>35.52920615769095</c:v>
                </c:pt>
                <c:pt idx="17">
                  <c:v>35.8261394139108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Metabolites!$U$4:$U$21</c:f>
                <c:numCache>
                  <c:formatCode>General</c:formatCode>
                  <c:ptCount val="18"/>
                  <c:pt idx="0">
                    <c:v>0.0452241146962009</c:v>
                  </c:pt>
                  <c:pt idx="1">
                    <c:v>0.0376287379441425</c:v>
                  </c:pt>
                  <c:pt idx="2">
                    <c:v>0.0546732886904972</c:v>
                  </c:pt>
                  <c:pt idx="3">
                    <c:v>0.025085825296095</c:v>
                  </c:pt>
                  <c:pt idx="4">
                    <c:v>0.0217249619813165</c:v>
                  </c:pt>
                  <c:pt idx="5">
                    <c:v>0.0331854275831402</c:v>
                  </c:pt>
                  <c:pt idx="6">
                    <c:v>0.107166692642108</c:v>
                  </c:pt>
                  <c:pt idx="7">
                    <c:v>0.094696913828822</c:v>
                  </c:pt>
                  <c:pt idx="8">
                    <c:v>0.0452241146962009</c:v>
                  </c:pt>
                  <c:pt idx="9">
                    <c:v>0.0546732886904972</c:v>
                  </c:pt>
                  <c:pt idx="10">
                    <c:v>0.0332182519427673</c:v>
                  </c:pt>
                  <c:pt idx="11">
                    <c:v>0.0699771996352704</c:v>
                  </c:pt>
                  <c:pt idx="12">
                    <c:v>0.066648860545934</c:v>
                  </c:pt>
                  <c:pt idx="13">
                    <c:v>0.0456192672978684</c:v>
                  </c:pt>
                  <c:pt idx="14">
                    <c:v>0.0335943786737199</c:v>
                  </c:pt>
                  <c:pt idx="15">
                    <c:v>0.312735895694508</c:v>
                  </c:pt>
                  <c:pt idx="16">
                    <c:v>0.180640945233573</c:v>
                  </c:pt>
                  <c:pt idx="17">
                    <c:v>0.0948167448163487</c:v>
                  </c:pt>
                </c:numCache>
              </c:numRef>
            </c:plus>
            <c:minus>
              <c:numRef>
                <c:f>Metabolites!$U$4:$U$21</c:f>
                <c:numCache>
                  <c:formatCode>General</c:formatCode>
                  <c:ptCount val="18"/>
                  <c:pt idx="0">
                    <c:v>0.0452241146962009</c:v>
                  </c:pt>
                  <c:pt idx="1">
                    <c:v>0.0376287379441425</c:v>
                  </c:pt>
                  <c:pt idx="2">
                    <c:v>0.0546732886904972</c:v>
                  </c:pt>
                  <c:pt idx="3">
                    <c:v>0.025085825296095</c:v>
                  </c:pt>
                  <c:pt idx="4">
                    <c:v>0.0217249619813165</c:v>
                  </c:pt>
                  <c:pt idx="5">
                    <c:v>0.0331854275831402</c:v>
                  </c:pt>
                  <c:pt idx="6">
                    <c:v>0.107166692642108</c:v>
                  </c:pt>
                  <c:pt idx="7">
                    <c:v>0.094696913828822</c:v>
                  </c:pt>
                  <c:pt idx="8">
                    <c:v>0.0452241146962009</c:v>
                  </c:pt>
                  <c:pt idx="9">
                    <c:v>0.0546732886904972</c:v>
                  </c:pt>
                  <c:pt idx="10">
                    <c:v>0.0332182519427673</c:v>
                  </c:pt>
                  <c:pt idx="11">
                    <c:v>0.0699771996352704</c:v>
                  </c:pt>
                  <c:pt idx="12">
                    <c:v>0.066648860545934</c:v>
                  </c:pt>
                  <c:pt idx="13">
                    <c:v>0.0456192672978684</c:v>
                  </c:pt>
                  <c:pt idx="14">
                    <c:v>0.0335943786737199</c:v>
                  </c:pt>
                  <c:pt idx="15">
                    <c:v>0.312735895694508</c:v>
                  </c:pt>
                  <c:pt idx="16">
                    <c:v>0.180640945233573</c:v>
                  </c:pt>
                  <c:pt idx="17">
                    <c:v>0.0948167448163487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Metabolites!$T$4:$T$21</c:f>
              <c:numCache>
                <c:formatCode>0</c:formatCode>
                <c:ptCount val="18"/>
                <c:pt idx="0">
                  <c:v>1.506264030704613</c:v>
                </c:pt>
                <c:pt idx="1">
                  <c:v>1.585922224636107</c:v>
                </c:pt>
                <c:pt idx="2">
                  <c:v>1.745238612499095</c:v>
                </c:pt>
                <c:pt idx="3">
                  <c:v>1.919038308349627</c:v>
                </c:pt>
                <c:pt idx="4">
                  <c:v>2.107321312187703</c:v>
                </c:pt>
                <c:pt idx="5">
                  <c:v>2.186979506119198</c:v>
                </c:pt>
                <c:pt idx="6">
                  <c:v>2.230429430081831</c:v>
                </c:pt>
                <c:pt idx="7">
                  <c:v>2.389745817944818</c:v>
                </c:pt>
                <c:pt idx="8">
                  <c:v>2.534578897820262</c:v>
                </c:pt>
                <c:pt idx="9">
                  <c:v>2.766311825620971</c:v>
                </c:pt>
                <c:pt idx="10">
                  <c:v>3.073498347062034</c:v>
                </c:pt>
                <c:pt idx="11">
                  <c:v>3.693455465893008</c:v>
                </c:pt>
                <c:pt idx="12">
                  <c:v>5.221286570853001</c:v>
                </c:pt>
                <c:pt idx="13">
                  <c:v>8.093861387786077</c:v>
                </c:pt>
                <c:pt idx="14">
                  <c:v>11.3995408510405</c:v>
                </c:pt>
                <c:pt idx="15">
                  <c:v>23.11536261805571</c:v>
                </c:pt>
                <c:pt idx="16">
                  <c:v>23.6968818481772</c:v>
                </c:pt>
                <c:pt idx="17">
                  <c:v>23.71178086222825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0.00523571897064513</c:v>
                </c:pt>
                <c:pt idx="5">
                  <c:v>0.0166627112659291</c:v>
                </c:pt>
                <c:pt idx="6">
                  <c:v>0.0318248513642437</c:v>
                </c:pt>
                <c:pt idx="7">
                  <c:v>0.0539043052747676</c:v>
                </c:pt>
                <c:pt idx="8">
                  <c:v>0.0849396128108215</c:v>
                </c:pt>
                <c:pt idx="9">
                  <c:v>0.125675240390767</c:v>
                </c:pt>
                <c:pt idx="10">
                  <c:v>0.17752025711481</c:v>
                </c:pt>
                <c:pt idx="11">
                  <c:v>0.23875871542321</c:v>
                </c:pt>
                <c:pt idx="12">
                  <c:v>0.308074366979637</c:v>
                </c:pt>
                <c:pt idx="13">
                  <c:v>0.384002659523323</c:v>
                </c:pt>
                <c:pt idx="14">
                  <c:v>0.462600704846992</c:v>
                </c:pt>
                <c:pt idx="15">
                  <c:v>0.54568267924142</c:v>
                </c:pt>
                <c:pt idx="16">
                  <c:v>0.633143380233975</c:v>
                </c:pt>
                <c:pt idx="17">
                  <c:v>0.722297100102816</c:v>
                </c:pt>
                <c:pt idx="18">
                  <c:v>0.81348967079216</c:v>
                </c:pt>
                <c:pt idx="19">
                  <c:v>0.907537570522209</c:v>
                </c:pt>
                <c:pt idx="20">
                  <c:v>1.005875559498123</c:v>
                </c:pt>
                <c:pt idx="21">
                  <c:v>1.109038831880706</c:v>
                </c:pt>
                <c:pt idx="22">
                  <c:v>1.215162081636088</c:v>
                </c:pt>
                <c:pt idx="23">
                  <c:v>1.325912592371072</c:v>
                </c:pt>
                <c:pt idx="24">
                  <c:v>1.441888726248768</c:v>
                </c:pt>
                <c:pt idx="25">
                  <c:v>1.559717942518609</c:v>
                </c:pt>
                <c:pt idx="26">
                  <c:v>1.686546506342342</c:v>
                </c:pt>
                <c:pt idx="27">
                  <c:v>1.826143990048361</c:v>
                </c:pt>
                <c:pt idx="28">
                  <c:v>1.978148205690479</c:v>
                </c:pt>
                <c:pt idx="29">
                  <c:v>2.149715769318304</c:v>
                </c:pt>
                <c:pt idx="30">
                  <c:v>2.348350296920146</c:v>
                </c:pt>
                <c:pt idx="31">
                  <c:v>2.587385431469515</c:v>
                </c:pt>
                <c:pt idx="32">
                  <c:v>2.875123959759169</c:v>
                </c:pt>
                <c:pt idx="33">
                  <c:v>3.223883515548844</c:v>
                </c:pt>
                <c:pt idx="34">
                  <c:v>3.66207816063357</c:v>
                </c:pt>
                <c:pt idx="35">
                  <c:v>4.207839690254535</c:v>
                </c:pt>
                <c:pt idx="36">
                  <c:v>4.899197379262377</c:v>
                </c:pt>
                <c:pt idx="37">
                  <c:v>5.76757613209309</c:v>
                </c:pt>
                <c:pt idx="38">
                  <c:v>6.792118652005179</c:v>
                </c:pt>
                <c:pt idx="39">
                  <c:v>7.99846032119675</c:v>
                </c:pt>
                <c:pt idx="40">
                  <c:v>9.341694173371174</c:v>
                </c:pt>
                <c:pt idx="41">
                  <c:v>10.71595987937489</c:v>
                </c:pt>
                <c:pt idx="42">
                  <c:v>12.09297937192837</c:v>
                </c:pt>
                <c:pt idx="43">
                  <c:v>13.43456649631377</c:v>
                </c:pt>
                <c:pt idx="44">
                  <c:v>14.69023182357298</c:v>
                </c:pt>
                <c:pt idx="45">
                  <c:v>15.80939686461314</c:v>
                </c:pt>
                <c:pt idx="46">
                  <c:v>16.74426640700199</c:v>
                </c:pt>
                <c:pt idx="47">
                  <c:v>17.48147907132248</c:v>
                </c:pt>
                <c:pt idx="48">
                  <c:v>18.07299422496726</c:v>
                </c:pt>
                <c:pt idx="49">
                  <c:v>18.55265089313593</c:v>
                </c:pt>
                <c:pt idx="50">
                  <c:v>18.92151778509326</c:v>
                </c:pt>
                <c:pt idx="51">
                  <c:v>19.20370209373628</c:v>
                </c:pt>
                <c:pt idx="52">
                  <c:v>19.41923047613368</c:v>
                </c:pt>
                <c:pt idx="53">
                  <c:v>19.5852385240225</c:v>
                </c:pt>
                <c:pt idx="54">
                  <c:v>19.71719061992681</c:v>
                </c:pt>
                <c:pt idx="55">
                  <c:v>19.82475698806526</c:v>
                </c:pt>
                <c:pt idx="56">
                  <c:v>19.91417047916167</c:v>
                </c:pt>
                <c:pt idx="57">
                  <c:v>19.98997247764551</c:v>
                </c:pt>
                <c:pt idx="58">
                  <c:v>20.05377975182357</c:v>
                </c:pt>
                <c:pt idx="59">
                  <c:v>20.10777690131476</c:v>
                </c:pt>
                <c:pt idx="60">
                  <c:v>20.14484139059894</c:v>
                </c:pt>
                <c:pt idx="61">
                  <c:v>20.17974308417292</c:v>
                </c:pt>
                <c:pt idx="62">
                  <c:v>20.22097027074837</c:v>
                </c:pt>
                <c:pt idx="63">
                  <c:v>20.25419854561654</c:v>
                </c:pt>
                <c:pt idx="64">
                  <c:v>20.2812906967947</c:v>
                </c:pt>
                <c:pt idx="65">
                  <c:v>20.29367708890818</c:v>
                </c:pt>
                <c:pt idx="66">
                  <c:v>20.29367708890818</c:v>
                </c:pt>
                <c:pt idx="67">
                  <c:v>20.29367708890818</c:v>
                </c:pt>
                <c:pt idx="68">
                  <c:v>20.29367708890818</c:v>
                </c:pt>
                <c:pt idx="69">
                  <c:v>20.29367708890818</c:v>
                </c:pt>
                <c:pt idx="70">
                  <c:v>20.29367708890818</c:v>
                </c:pt>
                <c:pt idx="71">
                  <c:v>20.29367708890818</c:v>
                </c:pt>
                <c:pt idx="72">
                  <c:v>20.29367708890818</c:v>
                </c:pt>
                <c:pt idx="73">
                  <c:v>20.29367708890818</c:v>
                </c:pt>
                <c:pt idx="74">
                  <c:v>20.29367708890818</c:v>
                </c:pt>
                <c:pt idx="75">
                  <c:v>20.29367708890818</c:v>
                </c:pt>
                <c:pt idx="76">
                  <c:v>20.29367708890818</c:v>
                </c:pt>
                <c:pt idx="77">
                  <c:v>20.29367708890818</c:v>
                </c:pt>
                <c:pt idx="78">
                  <c:v>20.29367708890818</c:v>
                </c:pt>
                <c:pt idx="79">
                  <c:v>20.29367708890818</c:v>
                </c:pt>
                <c:pt idx="80">
                  <c:v>20.29367708890818</c:v>
                </c:pt>
                <c:pt idx="81">
                  <c:v>20.29367708890818</c:v>
                </c:pt>
                <c:pt idx="82">
                  <c:v>20.29367708890818</c:v>
                </c:pt>
                <c:pt idx="83">
                  <c:v>20.29367708890818</c:v>
                </c:pt>
                <c:pt idx="84">
                  <c:v>20.29367708890818</c:v>
                </c:pt>
                <c:pt idx="85">
                  <c:v>20.29367708890818</c:v>
                </c:pt>
                <c:pt idx="86">
                  <c:v>20.29367708890818</c:v>
                </c:pt>
                <c:pt idx="87">
                  <c:v>20.29367708890818</c:v>
                </c:pt>
                <c:pt idx="88">
                  <c:v>20.29367708890818</c:v>
                </c:pt>
                <c:pt idx="89">
                  <c:v>20.29367708890818</c:v>
                </c:pt>
                <c:pt idx="90">
                  <c:v>20.29367708890818</c:v>
                </c:pt>
                <c:pt idx="91">
                  <c:v>20.29367708890818</c:v>
                </c:pt>
                <c:pt idx="92">
                  <c:v>20.29367708890818</c:v>
                </c:pt>
                <c:pt idx="93">
                  <c:v>20.29367708890818</c:v>
                </c:pt>
                <c:pt idx="94">
                  <c:v>20.29367708890818</c:v>
                </c:pt>
                <c:pt idx="95">
                  <c:v>20.29367708890818</c:v>
                </c:pt>
                <c:pt idx="96">
                  <c:v>20.29367708890818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Metabolites!$I$4:$I$21</c:f>
                <c:numCache>
                  <c:formatCode>General</c:formatCode>
                  <c:ptCount val="18"/>
                  <c:pt idx="0">
                    <c:v>0.671976822274434</c:v>
                  </c:pt>
                  <c:pt idx="1">
                    <c:v>0.365049214184086</c:v>
                  </c:pt>
                  <c:pt idx="2">
                    <c:v>0.281499163701289</c:v>
                  </c:pt>
                  <c:pt idx="3">
                    <c:v>0.341005790082612</c:v>
                  </c:pt>
                  <c:pt idx="4">
                    <c:v>0.0433517410962834</c:v>
                  </c:pt>
                  <c:pt idx="5">
                    <c:v>0.300007549714462</c:v>
                  </c:pt>
                  <c:pt idx="6">
                    <c:v>0.365330432324699</c:v>
                  </c:pt>
                  <c:pt idx="7">
                    <c:v>1.25390415005123</c:v>
                  </c:pt>
                  <c:pt idx="8">
                    <c:v>0.803524782110573</c:v>
                  </c:pt>
                  <c:pt idx="9">
                    <c:v>0.186779312668698</c:v>
                  </c:pt>
                  <c:pt idx="10">
                    <c:v>0.144921179059677</c:v>
                  </c:pt>
                  <c:pt idx="11">
                    <c:v>0.244046119168142</c:v>
                  </c:pt>
                  <c:pt idx="12">
                    <c:v>0.311854658017853</c:v>
                  </c:pt>
                  <c:pt idx="13">
                    <c:v>0.309643713848857</c:v>
                  </c:pt>
                  <c:pt idx="14">
                    <c:v>0.259105419003207</c:v>
                  </c:pt>
                  <c:pt idx="15">
                    <c:v>0.4115801184757</c:v>
                  </c:pt>
                  <c:pt idx="16">
                    <c:v>0.155046984635121</c:v>
                  </c:pt>
                  <c:pt idx="17">
                    <c:v>0.311771676568966</c:v>
                  </c:pt>
                </c:numCache>
              </c:numRef>
            </c:plus>
            <c:minus>
              <c:numRef>
                <c:f>Metabolites!$I$4:$I$21</c:f>
                <c:numCache>
                  <c:formatCode>General</c:formatCode>
                  <c:ptCount val="18"/>
                  <c:pt idx="0">
                    <c:v>0.671976822274434</c:v>
                  </c:pt>
                  <c:pt idx="1">
                    <c:v>0.365049214184086</c:v>
                  </c:pt>
                  <c:pt idx="2">
                    <c:v>0.281499163701289</c:v>
                  </c:pt>
                  <c:pt idx="3">
                    <c:v>0.341005790082612</c:v>
                  </c:pt>
                  <c:pt idx="4">
                    <c:v>0.0433517410962834</c:v>
                  </c:pt>
                  <c:pt idx="5">
                    <c:v>0.300007549714462</c:v>
                  </c:pt>
                  <c:pt idx="6">
                    <c:v>0.365330432324699</c:v>
                  </c:pt>
                  <c:pt idx="7">
                    <c:v>1.25390415005123</c:v>
                  </c:pt>
                  <c:pt idx="8">
                    <c:v>0.803524782110573</c:v>
                  </c:pt>
                  <c:pt idx="9">
                    <c:v>0.186779312668698</c:v>
                  </c:pt>
                  <c:pt idx="10">
                    <c:v>0.144921179059677</c:v>
                  </c:pt>
                  <c:pt idx="11">
                    <c:v>0.244046119168142</c:v>
                  </c:pt>
                  <c:pt idx="12">
                    <c:v>0.311854658017853</c:v>
                  </c:pt>
                  <c:pt idx="13">
                    <c:v>0.309643713848857</c:v>
                  </c:pt>
                  <c:pt idx="14">
                    <c:v>0.259105419003207</c:v>
                  </c:pt>
                  <c:pt idx="15">
                    <c:v>0.4115801184757</c:v>
                  </c:pt>
                  <c:pt idx="16">
                    <c:v>0.155046984635121</c:v>
                  </c:pt>
                  <c:pt idx="17">
                    <c:v>0.311771676568966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Metabolites!$H$4:$H$21</c:f>
              <c:numCache>
                <c:formatCode>0</c:formatCode>
                <c:ptCount val="18"/>
                <c:pt idx="0">
                  <c:v>50.48105387803434</c:v>
                </c:pt>
                <c:pt idx="1">
                  <c:v>50.7400828892836</c:v>
                </c:pt>
                <c:pt idx="2">
                  <c:v>50.9047513321492</c:v>
                </c:pt>
                <c:pt idx="3">
                  <c:v>50.83444345766726</c:v>
                </c:pt>
                <c:pt idx="4">
                  <c:v>50.37189165186503</c:v>
                </c:pt>
                <c:pt idx="5">
                  <c:v>50.70307874481941</c:v>
                </c:pt>
                <c:pt idx="6">
                  <c:v>50.6161190053286</c:v>
                </c:pt>
                <c:pt idx="7">
                  <c:v>50.36449082297217</c:v>
                </c:pt>
                <c:pt idx="8">
                  <c:v>50.15726761397277</c:v>
                </c:pt>
                <c:pt idx="9">
                  <c:v>49.87048549437538</c:v>
                </c:pt>
                <c:pt idx="10">
                  <c:v>50.12353747615775</c:v>
                </c:pt>
                <c:pt idx="11">
                  <c:v>49.81374457859155</c:v>
                </c:pt>
                <c:pt idx="12">
                  <c:v>48.12666339022066</c:v>
                </c:pt>
                <c:pt idx="13">
                  <c:v>45.77094840039523</c:v>
                </c:pt>
                <c:pt idx="14">
                  <c:v>41.47026394627541</c:v>
                </c:pt>
                <c:pt idx="15">
                  <c:v>29.97980665029717</c:v>
                </c:pt>
                <c:pt idx="16">
                  <c:v>29.36240436806237</c:v>
                </c:pt>
                <c:pt idx="17">
                  <c:v>28.54207661265725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Metabolites!$J$23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Metabolites!$M$26:$M$43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0.0173365705555776</c:v>
                  </c:pt>
                  <c:pt idx="3">
                    <c:v>0.0398579569207155</c:v>
                  </c:pt>
                  <c:pt idx="4">
                    <c:v>0.0300278210312631</c:v>
                  </c:pt>
                  <c:pt idx="5">
                    <c:v>0.0173365705555777</c:v>
                  </c:pt>
                  <c:pt idx="6">
                    <c:v>0.0346731411111552</c:v>
                  </c:pt>
                  <c:pt idx="7">
                    <c:v>0.0684112333826094</c:v>
                  </c:pt>
                  <c:pt idx="8">
                    <c:v>0.0567472477584838</c:v>
                  </c:pt>
                  <c:pt idx="9">
                    <c:v>0.0398579569207156</c:v>
                  </c:pt>
                  <c:pt idx="10">
                    <c:v>0.0398973812104492</c:v>
                  </c:pt>
                  <c:pt idx="11">
                    <c:v>0.0236735376608143</c:v>
                  </c:pt>
                  <c:pt idx="12">
                    <c:v>0.023724723688189</c:v>
                  </c:pt>
                  <c:pt idx="13">
                    <c:v>0.0433437647929544</c:v>
                  </c:pt>
                  <c:pt idx="14">
                    <c:v>0.122851489643165</c:v>
                  </c:pt>
                  <c:pt idx="15">
                    <c:v>0.368043215205302</c:v>
                  </c:pt>
                  <c:pt idx="16">
                    <c:v>0.138307261713168</c:v>
                  </c:pt>
                  <c:pt idx="17">
                    <c:v>0.276860804398186</c:v>
                  </c:pt>
                </c:numCache>
              </c:numRef>
            </c:plus>
            <c:minus>
              <c:numRef>
                <c:f>Metabolites!$M$26:$M$43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0.0173365705555776</c:v>
                  </c:pt>
                  <c:pt idx="3">
                    <c:v>0.0398579569207155</c:v>
                  </c:pt>
                  <c:pt idx="4">
                    <c:v>0.0300278210312631</c:v>
                  </c:pt>
                  <c:pt idx="5">
                    <c:v>0.0173365705555777</c:v>
                  </c:pt>
                  <c:pt idx="6">
                    <c:v>0.0346731411111552</c:v>
                  </c:pt>
                  <c:pt idx="7">
                    <c:v>0.0684112333826094</c:v>
                  </c:pt>
                  <c:pt idx="8">
                    <c:v>0.0567472477584838</c:v>
                  </c:pt>
                  <c:pt idx="9">
                    <c:v>0.0398579569207156</c:v>
                  </c:pt>
                  <c:pt idx="10">
                    <c:v>0.0398973812104492</c:v>
                  </c:pt>
                  <c:pt idx="11">
                    <c:v>0.0236735376608143</c:v>
                  </c:pt>
                  <c:pt idx="12">
                    <c:v>0.023724723688189</c:v>
                  </c:pt>
                  <c:pt idx="13">
                    <c:v>0.0433437647929544</c:v>
                  </c:pt>
                  <c:pt idx="14">
                    <c:v>0.122851489643165</c:v>
                  </c:pt>
                  <c:pt idx="15">
                    <c:v>0.368043215205302</c:v>
                  </c:pt>
                  <c:pt idx="16">
                    <c:v>0.138307261713168</c:v>
                  </c:pt>
                  <c:pt idx="17">
                    <c:v>0.276860804398186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Metabolites!$L$26:$L$43</c:f>
              <c:numCache>
                <c:formatCode>0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0.0529640979079181</c:v>
                </c:pt>
                <c:pt idx="3">
                  <c:v>0.412363333711648</c:v>
                </c:pt>
                <c:pt idx="4">
                  <c:v>0.749063670411985</c:v>
                </c:pt>
                <c:pt idx="5">
                  <c:v>1.093330306813453</c:v>
                </c:pt>
                <c:pt idx="6">
                  <c:v>1.354367646502478</c:v>
                </c:pt>
                <c:pt idx="7">
                  <c:v>1.755381530662429</c:v>
                </c:pt>
                <c:pt idx="8">
                  <c:v>2.110997616615594</c:v>
                </c:pt>
                <c:pt idx="9">
                  <c:v>2.561192448832898</c:v>
                </c:pt>
                <c:pt idx="10">
                  <c:v>3.252940089313021</c:v>
                </c:pt>
                <c:pt idx="11">
                  <c:v>4.39353706052755</c:v>
                </c:pt>
                <c:pt idx="12">
                  <c:v>6.123981880405541</c:v>
                </c:pt>
                <c:pt idx="13">
                  <c:v>9.899237584638244</c:v>
                </c:pt>
                <c:pt idx="14">
                  <c:v>14.74844585566596</c:v>
                </c:pt>
                <c:pt idx="15">
                  <c:v>27.70791494755602</c:v>
                </c:pt>
                <c:pt idx="16">
                  <c:v>28.93894462771894</c:v>
                </c:pt>
                <c:pt idx="17">
                  <c:v>29.56551403130457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0.00209849477705774</c:v>
                </c:pt>
                <c:pt idx="1">
                  <c:v>0.0065284733472773</c:v>
                </c:pt>
                <c:pt idx="2">
                  <c:v>0.00955956164159977</c:v>
                </c:pt>
                <c:pt idx="3">
                  <c:v>0.0112851465023213</c:v>
                </c:pt>
                <c:pt idx="4">
                  <c:v>0.0138034039800754</c:v>
                </c:pt>
                <c:pt idx="5">
                  <c:v>0.0152956810982687</c:v>
                </c:pt>
                <c:pt idx="6">
                  <c:v>0.015585938359003</c:v>
                </c:pt>
                <c:pt idx="7">
                  <c:v>0.0158761956197374</c:v>
                </c:pt>
                <c:pt idx="8">
                  <c:v>0.0171861933990247</c:v>
                </c:pt>
                <c:pt idx="9">
                  <c:v>0.0195038287971854</c:v>
                </c:pt>
                <c:pt idx="10">
                  <c:v>0.0206688641080945</c:v>
                </c:pt>
                <c:pt idx="11">
                  <c:v>0.0211934035692522</c:v>
                </c:pt>
                <c:pt idx="12">
                  <c:v>0.0217246940036981</c:v>
                </c:pt>
                <c:pt idx="13">
                  <c:v>0.0230375094113346</c:v>
                </c:pt>
                <c:pt idx="14">
                  <c:v>0.024350324818971</c:v>
                </c:pt>
                <c:pt idx="15">
                  <c:v>0.0249131973410833</c:v>
                </c:pt>
                <c:pt idx="16">
                  <c:v>0.0253119211978717</c:v>
                </c:pt>
                <c:pt idx="17">
                  <c:v>0.0278183523171556</c:v>
                </c:pt>
                <c:pt idx="18">
                  <c:v>0.0303247834364396</c:v>
                </c:pt>
                <c:pt idx="19">
                  <c:v>0.0363685755194109</c:v>
                </c:pt>
                <c:pt idx="20">
                  <c:v>0.0461234096767462</c:v>
                </c:pt>
                <c:pt idx="21">
                  <c:v>0.0540484965162766</c:v>
                </c:pt>
                <c:pt idx="22">
                  <c:v>0.0598979449017951</c:v>
                </c:pt>
                <c:pt idx="23">
                  <c:v>0.0638880372940237</c:v>
                </c:pt>
                <c:pt idx="24">
                  <c:v>0.0667657915420904</c:v>
                </c:pt>
                <c:pt idx="25">
                  <c:v>0.0753337828678943</c:v>
                </c:pt>
                <c:pt idx="26">
                  <c:v>0.0839235039167446</c:v>
                </c:pt>
                <c:pt idx="27">
                  <c:v>0.0850130943152185</c:v>
                </c:pt>
                <c:pt idx="28">
                  <c:v>0.0874077741864251</c:v>
                </c:pt>
                <c:pt idx="29">
                  <c:v>0.0911075435303645</c:v>
                </c:pt>
                <c:pt idx="30">
                  <c:v>0.0930999140616631</c:v>
                </c:pt>
                <c:pt idx="31">
                  <c:v>0.093242399920992</c:v>
                </c:pt>
                <c:pt idx="32">
                  <c:v>0.093242399920992</c:v>
                </c:pt>
                <c:pt idx="33">
                  <c:v>0.0933168537440642</c:v>
                </c:pt>
                <c:pt idx="34">
                  <c:v>0.0969161767182004</c:v>
                </c:pt>
                <c:pt idx="35">
                  <c:v>0.101850672308321</c:v>
                </c:pt>
                <c:pt idx="36">
                  <c:v>0.103589445986798</c:v>
                </c:pt>
                <c:pt idx="37">
                  <c:v>0.104000739374859</c:v>
                </c:pt>
                <c:pt idx="38">
                  <c:v>0.108527779867798</c:v>
                </c:pt>
                <c:pt idx="39">
                  <c:v>0.117373188550872</c:v>
                </c:pt>
                <c:pt idx="40">
                  <c:v>0.122032626062778</c:v>
                </c:pt>
                <c:pt idx="41">
                  <c:v>0.126778764500539</c:v>
                </c:pt>
                <c:pt idx="42">
                  <c:v>0.131524902938299</c:v>
                </c:pt>
                <c:pt idx="43">
                  <c:v>0.131783826111429</c:v>
                </c:pt>
                <c:pt idx="44">
                  <c:v>0.133078441977079</c:v>
                </c:pt>
                <c:pt idx="45">
                  <c:v>0.142311795679471</c:v>
                </c:pt>
                <c:pt idx="46">
                  <c:v>0.152062405925905</c:v>
                </c:pt>
                <c:pt idx="47">
                  <c:v>0.155427227572161</c:v>
                </c:pt>
                <c:pt idx="48">
                  <c:v>0.157072599742472</c:v>
                </c:pt>
                <c:pt idx="49">
                  <c:v>0.15920275845521</c:v>
                </c:pt>
                <c:pt idx="50">
                  <c:v>0.163648554781974</c:v>
                </c:pt>
                <c:pt idx="51">
                  <c:v>0.166242094231034</c:v>
                </c:pt>
                <c:pt idx="52">
                  <c:v>0.168650154778807</c:v>
                </c:pt>
                <c:pt idx="53">
                  <c:v>0.171243061194075</c:v>
                </c:pt>
                <c:pt idx="54">
                  <c:v>0.171798864864145</c:v>
                </c:pt>
                <c:pt idx="55">
                  <c:v>0.171984343765432</c:v>
                </c:pt>
                <c:pt idx="56">
                  <c:v>0.172354668534214</c:v>
                </c:pt>
                <c:pt idx="57">
                  <c:v>0.172724993302996</c:v>
                </c:pt>
                <c:pt idx="58">
                  <c:v>0.172724993302996</c:v>
                </c:pt>
                <c:pt idx="59">
                  <c:v>0.174947574949482</c:v>
                </c:pt>
                <c:pt idx="60">
                  <c:v>0.178662433714161</c:v>
                </c:pt>
                <c:pt idx="61">
                  <c:v>0.183712109123522</c:v>
                </c:pt>
                <c:pt idx="62">
                  <c:v>0.187467403313554</c:v>
                </c:pt>
                <c:pt idx="63">
                  <c:v>0.192309436415773</c:v>
                </c:pt>
                <c:pt idx="64">
                  <c:v>0.199621453484349</c:v>
                </c:pt>
                <c:pt idx="65">
                  <c:v>0.202585839491553</c:v>
                </c:pt>
                <c:pt idx="66">
                  <c:v>0.203475357917501</c:v>
                </c:pt>
                <c:pt idx="67">
                  <c:v>0.205748121397619</c:v>
                </c:pt>
                <c:pt idx="68">
                  <c:v>0.207427872593772</c:v>
                </c:pt>
                <c:pt idx="69">
                  <c:v>0.207427872593772</c:v>
                </c:pt>
                <c:pt idx="70">
                  <c:v>0.213949656892143</c:v>
                </c:pt>
                <c:pt idx="71">
                  <c:v>0.220570051433635</c:v>
                </c:pt>
                <c:pt idx="72">
                  <c:v>0.221953296487805</c:v>
                </c:pt>
                <c:pt idx="73">
                  <c:v>0.223633047683957</c:v>
                </c:pt>
                <c:pt idx="74">
                  <c:v>0.229858325840346</c:v>
                </c:pt>
                <c:pt idx="75">
                  <c:v>0.235886383510496</c:v>
                </c:pt>
                <c:pt idx="76">
                  <c:v>0.238455653132597</c:v>
                </c:pt>
                <c:pt idx="77">
                  <c:v>0.241815155524903</c:v>
                </c:pt>
                <c:pt idx="78">
                  <c:v>0.24280328419397</c:v>
                </c:pt>
                <c:pt idx="79">
                  <c:v>0.251004819688495</c:v>
                </c:pt>
                <c:pt idx="80">
                  <c:v>0.260787496136052</c:v>
                </c:pt>
                <c:pt idx="81">
                  <c:v>0.267704396819526</c:v>
                </c:pt>
                <c:pt idx="82">
                  <c:v>0.273040156549967</c:v>
                </c:pt>
                <c:pt idx="83">
                  <c:v>0.273534558590813</c:v>
                </c:pt>
                <c:pt idx="84">
                  <c:v>0.274127570874779</c:v>
                </c:pt>
                <c:pt idx="85">
                  <c:v>0.274324791361018</c:v>
                </c:pt>
                <c:pt idx="86">
                  <c:v>0.274917803644983</c:v>
                </c:pt>
                <c:pt idx="87">
                  <c:v>0.275510815928949</c:v>
                </c:pt>
                <c:pt idx="88">
                  <c:v>0.281736094085338</c:v>
                </c:pt>
                <c:pt idx="89">
                  <c:v>0.287862761998607</c:v>
                </c:pt>
                <c:pt idx="90">
                  <c:v>0.28806065789747</c:v>
                </c:pt>
                <c:pt idx="91">
                  <c:v>0.289839694749367</c:v>
                </c:pt>
                <c:pt idx="92">
                  <c:v>0.291717341844383</c:v>
                </c:pt>
                <c:pt idx="93">
                  <c:v>0.292112458229485</c:v>
                </c:pt>
                <c:pt idx="94">
                  <c:v>0.292507574614587</c:v>
                </c:pt>
                <c:pt idx="95">
                  <c:v>0.293001976655433</c:v>
                </c:pt>
                <c:pt idx="96">
                  <c:v>0.293306353795737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709912"/>
        <c:axId val="-2076454952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6808.0</c:v>
                </c:pt>
                <c:pt idx="1">
                  <c:v>15657.0</c:v>
                </c:pt>
                <c:pt idx="2">
                  <c:v>29973.0</c:v>
                </c:pt>
                <c:pt idx="3">
                  <c:v>4020.0</c:v>
                </c:pt>
                <c:pt idx="4">
                  <c:v>3822.0</c:v>
                </c:pt>
                <c:pt idx="5">
                  <c:v>3692.0</c:v>
                </c:pt>
                <c:pt idx="6">
                  <c:v>4380.0</c:v>
                </c:pt>
                <c:pt idx="7">
                  <c:v>5116.0</c:v>
                </c:pt>
                <c:pt idx="8">
                  <c:v>5417.0</c:v>
                </c:pt>
                <c:pt idx="9">
                  <c:v>7295.0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OD600nm!$J$4:$J$21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5.44133936696422E-17</c:v>
                  </c:pt>
                  <c:pt idx="4">
                    <c:v>5.44133936696422E-17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0.010291061182081</c:v>
                  </c:pt>
                  <c:pt idx="12">
                    <c:v>0.0244510963830527</c:v>
                  </c:pt>
                  <c:pt idx="13">
                    <c:v>0.0423505412362109</c:v>
                  </c:pt>
                  <c:pt idx="14">
                    <c:v>0.0847010824724219</c:v>
                  </c:pt>
                  <c:pt idx="15">
                    <c:v>0.1065798581925</c:v>
                  </c:pt>
                  <c:pt idx="16">
                    <c:v>0.0831748118302651</c:v>
                  </c:pt>
                  <c:pt idx="17">
                    <c:v>0.0721795607934361</c:v>
                  </c:pt>
                </c:numCache>
              </c:numRef>
            </c:plus>
            <c:minus>
              <c:numRef>
                <c:f>OD600nm!$J$4:$J$21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5.44133936696422E-17</c:v>
                  </c:pt>
                  <c:pt idx="4">
                    <c:v>5.44133936696422E-17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0.010291061182081</c:v>
                  </c:pt>
                  <c:pt idx="12">
                    <c:v>0.0244510963830527</c:v>
                  </c:pt>
                  <c:pt idx="13">
                    <c:v>0.0423505412362109</c:v>
                  </c:pt>
                  <c:pt idx="14">
                    <c:v>0.0847010824724219</c:v>
                  </c:pt>
                  <c:pt idx="15">
                    <c:v>0.1065798581925</c:v>
                  </c:pt>
                  <c:pt idx="16">
                    <c:v>0.0831748118302651</c:v>
                  </c:pt>
                  <c:pt idx="17">
                    <c:v>0.0721795607934361</c:v>
                  </c:pt>
                </c:numCache>
              </c:numRef>
            </c:minus>
          </c:errBars>
          <c:xVal>
            <c:numRef>
              <c:f>OD600nm!$D$4:$D$21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24.16666666666667</c:v>
                </c:pt>
                <c:pt idx="16">
                  <c:v>30.16666666666667</c:v>
                </c:pt>
                <c:pt idx="17">
                  <c:v>48.16666666666666</c:v>
                </c:pt>
              </c:numCache>
            </c:numRef>
          </c:xVal>
          <c:yVal>
            <c:numRef>
              <c:f>OD600nm!$I$4:$I$21</c:f>
              <c:numCache>
                <c:formatCode>0.000</c:formatCode>
                <c:ptCount val="18"/>
                <c:pt idx="0">
                  <c:v>0.1610756</c:v>
                </c:pt>
                <c:pt idx="1">
                  <c:v>0.1882875</c:v>
                </c:pt>
                <c:pt idx="2">
                  <c:v>0.2427113</c:v>
                </c:pt>
                <c:pt idx="3">
                  <c:v>0.3003365</c:v>
                </c:pt>
                <c:pt idx="4">
                  <c:v>0.3131421</c:v>
                </c:pt>
                <c:pt idx="5">
                  <c:v>0.3227463</c:v>
                </c:pt>
                <c:pt idx="6">
                  <c:v>0.3179442</c:v>
                </c:pt>
                <c:pt idx="7">
                  <c:v>0.3835729</c:v>
                </c:pt>
                <c:pt idx="8">
                  <c:v>0.3963785</c:v>
                </c:pt>
                <c:pt idx="9">
                  <c:v>0.4379967</c:v>
                </c:pt>
                <c:pt idx="10">
                  <c:v>0.5084275</c:v>
                </c:pt>
                <c:pt idx="11">
                  <c:v>0.752205933333333</c:v>
                </c:pt>
                <c:pt idx="12">
                  <c:v>1.215916666666667</c:v>
                </c:pt>
                <c:pt idx="13">
                  <c:v>2.187008</c:v>
                </c:pt>
                <c:pt idx="14">
                  <c:v>2.395099</c:v>
                </c:pt>
                <c:pt idx="15">
                  <c:v>3.430218333333333</c:v>
                </c:pt>
                <c:pt idx="16">
                  <c:v>2.939337</c:v>
                </c:pt>
                <c:pt idx="17">
                  <c:v>2.389763333333333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301112"/>
        <c:axId val="-2076313576"/>
      </c:scatterChart>
      <c:valAx>
        <c:axId val="-2091709912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76454952"/>
        <c:crosses val="autoZero"/>
        <c:crossBetween val="midCat"/>
        <c:majorUnit val="6.0"/>
      </c:valAx>
      <c:valAx>
        <c:axId val="-2076454952"/>
        <c:scaling>
          <c:orientation val="minMax"/>
          <c:max val="6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91709912"/>
        <c:crosses val="autoZero"/>
        <c:crossBetween val="midCat"/>
      </c:valAx>
      <c:valAx>
        <c:axId val="-2076313576"/>
        <c:scaling>
          <c:orientation val="minMax"/>
          <c:max val="5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091301112"/>
        <c:crosses val="max"/>
        <c:crossBetween val="midCat"/>
        <c:majorUnit val="1.0"/>
        <c:minorUnit val="0.2"/>
      </c:valAx>
      <c:valAx>
        <c:axId val="-2091301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7631357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D5" sqref="D5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38.6640625" style="2" customWidth="1"/>
    <col min="4" max="16384" width="8.83203125" style="2"/>
  </cols>
  <sheetData>
    <row r="1" spans="1:3">
      <c r="A1" s="111" t="s">
        <v>0</v>
      </c>
      <c r="B1" s="112"/>
      <c r="C1" s="33">
        <v>42333</v>
      </c>
    </row>
    <row r="2" spans="1:3" ht="16">
      <c r="A2" s="111" t="s">
        <v>1</v>
      </c>
      <c r="B2" s="113"/>
      <c r="C2" s="31" t="s">
        <v>130</v>
      </c>
    </row>
    <row r="3" spans="1:3">
      <c r="A3" s="11"/>
      <c r="B3" s="11"/>
      <c r="C3" s="10"/>
    </row>
    <row r="4" spans="1:3">
      <c r="A4" s="114" t="s">
        <v>49</v>
      </c>
      <c r="B4" s="114"/>
      <c r="C4" s="7" t="s">
        <v>108</v>
      </c>
    </row>
    <row r="6" spans="1:3">
      <c r="A6" s="41" t="s">
        <v>83</v>
      </c>
      <c r="B6" s="41" t="s">
        <v>84</v>
      </c>
      <c r="C6" s="41" t="s">
        <v>69</v>
      </c>
    </row>
    <row r="7" spans="1:3">
      <c r="A7" s="37" t="s">
        <v>85</v>
      </c>
      <c r="B7" s="37" t="s">
        <v>86</v>
      </c>
      <c r="C7" s="37" t="s">
        <v>102</v>
      </c>
    </row>
    <row r="8" spans="1:3">
      <c r="A8" s="37" t="s">
        <v>87</v>
      </c>
      <c r="B8" s="37" t="s">
        <v>88</v>
      </c>
      <c r="C8" s="37" t="s">
        <v>102</v>
      </c>
    </row>
    <row r="9" spans="1:3">
      <c r="A9" s="37" t="s">
        <v>89</v>
      </c>
      <c r="B9" s="37" t="s">
        <v>90</v>
      </c>
      <c r="C9" s="37" t="s">
        <v>102</v>
      </c>
    </row>
    <row r="10" spans="1:3">
      <c r="A10" s="37" t="s">
        <v>91</v>
      </c>
      <c r="B10" s="37" t="s">
        <v>92</v>
      </c>
      <c r="C10" s="37" t="s">
        <v>102</v>
      </c>
    </row>
    <row r="11" spans="1:3">
      <c r="A11" s="29" t="s">
        <v>93</v>
      </c>
      <c r="B11" s="29" t="s">
        <v>146</v>
      </c>
      <c r="C11" s="29" t="s">
        <v>102</v>
      </c>
    </row>
    <row r="12" spans="1:3">
      <c r="A12" s="37" t="s">
        <v>73</v>
      </c>
      <c r="B12" s="37" t="s">
        <v>94</v>
      </c>
      <c r="C12" s="37" t="s">
        <v>102</v>
      </c>
    </row>
    <row r="13" spans="1:3" ht="16">
      <c r="A13" s="40" t="s">
        <v>77</v>
      </c>
      <c r="B13" s="37" t="s">
        <v>95</v>
      </c>
      <c r="C13" s="37" t="s">
        <v>102</v>
      </c>
    </row>
    <row r="14" spans="1:3" ht="16">
      <c r="A14" s="10" t="s">
        <v>76</v>
      </c>
      <c r="B14" s="37" t="s">
        <v>95</v>
      </c>
      <c r="C14" s="37" t="s">
        <v>102</v>
      </c>
    </row>
    <row r="15" spans="1:3" ht="16">
      <c r="A15" s="37" t="s">
        <v>110</v>
      </c>
      <c r="B15" s="37" t="s">
        <v>96</v>
      </c>
      <c r="C15" s="37" t="s">
        <v>102</v>
      </c>
    </row>
    <row r="16" spans="1:3" ht="16">
      <c r="A16" s="37" t="s">
        <v>109</v>
      </c>
      <c r="B16" s="37" t="s">
        <v>95</v>
      </c>
      <c r="C16" s="37" t="s">
        <v>102</v>
      </c>
    </row>
    <row r="17" spans="1:3" ht="16">
      <c r="A17" s="37" t="s">
        <v>111</v>
      </c>
      <c r="B17" s="37" t="s">
        <v>95</v>
      </c>
      <c r="C17" s="37" t="s">
        <v>102</v>
      </c>
    </row>
    <row r="18" spans="1:3" ht="16">
      <c r="A18" s="37" t="s">
        <v>112</v>
      </c>
      <c r="B18" s="37" t="s">
        <v>152</v>
      </c>
      <c r="C18" s="37" t="s">
        <v>102</v>
      </c>
    </row>
    <row r="19" spans="1:3" ht="16">
      <c r="A19" s="37" t="s">
        <v>75</v>
      </c>
      <c r="B19" s="37" t="s">
        <v>153</v>
      </c>
      <c r="C19" s="37" t="s">
        <v>102</v>
      </c>
    </row>
    <row r="20" spans="1:3" ht="16">
      <c r="A20" s="37" t="s">
        <v>113</v>
      </c>
      <c r="B20" s="37" t="s">
        <v>97</v>
      </c>
      <c r="C20" s="37" t="s">
        <v>102</v>
      </c>
    </row>
    <row r="21" spans="1:3" ht="16">
      <c r="A21" s="37" t="s">
        <v>114</v>
      </c>
      <c r="B21" s="37" t="s">
        <v>98</v>
      </c>
      <c r="C21" s="37" t="s">
        <v>102</v>
      </c>
    </row>
    <row r="22" spans="1:3" ht="16">
      <c r="A22" s="37" t="s">
        <v>115</v>
      </c>
      <c r="B22" s="37" t="s">
        <v>99</v>
      </c>
      <c r="C22" s="37" t="s">
        <v>102</v>
      </c>
    </row>
    <row r="23" spans="1:3" ht="16">
      <c r="A23" s="37" t="s">
        <v>116</v>
      </c>
      <c r="B23" s="37" t="s">
        <v>99</v>
      </c>
      <c r="C23" s="37" t="s">
        <v>102</v>
      </c>
    </row>
    <row r="24" spans="1:3">
      <c r="A24" s="37" t="s">
        <v>100</v>
      </c>
      <c r="B24" s="37" t="s">
        <v>99</v>
      </c>
      <c r="C24" s="37" t="s">
        <v>102</v>
      </c>
    </row>
    <row r="25" spans="1:3">
      <c r="A25" s="37" t="s">
        <v>101</v>
      </c>
      <c r="B25" s="37" t="s">
        <v>99</v>
      </c>
      <c r="C25" s="37" t="s">
        <v>102</v>
      </c>
    </row>
    <row r="26" spans="1:3">
      <c r="A26" s="37" t="s">
        <v>74</v>
      </c>
      <c r="B26" s="37" t="s">
        <v>103</v>
      </c>
      <c r="C26" s="37" t="s">
        <v>104</v>
      </c>
    </row>
    <row r="27" spans="1:3">
      <c r="A27" s="37" t="s">
        <v>105</v>
      </c>
      <c r="B27" s="37" t="s">
        <v>102</v>
      </c>
      <c r="C27" s="37" t="s">
        <v>107</v>
      </c>
    </row>
    <row r="28" spans="1:3">
      <c r="A28" s="37" t="s">
        <v>106</v>
      </c>
      <c r="B28" s="37" t="s">
        <v>102</v>
      </c>
      <c r="C28" s="37" t="s">
        <v>107</v>
      </c>
    </row>
    <row r="29" spans="1:3" ht="16">
      <c r="A29" s="29" t="s">
        <v>147</v>
      </c>
      <c r="B29" s="29" t="s">
        <v>148</v>
      </c>
      <c r="C29" s="29" t="s">
        <v>149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topLeftCell="A84" zoomScale="98" zoomScaleNormal="98" zoomScalePageLayoutView="98" workbookViewId="0">
      <selection activeCell="B102" sqref="B102:B106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8" t="s">
        <v>50</v>
      </c>
      <c r="B1" s="12">
        <v>70.3</v>
      </c>
      <c r="C1" s="9" t="s">
        <v>51</v>
      </c>
    </row>
    <row r="3" spans="1:12">
      <c r="A3" s="114" t="s">
        <v>5</v>
      </c>
      <c r="B3" s="114" t="s">
        <v>36</v>
      </c>
      <c r="C3" s="114"/>
      <c r="D3" s="114" t="s">
        <v>52</v>
      </c>
      <c r="E3" s="114"/>
      <c r="F3" s="114"/>
      <c r="G3" s="8" t="s">
        <v>53</v>
      </c>
    </row>
    <row r="4" spans="1:12">
      <c r="A4" s="114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12">
      <c r="A5" s="35">
        <v>0</v>
      </c>
      <c r="B5" s="40">
        <v>0</v>
      </c>
      <c r="C5" s="36">
        <f>B5/1000</f>
        <v>0</v>
      </c>
      <c r="D5" s="12">
        <f>C5/1000*$B$1</f>
        <v>0</v>
      </c>
      <c r="E5" s="12">
        <f>D5/22.4</f>
        <v>0</v>
      </c>
      <c r="F5" s="12">
        <f>E5/Calculation!K$4*1000</f>
        <v>0</v>
      </c>
      <c r="G5" s="12">
        <f>(0+F5)/2*30</f>
        <v>0</v>
      </c>
    </row>
    <row r="6" spans="1:12">
      <c r="A6" s="35">
        <v>0.5</v>
      </c>
      <c r="B6" s="40">
        <v>0</v>
      </c>
      <c r="C6" s="36">
        <f>B6/1000</f>
        <v>0</v>
      </c>
      <c r="D6" s="12">
        <f>C6/1000*$B$1</f>
        <v>0</v>
      </c>
      <c r="E6" s="12">
        <f t="shared" ref="E6:E69" si="0">D6/22.4</f>
        <v>0</v>
      </c>
      <c r="F6" s="12">
        <f>E6/Calculation!K$4*1000</f>
        <v>0</v>
      </c>
      <c r="G6" s="12">
        <f>G5+(F6+F5)/2*30</f>
        <v>0</v>
      </c>
    </row>
    <row r="7" spans="1:12">
      <c r="A7" s="35">
        <v>1</v>
      </c>
      <c r="B7" s="40">
        <v>0</v>
      </c>
      <c r="C7" s="36">
        <f t="shared" ref="C7:C69" si="1">B7/1000</f>
        <v>0</v>
      </c>
      <c r="D7" s="12">
        <f t="shared" ref="D7:D69" si="2">C7/1000*$B$1</f>
        <v>0</v>
      </c>
      <c r="E7" s="12">
        <f t="shared" si="0"/>
        <v>0</v>
      </c>
      <c r="F7" s="12">
        <f>E7/Calculation!K$4*1000</f>
        <v>0</v>
      </c>
      <c r="G7" s="12">
        <f>G6+(F7+F6)/2*30</f>
        <v>0</v>
      </c>
    </row>
    <row r="8" spans="1:12">
      <c r="A8" s="35">
        <v>1.5</v>
      </c>
      <c r="B8" s="40">
        <v>0</v>
      </c>
      <c r="C8" s="36">
        <f t="shared" si="1"/>
        <v>0</v>
      </c>
      <c r="D8" s="12">
        <f t="shared" si="2"/>
        <v>0</v>
      </c>
      <c r="E8" s="12">
        <f t="shared" si="0"/>
        <v>0</v>
      </c>
      <c r="F8" s="12">
        <f>E8/Calculation!K$4*1000</f>
        <v>0</v>
      </c>
      <c r="G8" s="12">
        <f t="shared" ref="G8:G70" si="3">G7+(F8+F7)/2*30</f>
        <v>0</v>
      </c>
      <c r="K8" s="2">
        <f>0.001977/44.01</f>
        <v>4.492160872528971E-5</v>
      </c>
      <c r="L8" s="2">
        <f>1/K8</f>
        <v>22261.001517450681</v>
      </c>
    </row>
    <row r="9" spans="1:12">
      <c r="A9" s="35">
        <v>2</v>
      </c>
      <c r="B9" s="40">
        <v>164.27</v>
      </c>
      <c r="C9" s="36">
        <f t="shared" si="1"/>
        <v>0.16427</v>
      </c>
      <c r="D9" s="12">
        <f t="shared" si="2"/>
        <v>1.1548180999999999E-2</v>
      </c>
      <c r="E9" s="12">
        <f t="shared" si="0"/>
        <v>5.1554379464285719E-4</v>
      </c>
      <c r="F9" s="12">
        <f>E9/Calculation!K$4*1000</f>
        <v>3.4904793137634205E-4</v>
      </c>
      <c r="G9" s="12">
        <f t="shared" si="3"/>
        <v>5.2357189706451306E-3</v>
      </c>
    </row>
    <row r="10" spans="1:12">
      <c r="A10" s="35">
        <v>2.5</v>
      </c>
      <c r="B10" s="40">
        <v>187.28</v>
      </c>
      <c r="C10" s="36">
        <f t="shared" si="1"/>
        <v>0.18728</v>
      </c>
      <c r="D10" s="12">
        <f t="shared" si="2"/>
        <v>1.3165784E-2</v>
      </c>
      <c r="E10" s="12">
        <f t="shared" si="0"/>
        <v>5.8775821428571436E-4</v>
      </c>
      <c r="F10" s="12">
        <f>E10/Calculation!K$5*1000</f>
        <v>4.1275155497592301E-4</v>
      </c>
      <c r="G10" s="12">
        <f t="shared" si="3"/>
        <v>1.6662711265929109E-2</v>
      </c>
    </row>
    <row r="11" spans="1:12">
      <c r="A11" s="35">
        <v>3</v>
      </c>
      <c r="B11" s="40">
        <v>271.36</v>
      </c>
      <c r="C11" s="36">
        <f t="shared" si="1"/>
        <v>0.27135999999999999</v>
      </c>
      <c r="D11" s="12">
        <f t="shared" si="2"/>
        <v>1.9076607999999998E-2</v>
      </c>
      <c r="E11" s="12">
        <f t="shared" si="0"/>
        <v>8.5163428571428566E-4</v>
      </c>
      <c r="F11" s="12">
        <f>E11/Calculation!K$5*1000</f>
        <v>5.9805778491171747E-4</v>
      </c>
      <c r="G11" s="12">
        <f t="shared" si="3"/>
        <v>3.182485136424372E-2</v>
      </c>
    </row>
    <row r="12" spans="1:12">
      <c r="A12" s="35">
        <v>3.5</v>
      </c>
      <c r="B12" s="40">
        <v>380.65</v>
      </c>
      <c r="C12" s="36">
        <f t="shared" si="1"/>
        <v>0.38064999999999999</v>
      </c>
      <c r="D12" s="12">
        <f t="shared" si="2"/>
        <v>2.6759695E-2</v>
      </c>
      <c r="E12" s="12">
        <f t="shared" si="0"/>
        <v>1.1946292410714287E-3</v>
      </c>
      <c r="F12" s="12">
        <f>E12/Calculation!K$6*1000</f>
        <v>8.7390580912321051E-4</v>
      </c>
      <c r="G12" s="12">
        <f t="shared" si="3"/>
        <v>5.3904305274767639E-2</v>
      </c>
    </row>
    <row r="13" spans="1:12">
      <c r="A13" s="35">
        <v>4</v>
      </c>
      <c r="B13" s="40">
        <v>520.55999999999995</v>
      </c>
      <c r="C13" s="36">
        <f t="shared" si="1"/>
        <v>0.52055999999999991</v>
      </c>
      <c r="D13" s="12">
        <f t="shared" si="2"/>
        <v>3.6595367999999989E-2</v>
      </c>
      <c r="E13" s="12">
        <f t="shared" si="0"/>
        <v>1.6337217857142854E-3</v>
      </c>
      <c r="F13" s="12">
        <f>E13/Calculation!K$6*1000</f>
        <v>1.1951146932803842E-3</v>
      </c>
      <c r="G13" s="12">
        <f t="shared" si="3"/>
        <v>8.493961281082156E-2</v>
      </c>
    </row>
    <row r="14" spans="1:12">
      <c r="A14" s="35">
        <v>4.5</v>
      </c>
      <c r="B14" s="40">
        <v>662.33</v>
      </c>
      <c r="C14" s="36">
        <f t="shared" si="1"/>
        <v>0.66233000000000009</v>
      </c>
      <c r="D14" s="12">
        <f t="shared" si="2"/>
        <v>4.6561799000000001E-2</v>
      </c>
      <c r="E14" s="12">
        <f t="shared" si="0"/>
        <v>2.0786517410714286E-3</v>
      </c>
      <c r="F14" s="12">
        <f>E14/Calculation!K$6*1000</f>
        <v>1.520593812049326E-3</v>
      </c>
      <c r="G14" s="12">
        <f t="shared" si="3"/>
        <v>0.12567524039076722</v>
      </c>
    </row>
    <row r="15" spans="1:12">
      <c r="A15" s="35">
        <v>5</v>
      </c>
      <c r="B15" s="40">
        <v>809.85</v>
      </c>
      <c r="C15" s="36">
        <f t="shared" si="1"/>
        <v>0.80985000000000007</v>
      </c>
      <c r="D15" s="12">
        <f t="shared" si="2"/>
        <v>5.6932455000000007E-2</v>
      </c>
      <c r="E15" s="12">
        <f t="shared" si="0"/>
        <v>2.5416274553571433E-3</v>
      </c>
      <c r="F15" s="12">
        <f>E15/Calculation!K$7*1000</f>
        <v>1.9357406362202159E-3</v>
      </c>
      <c r="G15" s="12">
        <f t="shared" si="3"/>
        <v>0.17752025711481034</v>
      </c>
    </row>
    <row r="16" spans="1:12">
      <c r="A16" s="35">
        <v>5.5</v>
      </c>
      <c r="B16" s="40">
        <v>898.16</v>
      </c>
      <c r="C16" s="36">
        <f t="shared" si="1"/>
        <v>0.89815999999999996</v>
      </c>
      <c r="D16" s="12">
        <f t="shared" si="2"/>
        <v>6.3140647999999994E-2</v>
      </c>
      <c r="E16" s="12">
        <f t="shared" si="0"/>
        <v>2.8187789285714286E-3</v>
      </c>
      <c r="F16" s="12">
        <f>E16/Calculation!K$7*1000</f>
        <v>2.1468232510064192E-3</v>
      </c>
      <c r="G16" s="12">
        <f t="shared" si="3"/>
        <v>0.23875871542320987</v>
      </c>
    </row>
    <row r="17" spans="1:7">
      <c r="A17" s="35">
        <v>6</v>
      </c>
      <c r="B17" s="40">
        <v>992.56</v>
      </c>
      <c r="C17" s="36">
        <f t="shared" si="1"/>
        <v>0.99256</v>
      </c>
      <c r="D17" s="12">
        <f t="shared" si="2"/>
        <v>6.9776967999999995E-2</v>
      </c>
      <c r="E17" s="12">
        <f t="shared" si="0"/>
        <v>3.1150432142857142E-3</v>
      </c>
      <c r="F17" s="12">
        <f>E17/Calculation!K$8*1000</f>
        <v>2.4742201860887322E-3</v>
      </c>
      <c r="G17" s="12">
        <f t="shared" si="3"/>
        <v>0.30807436697963714</v>
      </c>
    </row>
    <row r="18" spans="1:7">
      <c r="A18" s="35">
        <v>6.5</v>
      </c>
      <c r="B18" s="40">
        <v>1038.07</v>
      </c>
      <c r="C18" s="36">
        <f t="shared" si="1"/>
        <v>1.0380699999999998</v>
      </c>
      <c r="D18" s="12">
        <f t="shared" si="2"/>
        <v>7.2976320999999983E-2</v>
      </c>
      <c r="E18" s="12">
        <f t="shared" si="0"/>
        <v>3.2578714732142853E-3</v>
      </c>
      <c r="F18" s="12">
        <f>E18/Calculation!K$8*1000</f>
        <v>2.5876659834902982E-3</v>
      </c>
      <c r="G18" s="12">
        <f t="shared" si="3"/>
        <v>0.38400265952332258</v>
      </c>
    </row>
    <row r="19" spans="1:7">
      <c r="A19" s="35">
        <v>7</v>
      </c>
      <c r="B19" s="40">
        <v>1063.96</v>
      </c>
      <c r="C19" s="36">
        <f t="shared" si="1"/>
        <v>1.06396</v>
      </c>
      <c r="D19" s="12">
        <f t="shared" si="2"/>
        <v>7.4796388000000005E-2</v>
      </c>
      <c r="E19" s="12">
        <f t="shared" si="0"/>
        <v>3.3391244642857146E-3</v>
      </c>
      <c r="F19" s="12">
        <f>E19/Calculation!K$8*1000</f>
        <v>2.6522037047543405E-3</v>
      </c>
      <c r="G19" s="12">
        <f t="shared" si="3"/>
        <v>0.46260070484699217</v>
      </c>
    </row>
    <row r="20" spans="1:7">
      <c r="A20" s="35">
        <v>7.5</v>
      </c>
      <c r="B20" s="40">
        <v>1112</v>
      </c>
      <c r="C20" s="36">
        <f t="shared" si="1"/>
        <v>1.1120000000000001</v>
      </c>
      <c r="D20" s="12">
        <f t="shared" si="2"/>
        <v>7.817360000000001E-2</v>
      </c>
      <c r="E20" s="12">
        <f t="shared" si="0"/>
        <v>3.4898928571428576E-3</v>
      </c>
      <c r="F20" s="12">
        <f>E20/Calculation!K$9*1000</f>
        <v>2.886594588207492E-3</v>
      </c>
      <c r="G20" s="12">
        <f t="shared" si="3"/>
        <v>0.54568267924141967</v>
      </c>
    </row>
    <row r="21" spans="1:7">
      <c r="A21" s="35">
        <v>8</v>
      </c>
      <c r="B21" s="40">
        <v>1134.1600000000001</v>
      </c>
      <c r="C21" s="36">
        <f t="shared" si="1"/>
        <v>1.1341600000000001</v>
      </c>
      <c r="D21" s="12">
        <f t="shared" si="2"/>
        <v>7.973144800000001E-2</v>
      </c>
      <c r="E21" s="12">
        <f t="shared" si="0"/>
        <v>3.5594396428571436E-3</v>
      </c>
      <c r="F21" s="12">
        <f>E21/Calculation!K$9*1000</f>
        <v>2.9441188112962311E-3</v>
      </c>
      <c r="G21" s="12">
        <f t="shared" si="3"/>
        <v>0.63314338023397554</v>
      </c>
    </row>
    <row r="22" spans="1:7">
      <c r="A22" s="35">
        <v>8.5</v>
      </c>
      <c r="B22" s="40">
        <v>1155.48</v>
      </c>
      <c r="C22" s="36">
        <f t="shared" si="1"/>
        <v>1.1554800000000001</v>
      </c>
      <c r="D22" s="12">
        <f t="shared" si="2"/>
        <v>8.1230243999999993E-2</v>
      </c>
      <c r="E22" s="12">
        <f t="shared" si="0"/>
        <v>3.6263501785714285E-3</v>
      </c>
      <c r="F22" s="12">
        <f>E22/Calculation!K$9*1000</f>
        <v>2.999462513293158E-3</v>
      </c>
      <c r="G22" s="12">
        <f t="shared" si="3"/>
        <v>0.72229710010281634</v>
      </c>
    </row>
    <row r="23" spans="1:7">
      <c r="A23" s="35">
        <v>9</v>
      </c>
      <c r="B23" s="40">
        <v>1129.5999999999999</v>
      </c>
      <c r="C23" s="36">
        <f t="shared" si="1"/>
        <v>1.1295999999999999</v>
      </c>
      <c r="D23" s="12">
        <f t="shared" si="2"/>
        <v>7.9410879999999989E-2</v>
      </c>
      <c r="E23" s="12">
        <f t="shared" si="0"/>
        <v>3.5451285714285714E-3</v>
      </c>
      <c r="F23" s="12">
        <f>E23/Calculation!K$10*1000</f>
        <v>3.0800421993297752E-3</v>
      </c>
      <c r="G23" s="12">
        <f t="shared" si="3"/>
        <v>0.81348967079216039</v>
      </c>
    </row>
    <row r="24" spans="1:7">
      <c r="A24" s="35">
        <v>9.5</v>
      </c>
      <c r="B24" s="40">
        <v>1169.8599999999999</v>
      </c>
      <c r="C24" s="36">
        <f t="shared" si="1"/>
        <v>1.1698599999999999</v>
      </c>
      <c r="D24" s="12">
        <f t="shared" si="2"/>
        <v>8.2241157999999995E-2</v>
      </c>
      <c r="E24" s="12">
        <f t="shared" si="0"/>
        <v>3.6714802678571427E-3</v>
      </c>
      <c r="F24" s="12">
        <f>E24/Calculation!K$10*1000</f>
        <v>3.1898177826734514E-3</v>
      </c>
      <c r="G24" s="12">
        <f t="shared" si="3"/>
        <v>0.90753757052220874</v>
      </c>
    </row>
    <row r="25" spans="1:7">
      <c r="A25" s="35">
        <v>10</v>
      </c>
      <c r="B25" s="40">
        <v>1174.43</v>
      </c>
      <c r="C25" s="36">
        <f t="shared" si="1"/>
        <v>1.1744300000000001</v>
      </c>
      <c r="D25" s="12">
        <f t="shared" si="2"/>
        <v>8.2562429000000007E-2</v>
      </c>
      <c r="E25" s="12">
        <f t="shared" si="0"/>
        <v>3.6858227232142863E-3</v>
      </c>
      <c r="F25" s="12">
        <f>E25/Calculation!K$11*1000</f>
        <v>3.3660481490541427E-3</v>
      </c>
      <c r="G25" s="12">
        <f t="shared" si="3"/>
        <v>1.0058755594981226</v>
      </c>
    </row>
    <row r="26" spans="1:7">
      <c r="A26" s="35">
        <v>10.5</v>
      </c>
      <c r="B26" s="40">
        <v>1225.18</v>
      </c>
      <c r="C26" s="36">
        <f t="shared" si="1"/>
        <v>1.2251800000000002</v>
      </c>
      <c r="D26" s="12">
        <f t="shared" si="2"/>
        <v>8.6130154000000014E-2</v>
      </c>
      <c r="E26" s="12">
        <f t="shared" si="0"/>
        <v>3.8450961607142866E-3</v>
      </c>
      <c r="F26" s="12">
        <f>E26/Calculation!K$11*1000</f>
        <v>3.51150334311807E-3</v>
      </c>
      <c r="G26" s="12">
        <f t="shared" si="3"/>
        <v>1.1090388318807058</v>
      </c>
    </row>
    <row r="27" spans="1:7">
      <c r="A27" s="35">
        <v>11</v>
      </c>
      <c r="B27" s="40">
        <v>1243.28</v>
      </c>
      <c r="C27" s="36">
        <f t="shared" si="1"/>
        <v>1.2432799999999999</v>
      </c>
      <c r="D27" s="12">
        <f t="shared" si="2"/>
        <v>8.7402584000000005E-2</v>
      </c>
      <c r="E27" s="12">
        <f t="shared" si="0"/>
        <v>3.901901071428572E-3</v>
      </c>
      <c r="F27" s="12">
        <f>E27/Calculation!K$11*1000</f>
        <v>3.5633799739073716E-3</v>
      </c>
      <c r="G27" s="12">
        <f t="shared" si="3"/>
        <v>1.2151620816360875</v>
      </c>
    </row>
    <row r="28" spans="1:7">
      <c r="A28" s="35">
        <v>11.5</v>
      </c>
      <c r="B28" s="40">
        <v>1281.69</v>
      </c>
      <c r="C28" s="36">
        <f t="shared" si="1"/>
        <v>1.28169</v>
      </c>
      <c r="D28" s="12">
        <f t="shared" si="2"/>
        <v>9.0102806999999993E-2</v>
      </c>
      <c r="E28" s="12">
        <f t="shared" si="0"/>
        <v>4.0224467410714289E-3</v>
      </c>
      <c r="F28" s="12">
        <f>E28/Calculation!K$12*1000</f>
        <v>3.8199874084249089E-3</v>
      </c>
      <c r="G28" s="12">
        <f t="shared" si="3"/>
        <v>1.3259125923710717</v>
      </c>
    </row>
    <row r="29" spans="1:7">
      <c r="A29" s="35">
        <v>12</v>
      </c>
      <c r="B29" s="40">
        <v>1312.48</v>
      </c>
      <c r="C29" s="36">
        <f t="shared" si="1"/>
        <v>1.3124800000000001</v>
      </c>
      <c r="D29" s="12">
        <f t="shared" si="2"/>
        <v>9.2267344000000001E-2</v>
      </c>
      <c r="E29" s="12">
        <f t="shared" si="0"/>
        <v>4.1190778571428572E-3</v>
      </c>
      <c r="F29" s="12">
        <f>E29/Calculation!K$12*1000</f>
        <v>3.9117548500881838E-3</v>
      </c>
      <c r="G29" s="12">
        <f t="shared" si="3"/>
        <v>1.4418887262487681</v>
      </c>
    </row>
    <row r="30" spans="1:7">
      <c r="A30" s="35">
        <v>12.5</v>
      </c>
      <c r="B30" s="40">
        <v>1323.14</v>
      </c>
      <c r="C30" s="36">
        <f t="shared" si="1"/>
        <v>1.3231400000000002</v>
      </c>
      <c r="D30" s="12">
        <f t="shared" si="2"/>
        <v>9.3016742000000013E-2</v>
      </c>
      <c r="E30" s="12">
        <f t="shared" si="0"/>
        <v>4.1525331250000007E-3</v>
      </c>
      <c r="F30" s="12">
        <f>E30/Calculation!K$12*1000</f>
        <v>3.9435262345679026E-3</v>
      </c>
      <c r="G30" s="12">
        <f t="shared" si="3"/>
        <v>1.5597179425186094</v>
      </c>
    </row>
    <row r="31" spans="1:7">
      <c r="A31" s="35">
        <v>13</v>
      </c>
      <c r="B31" s="40">
        <v>1453.4</v>
      </c>
      <c r="C31" s="36">
        <f t="shared" si="1"/>
        <v>1.4534</v>
      </c>
      <c r="D31" s="12">
        <f t="shared" si="2"/>
        <v>0.10217402</v>
      </c>
      <c r="E31" s="12">
        <f t="shared" si="0"/>
        <v>4.561340178571429E-3</v>
      </c>
      <c r="F31" s="12">
        <f>E31/Calculation!K$13*1000</f>
        <v>4.5117113536809385E-3</v>
      </c>
      <c r="G31" s="12">
        <f t="shared" si="3"/>
        <v>1.6865465063423419</v>
      </c>
    </row>
    <row r="32" spans="1:7">
      <c r="A32" s="35">
        <v>13.5</v>
      </c>
      <c r="B32" s="40">
        <v>1544.59</v>
      </c>
      <c r="C32" s="36">
        <f t="shared" si="1"/>
        <v>1.5445899999999999</v>
      </c>
      <c r="D32" s="12">
        <f t="shared" si="2"/>
        <v>0.10858467699999999</v>
      </c>
      <c r="E32" s="12">
        <f t="shared" si="0"/>
        <v>4.8475302232142857E-3</v>
      </c>
      <c r="F32" s="12">
        <f>E32/Calculation!K$13*1000</f>
        <v>4.7947875600536953E-3</v>
      </c>
      <c r="G32" s="12">
        <f t="shared" si="3"/>
        <v>1.8261439900483614</v>
      </c>
    </row>
    <row r="33" spans="1:7">
      <c r="A33" s="35">
        <v>14</v>
      </c>
      <c r="B33" s="40">
        <v>1646.77</v>
      </c>
      <c r="C33" s="36">
        <f t="shared" si="1"/>
        <v>1.6467700000000001</v>
      </c>
      <c r="D33" s="12">
        <f t="shared" si="2"/>
        <v>0.115767931</v>
      </c>
      <c r="E33" s="12">
        <f t="shared" si="0"/>
        <v>5.1682112053571434E-3</v>
      </c>
      <c r="F33" s="12">
        <f>E33/Calculation!K$14*1000</f>
        <v>5.3388268160874637E-3</v>
      </c>
      <c r="G33" s="12">
        <f t="shared" si="3"/>
        <v>1.9781482056904787</v>
      </c>
    </row>
    <row r="34" spans="1:7">
      <c r="A34" s="35">
        <v>14.5</v>
      </c>
      <c r="B34" s="40">
        <v>1881.25</v>
      </c>
      <c r="C34" s="36">
        <f t="shared" si="1"/>
        <v>1.8812500000000001</v>
      </c>
      <c r="D34" s="12">
        <f t="shared" si="2"/>
        <v>0.13225187499999999</v>
      </c>
      <c r="E34" s="12">
        <f t="shared" si="0"/>
        <v>5.9041015624999998E-3</v>
      </c>
      <c r="F34" s="12">
        <f>E34/Calculation!K$14*1000</f>
        <v>6.0990107591008709E-3</v>
      </c>
      <c r="G34" s="12">
        <f t="shared" si="3"/>
        <v>2.1497157693183038</v>
      </c>
    </row>
    <row r="35" spans="1:7">
      <c r="A35" s="35">
        <v>15</v>
      </c>
      <c r="B35" s="40">
        <v>2203.36</v>
      </c>
      <c r="C35" s="36">
        <f t="shared" si="1"/>
        <v>2.20336</v>
      </c>
      <c r="D35" s="12">
        <f t="shared" si="2"/>
        <v>0.15489620800000001</v>
      </c>
      <c r="E35" s="12">
        <f t="shared" si="0"/>
        <v>6.9150092857142862E-3</v>
      </c>
      <c r="F35" s="12">
        <f>E35/Calculation!K$14*1000</f>
        <v>7.1432910810219248E-3</v>
      </c>
      <c r="G35" s="12">
        <f t="shared" si="3"/>
        <v>2.3483502969201457</v>
      </c>
    </row>
    <row r="36" spans="1:7">
      <c r="A36" s="35">
        <v>15.5</v>
      </c>
      <c r="B36" s="40">
        <v>2586.21</v>
      </c>
      <c r="C36" s="36">
        <f t="shared" si="1"/>
        <v>2.5862099999999999</v>
      </c>
      <c r="D36" s="12">
        <f t="shared" si="2"/>
        <v>0.18181056299999998</v>
      </c>
      <c r="E36" s="12">
        <f t="shared" si="0"/>
        <v>8.1165429910714289E-3</v>
      </c>
      <c r="F36" s="12">
        <f>E36/Calculation!K$15*1000</f>
        <v>8.7923845556026562E-3</v>
      </c>
      <c r="G36" s="12">
        <f t="shared" si="3"/>
        <v>2.5873854314695146</v>
      </c>
    </row>
    <row r="37" spans="1:7">
      <c r="A37" s="35">
        <v>16</v>
      </c>
      <c r="B37" s="40">
        <v>3056.19</v>
      </c>
      <c r="C37" s="36">
        <f t="shared" si="1"/>
        <v>3.05619</v>
      </c>
      <c r="D37" s="12">
        <f t="shared" si="2"/>
        <v>0.21485015699999999</v>
      </c>
      <c r="E37" s="12">
        <f t="shared" si="0"/>
        <v>9.5915248660714287E-3</v>
      </c>
      <c r="F37" s="12">
        <f>E37/Calculation!K$15*1000</f>
        <v>1.0390183997040952E-2</v>
      </c>
      <c r="G37" s="12">
        <f t="shared" si="3"/>
        <v>2.8751239597591689</v>
      </c>
    </row>
    <row r="38" spans="1:7">
      <c r="A38" s="35">
        <v>16.5</v>
      </c>
      <c r="B38" s="40">
        <v>3782.8</v>
      </c>
      <c r="C38" s="36">
        <f t="shared" si="1"/>
        <v>3.7828000000000004</v>
      </c>
      <c r="D38" s="12">
        <f t="shared" si="2"/>
        <v>0.26593084</v>
      </c>
      <c r="E38" s="12">
        <f t="shared" si="0"/>
        <v>1.1871912500000002E-2</v>
      </c>
      <c r="F38" s="12">
        <f>E38/Calculation!K$15*1000</f>
        <v>1.2860453055604043E-2</v>
      </c>
      <c r="G38" s="12">
        <f t="shared" si="3"/>
        <v>3.2238835155488439</v>
      </c>
    </row>
    <row r="39" spans="1:7">
      <c r="A39" s="35">
        <v>17</v>
      </c>
      <c r="B39" s="40">
        <v>4581.66</v>
      </c>
      <c r="C39" s="36">
        <f t="shared" si="1"/>
        <v>4.5816600000000003</v>
      </c>
      <c r="D39" s="12">
        <f t="shared" si="2"/>
        <v>0.32209069800000001</v>
      </c>
      <c r="E39" s="12">
        <f t="shared" si="0"/>
        <v>1.4379049017857144E-2</v>
      </c>
      <c r="F39" s="12">
        <f>E39/Calculation!K$16*1000</f>
        <v>1.6352523283377694E-2</v>
      </c>
      <c r="G39" s="12">
        <f>G38+(F39+F38)/2*30</f>
        <v>3.6620781606335697</v>
      </c>
    </row>
    <row r="40" spans="1:7">
      <c r="A40" s="35">
        <v>17.5</v>
      </c>
      <c r="B40" s="40">
        <v>5612.46</v>
      </c>
      <c r="C40" s="36">
        <f t="shared" si="1"/>
        <v>5.6124600000000004</v>
      </c>
      <c r="D40" s="12">
        <f t="shared" si="2"/>
        <v>0.39455593799999999</v>
      </c>
      <c r="E40" s="12">
        <f t="shared" si="0"/>
        <v>1.7614104375000002E-2</v>
      </c>
      <c r="F40" s="12">
        <f>E40/Calculation!K$16*1000</f>
        <v>2.0031578691353347E-2</v>
      </c>
      <c r="G40" s="12">
        <f t="shared" si="3"/>
        <v>4.2078396902545352</v>
      </c>
    </row>
    <row r="41" spans="1:7">
      <c r="A41" s="35">
        <v>18</v>
      </c>
      <c r="B41" s="40">
        <v>6947.26</v>
      </c>
      <c r="C41" s="36">
        <f t="shared" si="1"/>
        <v>6.94726</v>
      </c>
      <c r="D41" s="12">
        <f t="shared" si="2"/>
        <v>0.48839237800000002</v>
      </c>
      <c r="E41" s="12">
        <f t="shared" si="0"/>
        <v>2.1803231160714288E-2</v>
      </c>
      <c r="F41" s="12">
        <f>E41/Calculation!K$17*1000</f>
        <v>2.6058933909169465E-2</v>
      </c>
      <c r="G41" s="12">
        <f t="shared" si="3"/>
        <v>4.8991973792623771</v>
      </c>
    </row>
    <row r="42" spans="1:7">
      <c r="A42" s="35">
        <v>18.5</v>
      </c>
      <c r="B42" s="40">
        <v>8486.61</v>
      </c>
      <c r="C42" s="36">
        <f t="shared" si="1"/>
        <v>8.4866100000000007</v>
      </c>
      <c r="D42" s="12">
        <f t="shared" si="2"/>
        <v>0.59660868300000003</v>
      </c>
      <c r="E42" s="12">
        <f t="shared" si="0"/>
        <v>2.6634316205357146E-2</v>
      </c>
      <c r="F42" s="12">
        <f>E42/Calculation!K$17*1000</f>
        <v>3.1832982946211411E-2</v>
      </c>
      <c r="G42" s="12">
        <f t="shared" si="3"/>
        <v>5.7675761320930903</v>
      </c>
    </row>
    <row r="43" spans="1:7">
      <c r="A43" s="35">
        <v>19</v>
      </c>
      <c r="B43" s="40">
        <v>9722.7900000000009</v>
      </c>
      <c r="C43" s="36">
        <f t="shared" si="1"/>
        <v>9.7227900000000016</v>
      </c>
      <c r="D43" s="12">
        <f t="shared" si="2"/>
        <v>0.68351213700000013</v>
      </c>
      <c r="E43" s="12">
        <f t="shared" si="0"/>
        <v>3.0513934687500008E-2</v>
      </c>
      <c r="F43" s="12">
        <f>E43/Calculation!K$17*1000</f>
        <v>3.6469851714594499E-2</v>
      </c>
      <c r="G43" s="12">
        <f t="shared" si="3"/>
        <v>6.7921186520051791</v>
      </c>
    </row>
    <row r="44" spans="1:7">
      <c r="A44" s="35">
        <v>19.5</v>
      </c>
      <c r="B44" s="40">
        <v>11178.22</v>
      </c>
      <c r="C44" s="36">
        <f t="shared" si="1"/>
        <v>11.17822</v>
      </c>
      <c r="D44" s="12">
        <f t="shared" si="2"/>
        <v>0.7858288659999999</v>
      </c>
      <c r="E44" s="12">
        <f t="shared" si="0"/>
        <v>3.5081645803571426E-2</v>
      </c>
      <c r="F44" s="12">
        <f>E44/Calculation!K$18*1000</f>
        <v>4.395292623151021E-2</v>
      </c>
      <c r="G44" s="12">
        <f t="shared" si="3"/>
        <v>7.9984603211967498</v>
      </c>
    </row>
    <row r="45" spans="1:7">
      <c r="A45" s="35">
        <v>20</v>
      </c>
      <c r="B45" s="40">
        <v>11596.09</v>
      </c>
      <c r="C45" s="36">
        <f t="shared" si="1"/>
        <v>11.59609</v>
      </c>
      <c r="D45" s="12">
        <f t="shared" si="2"/>
        <v>0.81520512699999992</v>
      </c>
      <c r="E45" s="12">
        <f t="shared" si="0"/>
        <v>3.6393086026785711E-2</v>
      </c>
      <c r="F45" s="12">
        <f>E45/Calculation!K$18*1000</f>
        <v>4.5595997246784661E-2</v>
      </c>
      <c r="G45" s="12">
        <f t="shared" si="3"/>
        <v>9.3416941733711738</v>
      </c>
    </row>
    <row r="46" spans="1:7">
      <c r="A46" s="35">
        <v>20.5</v>
      </c>
      <c r="B46" s="40">
        <v>11704.36</v>
      </c>
      <c r="C46" s="36">
        <f t="shared" si="1"/>
        <v>11.704360000000001</v>
      </c>
      <c r="D46" s="12">
        <f t="shared" si="2"/>
        <v>0.82281650799999995</v>
      </c>
      <c r="E46" s="12">
        <f t="shared" si="0"/>
        <v>3.6732879821428574E-2</v>
      </c>
      <c r="F46" s="12">
        <f>E46/Calculation!K$18*1000</f>
        <v>4.6021716486796552E-2</v>
      </c>
      <c r="G46" s="12">
        <f t="shared" si="3"/>
        <v>10.715959879374893</v>
      </c>
    </row>
    <row r="47" spans="1:7">
      <c r="A47" s="35">
        <v>21</v>
      </c>
      <c r="B47" s="40">
        <v>11642.78</v>
      </c>
      <c r="C47" s="36">
        <f t="shared" si="1"/>
        <v>11.64278</v>
      </c>
      <c r="D47" s="12">
        <f t="shared" si="2"/>
        <v>0.81848743400000001</v>
      </c>
      <c r="E47" s="12">
        <f t="shared" si="0"/>
        <v>3.6539617589285714E-2</v>
      </c>
      <c r="F47" s="12">
        <f>E47/Calculation!K$18*1000</f>
        <v>4.5779583016768544E-2</v>
      </c>
      <c r="G47" s="12">
        <f t="shared" si="3"/>
        <v>12.092979371928369</v>
      </c>
    </row>
    <row r="48" spans="1:7">
      <c r="A48" s="35">
        <v>21.5</v>
      </c>
      <c r="B48" s="40">
        <v>11103.61</v>
      </c>
      <c r="C48" s="36">
        <f t="shared" si="1"/>
        <v>11.10361</v>
      </c>
      <c r="D48" s="12">
        <f t="shared" si="2"/>
        <v>0.78058378299999998</v>
      </c>
      <c r="E48" s="12">
        <f t="shared" si="0"/>
        <v>3.48474903125E-2</v>
      </c>
      <c r="F48" s="12">
        <f>E48/Calculation!K$18*1000</f>
        <v>4.3659558608925141E-2</v>
      </c>
      <c r="G48" s="12">
        <f t="shared" si="3"/>
        <v>13.434566496313774</v>
      </c>
    </row>
    <row r="49" spans="1:7">
      <c r="A49" s="35">
        <v>22</v>
      </c>
      <c r="B49" s="40">
        <v>10185.99</v>
      </c>
      <c r="C49" s="36">
        <f t="shared" si="1"/>
        <v>10.18599</v>
      </c>
      <c r="D49" s="12">
        <f t="shared" si="2"/>
        <v>0.71607509700000005</v>
      </c>
      <c r="E49" s="12">
        <f t="shared" si="0"/>
        <v>3.1967638258928573E-2</v>
      </c>
      <c r="F49" s="12">
        <f>E49/Calculation!K$18*1000</f>
        <v>4.0051463208355245E-2</v>
      </c>
      <c r="G49" s="12">
        <f t="shared" si="3"/>
        <v>14.690231823572979</v>
      </c>
    </row>
    <row r="50" spans="1:7">
      <c r="A50" s="35">
        <v>22.5</v>
      </c>
      <c r="B50" s="40">
        <v>8789.27</v>
      </c>
      <c r="C50" s="36">
        <f t="shared" si="1"/>
        <v>8.7892700000000001</v>
      </c>
      <c r="D50" s="12">
        <f t="shared" si="2"/>
        <v>0.61788568099999996</v>
      </c>
      <c r="E50" s="12">
        <f t="shared" si="0"/>
        <v>2.75841821875E-2</v>
      </c>
      <c r="F50" s="12">
        <f>E50/Calculation!K$18*1000</f>
        <v>3.4559539527655191E-2</v>
      </c>
      <c r="G50" s="12">
        <f t="shared" si="3"/>
        <v>15.809396864613136</v>
      </c>
    </row>
    <row r="51" spans="1:7">
      <c r="A51" s="35">
        <v>23</v>
      </c>
      <c r="B51" s="40">
        <v>7061.29</v>
      </c>
      <c r="C51" s="36">
        <f t="shared" si="1"/>
        <v>7.0612899999999996</v>
      </c>
      <c r="D51" s="12">
        <f t="shared" si="2"/>
        <v>0.49640868699999996</v>
      </c>
      <c r="E51" s="12">
        <f t="shared" si="0"/>
        <v>2.2161102098214286E-2</v>
      </c>
      <c r="F51" s="12">
        <f>E51/Calculation!K$18*1000</f>
        <v>2.7765096631601524E-2</v>
      </c>
      <c r="G51" s="12">
        <f t="shared" si="3"/>
        <v>16.744266407001987</v>
      </c>
    </row>
    <row r="52" spans="1:7">
      <c r="A52" s="35">
        <v>23.5</v>
      </c>
      <c r="B52" s="40">
        <v>5438.03</v>
      </c>
      <c r="C52" s="36">
        <f t="shared" si="1"/>
        <v>5.4380299999999995</v>
      </c>
      <c r="D52" s="12">
        <f t="shared" si="2"/>
        <v>0.38229350899999992</v>
      </c>
      <c r="E52" s="12">
        <f t="shared" si="0"/>
        <v>1.706667450892857E-2</v>
      </c>
      <c r="F52" s="12">
        <f>E52/Calculation!K$18*1000</f>
        <v>2.1382414323097908E-2</v>
      </c>
      <c r="G52" s="12">
        <f t="shared" si="3"/>
        <v>17.481479071322479</v>
      </c>
    </row>
    <row r="53" spans="1:7">
      <c r="A53" s="35">
        <v>24</v>
      </c>
      <c r="B53" s="40">
        <v>4277.4799999999996</v>
      </c>
      <c r="C53" s="36">
        <f t="shared" si="1"/>
        <v>4.2774799999999997</v>
      </c>
      <c r="D53" s="12">
        <f t="shared" si="2"/>
        <v>0.30070684399999992</v>
      </c>
      <c r="E53" s="12">
        <f t="shared" si="0"/>
        <v>1.3424412678571425E-2</v>
      </c>
      <c r="F53" s="12">
        <f>E53/Calculation!K$19*1000</f>
        <v>1.8051929253221147E-2</v>
      </c>
      <c r="G53" s="12">
        <f t="shared" si="3"/>
        <v>18.072994224967264</v>
      </c>
    </row>
    <row r="54" spans="1:7">
      <c r="A54" s="35">
        <v>24.5</v>
      </c>
      <c r="B54" s="40">
        <v>3299.63</v>
      </c>
      <c r="C54" s="36">
        <f t="shared" si="1"/>
        <v>3.2996300000000001</v>
      </c>
      <c r="D54" s="12">
        <f t="shared" si="2"/>
        <v>0.23196398899999998</v>
      </c>
      <c r="E54" s="12">
        <f t="shared" si="0"/>
        <v>1.0355535223214286E-2</v>
      </c>
      <c r="F54" s="12">
        <f>E54/Calculation!K$19*1000</f>
        <v>1.392518195802344E-2</v>
      </c>
      <c r="G54" s="12">
        <f t="shared" si="3"/>
        <v>18.552650893135933</v>
      </c>
    </row>
    <row r="55" spans="1:7">
      <c r="A55" s="35">
        <v>25</v>
      </c>
      <c r="B55" s="40">
        <v>2527.34</v>
      </c>
      <c r="C55" s="36">
        <f t="shared" si="1"/>
        <v>2.5273400000000001</v>
      </c>
      <c r="D55" s="12">
        <f t="shared" si="2"/>
        <v>0.17767200200000002</v>
      </c>
      <c r="E55" s="12">
        <f t="shared" si="0"/>
        <v>7.9317858035714301E-3</v>
      </c>
      <c r="F55" s="12">
        <f>E55/Calculation!K$19*1000</f>
        <v>1.0665944172465084E-2</v>
      </c>
      <c r="G55" s="12">
        <f t="shared" si="3"/>
        <v>18.921517785093261</v>
      </c>
    </row>
    <row r="56" spans="1:7">
      <c r="A56" s="35">
        <v>25.5</v>
      </c>
      <c r="B56" s="40">
        <v>1930.31</v>
      </c>
      <c r="C56" s="36">
        <f t="shared" si="1"/>
        <v>1.93031</v>
      </c>
      <c r="D56" s="12">
        <f t="shared" si="2"/>
        <v>0.13570079299999999</v>
      </c>
      <c r="E56" s="12">
        <f t="shared" si="0"/>
        <v>6.0580711160714285E-3</v>
      </c>
      <c r="F56" s="12">
        <f>E56/Calculation!K$19*1000</f>
        <v>8.1463430704025071E-3</v>
      </c>
      <c r="G56" s="12">
        <f t="shared" si="3"/>
        <v>19.203702093736275</v>
      </c>
    </row>
    <row r="57" spans="1:7">
      <c r="A57" s="35">
        <v>26</v>
      </c>
      <c r="B57" s="40">
        <v>1474.38</v>
      </c>
      <c r="C57" s="36">
        <f t="shared" si="1"/>
        <v>1.47438</v>
      </c>
      <c r="D57" s="12">
        <f t="shared" si="2"/>
        <v>0.10364891399999999</v>
      </c>
      <c r="E57" s="12">
        <f t="shared" si="0"/>
        <v>4.6271836607142854E-3</v>
      </c>
      <c r="F57" s="12">
        <f>E57/Calculation!K$19*1000</f>
        <v>6.2222157560910159E-3</v>
      </c>
      <c r="G57" s="12">
        <f t="shared" si="3"/>
        <v>19.419230476133677</v>
      </c>
    </row>
    <row r="58" spans="1:7">
      <c r="A58" s="35">
        <v>26.5</v>
      </c>
      <c r="B58" s="40">
        <v>1148.04</v>
      </c>
      <c r="C58" s="36">
        <f t="shared" si="1"/>
        <v>1.1480399999999999</v>
      </c>
      <c r="D58" s="12">
        <f t="shared" si="2"/>
        <v>8.0707211999999987E-2</v>
      </c>
      <c r="E58" s="12">
        <f t="shared" si="0"/>
        <v>3.6030005357142853E-3</v>
      </c>
      <c r="F58" s="12">
        <f>E58/Calculation!K$19*1000</f>
        <v>4.8449874364971911E-3</v>
      </c>
      <c r="G58" s="12">
        <f t="shared" si="3"/>
        <v>19.5852385240225</v>
      </c>
    </row>
    <row r="59" spans="1:7">
      <c r="A59" s="35">
        <v>27</v>
      </c>
      <c r="B59" s="40">
        <v>936.4</v>
      </c>
      <c r="C59" s="36">
        <f t="shared" si="1"/>
        <v>0.93640000000000001</v>
      </c>
      <c r="D59" s="12">
        <f t="shared" si="2"/>
        <v>6.5828919999999999E-2</v>
      </c>
      <c r="E59" s="12">
        <f t="shared" si="0"/>
        <v>2.9387910714285715E-3</v>
      </c>
      <c r="F59" s="12">
        <f>E59/Calculation!K$19*1000</f>
        <v>3.9518189571234198E-3</v>
      </c>
      <c r="G59" s="12">
        <f t="shared" si="3"/>
        <v>19.717190619926811</v>
      </c>
    </row>
    <row r="60" spans="1:7">
      <c r="A60" s="35">
        <v>27.5</v>
      </c>
      <c r="B60" s="40">
        <v>762.82</v>
      </c>
      <c r="C60" s="36">
        <f t="shared" si="1"/>
        <v>0.76282000000000005</v>
      </c>
      <c r="D60" s="12">
        <f t="shared" si="2"/>
        <v>5.3626246000000002E-2</v>
      </c>
      <c r="E60" s="12">
        <f t="shared" si="0"/>
        <v>2.3940288392857146E-3</v>
      </c>
      <c r="F60" s="12">
        <f>E60/Calculation!K$19*1000</f>
        <v>3.2192722521068849E-3</v>
      </c>
      <c r="G60" s="12">
        <f t="shared" si="3"/>
        <v>19.824756988065264</v>
      </c>
    </row>
    <row r="61" spans="1:7">
      <c r="A61" s="35">
        <v>28</v>
      </c>
      <c r="B61" s="40">
        <v>649.64</v>
      </c>
      <c r="C61" s="36">
        <f t="shared" si="1"/>
        <v>0.64964</v>
      </c>
      <c r="D61" s="12">
        <f t="shared" si="2"/>
        <v>4.5669692000000005E-2</v>
      </c>
      <c r="E61" s="12">
        <f t="shared" si="0"/>
        <v>2.0388255357142861E-3</v>
      </c>
      <c r="F61" s="12">
        <f>E61/Calculation!K$19*1000</f>
        <v>2.7416271543204388E-3</v>
      </c>
      <c r="G61" s="12">
        <f t="shared" si="3"/>
        <v>19.914170479161672</v>
      </c>
    </row>
    <row r="62" spans="1:7">
      <c r="A62" s="35">
        <v>28.5</v>
      </c>
      <c r="B62" s="40">
        <v>547.79999999999995</v>
      </c>
      <c r="C62" s="36">
        <f t="shared" si="1"/>
        <v>0.54779999999999995</v>
      </c>
      <c r="D62" s="12">
        <f t="shared" si="2"/>
        <v>3.8510339999999997E-2</v>
      </c>
      <c r="E62" s="12">
        <f t="shared" si="0"/>
        <v>1.719211607142857E-3</v>
      </c>
      <c r="F62" s="12">
        <f>E62/Calculation!K$19*1000</f>
        <v>2.3118394112689117E-3</v>
      </c>
      <c r="G62" s="12">
        <f t="shared" si="3"/>
        <v>19.989972477645512</v>
      </c>
    </row>
    <row r="63" spans="1:7">
      <c r="A63" s="35">
        <v>29</v>
      </c>
      <c r="B63" s="40">
        <v>460.16</v>
      </c>
      <c r="C63" s="36">
        <f t="shared" si="1"/>
        <v>0.46016000000000001</v>
      </c>
      <c r="D63" s="12">
        <f t="shared" si="2"/>
        <v>3.2349248000000004E-2</v>
      </c>
      <c r="E63" s="12">
        <f t="shared" si="0"/>
        <v>1.4441628571428575E-3</v>
      </c>
      <c r="F63" s="12">
        <f>E63/Calculation!K$19*1000</f>
        <v>1.9419788672681688E-3</v>
      </c>
      <c r="G63" s="12">
        <f t="shared" si="3"/>
        <v>20.053779751823569</v>
      </c>
    </row>
    <row r="64" spans="1:7">
      <c r="A64" s="35">
        <v>29.5</v>
      </c>
      <c r="B64" s="40">
        <v>392.83</v>
      </c>
      <c r="C64" s="36">
        <f t="shared" si="1"/>
        <v>0.39282999999999996</v>
      </c>
      <c r="D64" s="12">
        <f t="shared" si="2"/>
        <v>2.7615948999999994E-2</v>
      </c>
      <c r="E64" s="12">
        <f t="shared" si="0"/>
        <v>1.2328548660714284E-3</v>
      </c>
      <c r="F64" s="12">
        <f>E64/Calculation!K$19*1000</f>
        <v>1.6578310988111839E-3</v>
      </c>
      <c r="G64" s="12">
        <f t="shared" si="3"/>
        <v>20.107776901314761</v>
      </c>
    </row>
    <row r="65" spans="1:7">
      <c r="A65" s="35">
        <v>30</v>
      </c>
      <c r="B65" s="40">
        <v>382.68</v>
      </c>
      <c r="C65" s="36">
        <f t="shared" si="1"/>
        <v>0.38268000000000002</v>
      </c>
      <c r="D65" s="12">
        <f t="shared" si="2"/>
        <v>2.6902404000000001E-2</v>
      </c>
      <c r="E65" s="12">
        <f t="shared" si="0"/>
        <v>1.2010001785714287E-3</v>
      </c>
      <c r="F65" s="12">
        <f>E65/Calculation!K$4*1000</f>
        <v>8.1313485346745347E-4</v>
      </c>
      <c r="G65" s="12">
        <f t="shared" si="3"/>
        <v>20.144841390598941</v>
      </c>
    </row>
    <row r="66" spans="1:7">
      <c r="A66" s="35">
        <v>30.5</v>
      </c>
      <c r="B66" s="40">
        <v>336.16</v>
      </c>
      <c r="C66" s="36">
        <f t="shared" si="1"/>
        <v>0.33616000000000001</v>
      </c>
      <c r="D66" s="12">
        <f t="shared" si="2"/>
        <v>2.3632047999999999E-2</v>
      </c>
      <c r="E66" s="12">
        <f t="shared" si="0"/>
        <v>1.055002142857143E-3</v>
      </c>
      <c r="F66" s="12">
        <f>E66/Calculation!K$20*1000</f>
        <v>1.5136447181307979E-3</v>
      </c>
      <c r="G66" s="12">
        <f t="shared" si="3"/>
        <v>20.179743084172916</v>
      </c>
    </row>
    <row r="67" spans="1:7">
      <c r="A67" s="35">
        <v>31</v>
      </c>
      <c r="B67" s="40">
        <v>274.24</v>
      </c>
      <c r="C67" s="36">
        <f t="shared" si="1"/>
        <v>0.27423999999999998</v>
      </c>
      <c r="D67" s="12">
        <f t="shared" si="2"/>
        <v>1.9279071999999998E-2</v>
      </c>
      <c r="E67" s="12">
        <f t="shared" si="0"/>
        <v>8.6067285714285706E-4</v>
      </c>
      <c r="F67" s="12">
        <f>E67/Calculation!K$20*1000</f>
        <v>1.2348343868996605E-3</v>
      </c>
      <c r="G67" s="12">
        <f t="shared" si="3"/>
        <v>20.220970270748374</v>
      </c>
    </row>
    <row r="68" spans="1:7">
      <c r="A68" s="35">
        <v>31.5</v>
      </c>
      <c r="B68" s="40">
        <v>217.73</v>
      </c>
      <c r="C68" s="36">
        <f t="shared" si="1"/>
        <v>0.21772999999999998</v>
      </c>
      <c r="D68" s="12">
        <f t="shared" si="2"/>
        <v>1.5306418999999998E-2</v>
      </c>
      <c r="E68" s="12">
        <f t="shared" si="0"/>
        <v>6.8332227678571424E-4</v>
      </c>
      <c r="F68" s="12">
        <f>E68/Calculation!K$20*1000</f>
        <v>9.8038393764462908E-4</v>
      </c>
      <c r="G68" s="12">
        <f t="shared" si="3"/>
        <v>20.254198545616539</v>
      </c>
    </row>
    <row r="69" spans="1:7">
      <c r="A69" s="35">
        <v>32</v>
      </c>
      <c r="B69" s="40">
        <v>183.39</v>
      </c>
      <c r="C69" s="36">
        <f t="shared" si="1"/>
        <v>0.18339</v>
      </c>
      <c r="D69" s="12">
        <f t="shared" si="2"/>
        <v>1.2892316999999999E-2</v>
      </c>
      <c r="E69" s="12">
        <f t="shared" si="0"/>
        <v>5.7554986607142851E-4</v>
      </c>
      <c r="F69" s="12">
        <f>E69/Calculation!K$20*1000</f>
        <v>8.2575947423252892E-4</v>
      </c>
      <c r="G69" s="12">
        <f t="shared" si="3"/>
        <v>20.281290696794695</v>
      </c>
    </row>
    <row r="70" spans="1:7">
      <c r="A70" s="35">
        <v>32.5</v>
      </c>
      <c r="B70" s="40">
        <v>0</v>
      </c>
      <c r="C70" s="36">
        <f t="shared" ref="C70:C101" si="4">B70/1000</f>
        <v>0</v>
      </c>
      <c r="D70" s="12">
        <f t="shared" ref="D70:D101" si="5">C70/1000*$B$1</f>
        <v>0</v>
      </c>
      <c r="E70" s="12">
        <f t="shared" ref="E70:E101" si="6">D70/22.4</f>
        <v>0</v>
      </c>
      <c r="F70" s="12">
        <f>E70/Calculation!K$20*1000</f>
        <v>0</v>
      </c>
      <c r="G70" s="12">
        <f t="shared" si="3"/>
        <v>20.293677088908183</v>
      </c>
    </row>
    <row r="71" spans="1:7">
      <c r="A71" s="35">
        <v>33</v>
      </c>
      <c r="B71" s="40">
        <v>0</v>
      </c>
      <c r="C71" s="36">
        <f t="shared" si="4"/>
        <v>0</v>
      </c>
      <c r="D71" s="12">
        <f t="shared" si="5"/>
        <v>0</v>
      </c>
      <c r="E71" s="12">
        <f t="shared" si="6"/>
        <v>0</v>
      </c>
      <c r="F71" s="12">
        <f>E71/Calculation!K$20*1000</f>
        <v>0</v>
      </c>
      <c r="G71" s="12">
        <f t="shared" ref="G71:G101" si="7">G70+(F71+F70)/2*30</f>
        <v>20.293677088908183</v>
      </c>
    </row>
    <row r="72" spans="1:7">
      <c r="A72" s="35">
        <v>33.5</v>
      </c>
      <c r="B72" s="40">
        <v>0</v>
      </c>
      <c r="C72" s="36">
        <f t="shared" si="4"/>
        <v>0</v>
      </c>
      <c r="D72" s="12">
        <f t="shared" si="5"/>
        <v>0</v>
      </c>
      <c r="E72" s="12">
        <f t="shared" si="6"/>
        <v>0</v>
      </c>
      <c r="F72" s="12">
        <f>E72/Calculation!K$20*1000</f>
        <v>0</v>
      </c>
      <c r="G72" s="12">
        <f t="shared" si="7"/>
        <v>20.293677088908183</v>
      </c>
    </row>
    <row r="73" spans="1:7">
      <c r="A73" s="35">
        <v>34</v>
      </c>
      <c r="B73" s="40">
        <v>0</v>
      </c>
      <c r="C73" s="36">
        <f t="shared" si="4"/>
        <v>0</v>
      </c>
      <c r="D73" s="12">
        <f t="shared" si="5"/>
        <v>0</v>
      </c>
      <c r="E73" s="12">
        <f t="shared" si="6"/>
        <v>0</v>
      </c>
      <c r="F73" s="12">
        <f>E73/Calculation!K$20*1000</f>
        <v>0</v>
      </c>
      <c r="G73" s="12">
        <f t="shared" si="7"/>
        <v>20.293677088908183</v>
      </c>
    </row>
    <row r="74" spans="1:7">
      <c r="A74" s="35">
        <v>34.5</v>
      </c>
      <c r="B74" s="40">
        <v>0</v>
      </c>
      <c r="C74" s="36">
        <f t="shared" si="4"/>
        <v>0</v>
      </c>
      <c r="D74" s="12">
        <f t="shared" si="5"/>
        <v>0</v>
      </c>
      <c r="E74" s="12">
        <f t="shared" si="6"/>
        <v>0</v>
      </c>
      <c r="F74" s="12">
        <f>E74/Calculation!K$20*1000</f>
        <v>0</v>
      </c>
      <c r="G74" s="12">
        <f t="shared" si="7"/>
        <v>20.293677088908183</v>
      </c>
    </row>
    <row r="75" spans="1:7">
      <c r="A75" s="35">
        <v>35</v>
      </c>
      <c r="B75" s="40">
        <v>0</v>
      </c>
      <c r="C75" s="36">
        <f t="shared" si="4"/>
        <v>0</v>
      </c>
      <c r="D75" s="12">
        <f t="shared" si="5"/>
        <v>0</v>
      </c>
      <c r="E75" s="12">
        <f t="shared" si="6"/>
        <v>0</v>
      </c>
      <c r="F75" s="12">
        <f>E75/Calculation!K$20*1000</f>
        <v>0</v>
      </c>
      <c r="G75" s="12">
        <f t="shared" si="7"/>
        <v>20.293677088908183</v>
      </c>
    </row>
    <row r="76" spans="1:7">
      <c r="A76" s="35">
        <v>35.5</v>
      </c>
      <c r="B76" s="40">
        <v>0</v>
      </c>
      <c r="C76" s="36">
        <f t="shared" si="4"/>
        <v>0</v>
      </c>
      <c r="D76" s="12">
        <f t="shared" si="5"/>
        <v>0</v>
      </c>
      <c r="E76" s="12">
        <f t="shared" si="6"/>
        <v>0</v>
      </c>
      <c r="F76" s="12">
        <f>E76/Calculation!K$20*1000</f>
        <v>0</v>
      </c>
      <c r="G76" s="12">
        <f t="shared" si="7"/>
        <v>20.293677088908183</v>
      </c>
    </row>
    <row r="77" spans="1:7">
      <c r="A77" s="35">
        <v>36</v>
      </c>
      <c r="B77" s="40">
        <v>0</v>
      </c>
      <c r="C77" s="36">
        <f t="shared" si="4"/>
        <v>0</v>
      </c>
      <c r="D77" s="12">
        <f t="shared" si="5"/>
        <v>0</v>
      </c>
      <c r="E77" s="12">
        <f t="shared" si="6"/>
        <v>0</v>
      </c>
      <c r="F77" s="12">
        <f>E77/Calculation!K$20*1000</f>
        <v>0</v>
      </c>
      <c r="G77" s="12">
        <f t="shared" si="7"/>
        <v>20.293677088908183</v>
      </c>
    </row>
    <row r="78" spans="1:7">
      <c r="A78" s="35">
        <v>36.5</v>
      </c>
      <c r="B78" s="40">
        <v>0</v>
      </c>
      <c r="C78" s="36">
        <f t="shared" si="4"/>
        <v>0</v>
      </c>
      <c r="D78" s="12">
        <f t="shared" si="5"/>
        <v>0</v>
      </c>
      <c r="E78" s="12">
        <f t="shared" si="6"/>
        <v>0</v>
      </c>
      <c r="F78" s="12">
        <f>E78/Calculation!K$20*1000</f>
        <v>0</v>
      </c>
      <c r="G78" s="12">
        <f t="shared" si="7"/>
        <v>20.293677088908183</v>
      </c>
    </row>
    <row r="79" spans="1:7">
      <c r="A79" s="35">
        <v>37</v>
      </c>
      <c r="B79" s="40">
        <v>0</v>
      </c>
      <c r="C79" s="36">
        <f t="shared" si="4"/>
        <v>0</v>
      </c>
      <c r="D79" s="12">
        <f t="shared" si="5"/>
        <v>0</v>
      </c>
      <c r="E79" s="12">
        <f t="shared" si="6"/>
        <v>0</v>
      </c>
      <c r="F79" s="12">
        <f>E79/Calculation!K$20*1000</f>
        <v>0</v>
      </c>
      <c r="G79" s="12">
        <f t="shared" si="7"/>
        <v>20.293677088908183</v>
      </c>
    </row>
    <row r="80" spans="1:7">
      <c r="A80" s="35">
        <v>37.5</v>
      </c>
      <c r="B80" s="40">
        <v>0</v>
      </c>
      <c r="C80" s="36">
        <f t="shared" si="4"/>
        <v>0</v>
      </c>
      <c r="D80" s="12">
        <f t="shared" si="5"/>
        <v>0</v>
      </c>
      <c r="E80" s="12">
        <f t="shared" si="6"/>
        <v>0</v>
      </c>
      <c r="F80" s="12">
        <f>E80/Calculation!K$20*1000</f>
        <v>0</v>
      </c>
      <c r="G80" s="12">
        <f t="shared" si="7"/>
        <v>20.293677088908183</v>
      </c>
    </row>
    <row r="81" spans="1:7">
      <c r="A81" s="35">
        <v>38</v>
      </c>
      <c r="B81" s="40">
        <v>0</v>
      </c>
      <c r="C81" s="36">
        <f t="shared" si="4"/>
        <v>0</v>
      </c>
      <c r="D81" s="12">
        <f t="shared" si="5"/>
        <v>0</v>
      </c>
      <c r="E81" s="12">
        <f t="shared" si="6"/>
        <v>0</v>
      </c>
      <c r="F81" s="12">
        <f>E81/Calculation!K$20*1000</f>
        <v>0</v>
      </c>
      <c r="G81" s="12">
        <f t="shared" si="7"/>
        <v>20.293677088908183</v>
      </c>
    </row>
    <row r="82" spans="1:7">
      <c r="A82" s="35">
        <v>38.5</v>
      </c>
      <c r="B82" s="40">
        <v>0</v>
      </c>
      <c r="C82" s="36">
        <f t="shared" si="4"/>
        <v>0</v>
      </c>
      <c r="D82" s="12">
        <f t="shared" si="5"/>
        <v>0</v>
      </c>
      <c r="E82" s="12">
        <f t="shared" si="6"/>
        <v>0</v>
      </c>
      <c r="F82" s="12">
        <f>E82/Calculation!K$20*1000</f>
        <v>0</v>
      </c>
      <c r="G82" s="12">
        <f t="shared" si="7"/>
        <v>20.293677088908183</v>
      </c>
    </row>
    <row r="83" spans="1:7">
      <c r="A83" s="35">
        <v>39</v>
      </c>
      <c r="B83" s="40">
        <v>0</v>
      </c>
      <c r="C83" s="36">
        <f t="shared" si="4"/>
        <v>0</v>
      </c>
      <c r="D83" s="12">
        <f t="shared" si="5"/>
        <v>0</v>
      </c>
      <c r="E83" s="12">
        <f t="shared" si="6"/>
        <v>0</v>
      </c>
      <c r="F83" s="12">
        <f>E83/Calculation!K$20*1000</f>
        <v>0</v>
      </c>
      <c r="G83" s="12">
        <f t="shared" si="7"/>
        <v>20.293677088908183</v>
      </c>
    </row>
    <row r="84" spans="1:7">
      <c r="A84" s="35">
        <v>39.5</v>
      </c>
      <c r="B84" s="40">
        <v>0</v>
      </c>
      <c r="C84" s="36">
        <f t="shared" si="4"/>
        <v>0</v>
      </c>
      <c r="D84" s="12">
        <f t="shared" si="5"/>
        <v>0</v>
      </c>
      <c r="E84" s="12">
        <f t="shared" si="6"/>
        <v>0</v>
      </c>
      <c r="F84" s="12">
        <f>E84/Calculation!K$20*1000</f>
        <v>0</v>
      </c>
      <c r="G84" s="12">
        <f t="shared" si="7"/>
        <v>20.293677088908183</v>
      </c>
    </row>
    <row r="85" spans="1:7">
      <c r="A85" s="35">
        <v>40</v>
      </c>
      <c r="B85" s="40">
        <v>0</v>
      </c>
      <c r="C85" s="36">
        <f t="shared" si="4"/>
        <v>0</v>
      </c>
      <c r="D85" s="12">
        <f t="shared" si="5"/>
        <v>0</v>
      </c>
      <c r="E85" s="12">
        <f t="shared" si="6"/>
        <v>0</v>
      </c>
      <c r="F85" s="12">
        <f>E85/Calculation!K$20*1000</f>
        <v>0</v>
      </c>
      <c r="G85" s="12">
        <f t="shared" si="7"/>
        <v>20.293677088908183</v>
      </c>
    </row>
    <row r="86" spans="1:7">
      <c r="A86" s="35">
        <v>40.5</v>
      </c>
      <c r="B86" s="40">
        <v>0</v>
      </c>
      <c r="C86" s="36">
        <f t="shared" si="4"/>
        <v>0</v>
      </c>
      <c r="D86" s="12">
        <f t="shared" si="5"/>
        <v>0</v>
      </c>
      <c r="E86" s="12">
        <f t="shared" si="6"/>
        <v>0</v>
      </c>
      <c r="F86" s="12">
        <f>E86/Calculation!K$20*1000</f>
        <v>0</v>
      </c>
      <c r="G86" s="12">
        <f t="shared" si="7"/>
        <v>20.293677088908183</v>
      </c>
    </row>
    <row r="87" spans="1:7">
      <c r="A87" s="35">
        <v>41</v>
      </c>
      <c r="B87" s="40">
        <v>0</v>
      </c>
      <c r="C87" s="36">
        <f t="shared" si="4"/>
        <v>0</v>
      </c>
      <c r="D87" s="12">
        <f t="shared" si="5"/>
        <v>0</v>
      </c>
      <c r="E87" s="12">
        <f t="shared" si="6"/>
        <v>0</v>
      </c>
      <c r="F87" s="12">
        <f>E87/Calculation!K$20*1000</f>
        <v>0</v>
      </c>
      <c r="G87" s="12">
        <f t="shared" si="7"/>
        <v>20.293677088908183</v>
      </c>
    </row>
    <row r="88" spans="1:7">
      <c r="A88" s="35">
        <v>41.5</v>
      </c>
      <c r="B88" s="40">
        <v>0</v>
      </c>
      <c r="C88" s="36">
        <f t="shared" si="4"/>
        <v>0</v>
      </c>
      <c r="D88" s="12">
        <f t="shared" si="5"/>
        <v>0</v>
      </c>
      <c r="E88" s="12">
        <f t="shared" si="6"/>
        <v>0</v>
      </c>
      <c r="F88" s="12">
        <f>E88/Calculation!K$20*1000</f>
        <v>0</v>
      </c>
      <c r="G88" s="12">
        <f t="shared" si="7"/>
        <v>20.293677088908183</v>
      </c>
    </row>
    <row r="89" spans="1:7">
      <c r="A89" s="35">
        <v>42</v>
      </c>
      <c r="B89" s="40">
        <v>0</v>
      </c>
      <c r="C89" s="36">
        <f t="shared" si="4"/>
        <v>0</v>
      </c>
      <c r="D89" s="12">
        <f t="shared" si="5"/>
        <v>0</v>
      </c>
      <c r="E89" s="12">
        <f t="shared" si="6"/>
        <v>0</v>
      </c>
      <c r="F89" s="12">
        <f>E89/Calculation!K$20*1000</f>
        <v>0</v>
      </c>
      <c r="G89" s="12">
        <f t="shared" si="7"/>
        <v>20.293677088908183</v>
      </c>
    </row>
    <row r="90" spans="1:7">
      <c r="A90" s="35">
        <v>42.5</v>
      </c>
      <c r="B90" s="40">
        <v>0</v>
      </c>
      <c r="C90" s="36">
        <f t="shared" si="4"/>
        <v>0</v>
      </c>
      <c r="D90" s="12">
        <f t="shared" si="5"/>
        <v>0</v>
      </c>
      <c r="E90" s="12">
        <f t="shared" si="6"/>
        <v>0</v>
      </c>
      <c r="F90" s="12">
        <f>E90/Calculation!K$20*1000</f>
        <v>0</v>
      </c>
      <c r="G90" s="12">
        <f t="shared" si="7"/>
        <v>20.293677088908183</v>
      </c>
    </row>
    <row r="91" spans="1:7">
      <c r="A91" s="35">
        <v>43</v>
      </c>
      <c r="B91" s="40">
        <v>0</v>
      </c>
      <c r="C91" s="36">
        <f t="shared" si="4"/>
        <v>0</v>
      </c>
      <c r="D91" s="12">
        <f t="shared" si="5"/>
        <v>0</v>
      </c>
      <c r="E91" s="12">
        <f t="shared" si="6"/>
        <v>0</v>
      </c>
      <c r="F91" s="12">
        <f>E91/Calculation!K$20*1000</f>
        <v>0</v>
      </c>
      <c r="G91" s="12">
        <f t="shared" si="7"/>
        <v>20.293677088908183</v>
      </c>
    </row>
    <row r="92" spans="1:7">
      <c r="A92" s="35">
        <v>43.5</v>
      </c>
      <c r="B92" s="40">
        <v>0</v>
      </c>
      <c r="C92" s="36">
        <f t="shared" si="4"/>
        <v>0</v>
      </c>
      <c r="D92" s="12">
        <f t="shared" si="5"/>
        <v>0</v>
      </c>
      <c r="E92" s="12">
        <f t="shared" si="6"/>
        <v>0</v>
      </c>
      <c r="F92" s="12">
        <f>E92/Calculation!K$20*1000</f>
        <v>0</v>
      </c>
      <c r="G92" s="12">
        <f t="shared" si="7"/>
        <v>20.293677088908183</v>
      </c>
    </row>
    <row r="93" spans="1:7">
      <c r="A93" s="35">
        <v>44</v>
      </c>
      <c r="B93" s="40">
        <v>0</v>
      </c>
      <c r="C93" s="36">
        <f t="shared" si="4"/>
        <v>0</v>
      </c>
      <c r="D93" s="12">
        <f t="shared" si="5"/>
        <v>0</v>
      </c>
      <c r="E93" s="12">
        <f t="shared" si="6"/>
        <v>0</v>
      </c>
      <c r="F93" s="12">
        <f>E93/Calculation!K$20*1000</f>
        <v>0</v>
      </c>
      <c r="G93" s="12">
        <f t="shared" si="7"/>
        <v>20.293677088908183</v>
      </c>
    </row>
    <row r="94" spans="1:7">
      <c r="A94" s="35">
        <v>44.5</v>
      </c>
      <c r="B94" s="40">
        <v>0</v>
      </c>
      <c r="C94" s="36">
        <f t="shared" si="4"/>
        <v>0</v>
      </c>
      <c r="D94" s="12">
        <f t="shared" si="5"/>
        <v>0</v>
      </c>
      <c r="E94" s="12">
        <f t="shared" si="6"/>
        <v>0</v>
      </c>
      <c r="F94" s="12">
        <f>E94/Calculation!K$20*1000</f>
        <v>0</v>
      </c>
      <c r="G94" s="12">
        <f t="shared" si="7"/>
        <v>20.293677088908183</v>
      </c>
    </row>
    <row r="95" spans="1:7">
      <c r="A95" s="35">
        <v>45</v>
      </c>
      <c r="B95" s="40">
        <v>0</v>
      </c>
      <c r="C95" s="36">
        <f t="shared" si="4"/>
        <v>0</v>
      </c>
      <c r="D95" s="12">
        <f t="shared" si="5"/>
        <v>0</v>
      </c>
      <c r="E95" s="12">
        <f t="shared" si="6"/>
        <v>0</v>
      </c>
      <c r="F95" s="12">
        <f>E95/Calculation!K$20*1000</f>
        <v>0</v>
      </c>
      <c r="G95" s="12">
        <f t="shared" si="7"/>
        <v>20.293677088908183</v>
      </c>
    </row>
    <row r="96" spans="1:7">
      <c r="A96" s="35">
        <v>45.5</v>
      </c>
      <c r="B96" s="40">
        <v>0</v>
      </c>
      <c r="C96" s="36">
        <f t="shared" si="4"/>
        <v>0</v>
      </c>
      <c r="D96" s="12">
        <f t="shared" si="5"/>
        <v>0</v>
      </c>
      <c r="E96" s="12">
        <f t="shared" si="6"/>
        <v>0</v>
      </c>
      <c r="F96" s="12">
        <f>E96/Calculation!K$20*1000</f>
        <v>0</v>
      </c>
      <c r="G96" s="12">
        <f t="shared" si="7"/>
        <v>20.293677088908183</v>
      </c>
    </row>
    <row r="97" spans="1:7">
      <c r="A97" s="35">
        <v>46</v>
      </c>
      <c r="B97" s="40">
        <v>0</v>
      </c>
      <c r="C97" s="36">
        <f t="shared" si="4"/>
        <v>0</v>
      </c>
      <c r="D97" s="12">
        <f t="shared" si="5"/>
        <v>0</v>
      </c>
      <c r="E97" s="12">
        <f t="shared" si="6"/>
        <v>0</v>
      </c>
      <c r="F97" s="12">
        <f>E97/Calculation!K$20*1000</f>
        <v>0</v>
      </c>
      <c r="G97" s="12">
        <f t="shared" si="7"/>
        <v>20.293677088908183</v>
      </c>
    </row>
    <row r="98" spans="1:7">
      <c r="A98" s="35">
        <v>46.5</v>
      </c>
      <c r="B98" s="40">
        <v>0</v>
      </c>
      <c r="C98" s="36">
        <f t="shared" si="4"/>
        <v>0</v>
      </c>
      <c r="D98" s="12">
        <f t="shared" si="5"/>
        <v>0</v>
      </c>
      <c r="E98" s="12">
        <f t="shared" si="6"/>
        <v>0</v>
      </c>
      <c r="F98" s="12">
        <f>E98/Calculation!K$20*1000</f>
        <v>0</v>
      </c>
      <c r="G98" s="12">
        <f t="shared" si="7"/>
        <v>20.293677088908183</v>
      </c>
    </row>
    <row r="99" spans="1:7">
      <c r="A99" s="35">
        <v>47</v>
      </c>
      <c r="B99" s="40">
        <v>0</v>
      </c>
      <c r="C99" s="36">
        <f t="shared" si="4"/>
        <v>0</v>
      </c>
      <c r="D99" s="12">
        <f t="shared" si="5"/>
        <v>0</v>
      </c>
      <c r="E99" s="12">
        <f t="shared" si="6"/>
        <v>0</v>
      </c>
      <c r="F99" s="12">
        <f>E99/Calculation!K$20*1000</f>
        <v>0</v>
      </c>
      <c r="G99" s="12">
        <f t="shared" si="7"/>
        <v>20.293677088908183</v>
      </c>
    </row>
    <row r="100" spans="1:7">
      <c r="A100" s="35">
        <v>47.5</v>
      </c>
      <c r="B100" s="40">
        <v>0</v>
      </c>
      <c r="C100" s="36">
        <f t="shared" si="4"/>
        <v>0</v>
      </c>
      <c r="D100" s="12">
        <f t="shared" si="5"/>
        <v>0</v>
      </c>
      <c r="E100" s="12">
        <f t="shared" si="6"/>
        <v>0</v>
      </c>
      <c r="F100" s="12">
        <f>E100/Calculation!K$20*1000</f>
        <v>0</v>
      </c>
      <c r="G100" s="12">
        <f t="shared" si="7"/>
        <v>20.293677088908183</v>
      </c>
    </row>
    <row r="101" spans="1:7">
      <c r="A101" s="35">
        <v>48</v>
      </c>
      <c r="B101" s="40">
        <v>0</v>
      </c>
      <c r="C101" s="36">
        <f t="shared" si="4"/>
        <v>0</v>
      </c>
      <c r="D101" s="12">
        <f t="shared" si="5"/>
        <v>0</v>
      </c>
      <c r="E101" s="12">
        <f t="shared" si="6"/>
        <v>0</v>
      </c>
      <c r="F101" s="12">
        <f>E101/Calculation!K$21*1000</f>
        <v>0</v>
      </c>
      <c r="G101" s="12">
        <f t="shared" si="7"/>
        <v>20.293677088908183</v>
      </c>
    </row>
    <row r="102" spans="1:7">
      <c r="B102" s="10"/>
    </row>
    <row r="103" spans="1:7">
      <c r="B103" s="10"/>
    </row>
    <row r="104" spans="1:7">
      <c r="B104" s="10"/>
    </row>
    <row r="105" spans="1:7">
      <c r="B105" s="10"/>
    </row>
    <row r="106" spans="1:7">
      <c r="B106" s="10"/>
    </row>
    <row r="107" spans="1:7">
      <c r="B107" s="10"/>
    </row>
    <row r="108" spans="1:7">
      <c r="B108" s="10"/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5" workbookViewId="0">
      <selection activeCell="J3" sqref="J3:K21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14" t="s">
        <v>41</v>
      </c>
      <c r="B1" s="114"/>
      <c r="D1" s="135" t="s">
        <v>4</v>
      </c>
      <c r="E1" s="135" t="s">
        <v>5</v>
      </c>
      <c r="F1" s="114" t="s">
        <v>143</v>
      </c>
      <c r="G1" s="114"/>
      <c r="H1" s="114"/>
      <c r="I1" s="114"/>
      <c r="J1" s="114" t="s">
        <v>42</v>
      </c>
      <c r="K1" s="114"/>
      <c r="L1" s="114"/>
      <c r="M1" s="114"/>
      <c r="N1" s="136" t="s">
        <v>43</v>
      </c>
      <c r="O1" s="112"/>
      <c r="P1" s="112"/>
      <c r="Q1" s="137"/>
      <c r="R1" s="114" t="s">
        <v>65</v>
      </c>
      <c r="S1" s="114"/>
      <c r="T1" s="114"/>
      <c r="U1" s="114"/>
    </row>
    <row r="2" spans="1:21">
      <c r="A2" s="114" t="s">
        <v>34</v>
      </c>
      <c r="B2" s="114"/>
      <c r="D2" s="135"/>
      <c r="E2" s="135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114" t="s">
        <v>35</v>
      </c>
      <c r="B3" s="14" t="s">
        <v>38</v>
      </c>
      <c r="D3" s="16">
        <v>0</v>
      </c>
      <c r="E3" s="13">
        <v>-0.16666666666666666</v>
      </c>
      <c r="F3" s="53">
        <v>50.418146832445238</v>
      </c>
      <c r="G3" s="53">
        <v>0.36221084869841136</v>
      </c>
      <c r="H3" s="13">
        <f>F3*Calculation!I3/Calculation!F23</f>
        <v>50.418146832445238</v>
      </c>
      <c r="I3" s="13">
        <f>G3*Calculation!I3/Calculation!F23</f>
        <v>0.36221084869841136</v>
      </c>
      <c r="J3" s="13">
        <v>1.9871225577264651</v>
      </c>
      <c r="K3" s="13">
        <v>1.9227917490773523E-2</v>
      </c>
      <c r="L3" s="13">
        <f>J3*Calculation!I3/Calculation!F23</f>
        <v>1.9871225577264648</v>
      </c>
      <c r="M3" s="13">
        <f>K3*Calculation!I3/Calculation!F23</f>
        <v>1.9227917490773523E-2</v>
      </c>
      <c r="N3" s="13">
        <v>49.336663891201781</v>
      </c>
      <c r="O3" s="13">
        <v>0.15110360909038442</v>
      </c>
      <c r="P3" s="13">
        <f>N3*Calculation!I3/Calculation!F23</f>
        <v>49.336663891201781</v>
      </c>
      <c r="Q3" s="13">
        <f>O3*Calculation!I3/Calculation!F23</f>
        <v>0.15110360909038442</v>
      </c>
      <c r="R3" s="13">
        <v>1.4193641827793471</v>
      </c>
      <c r="S3" s="13">
        <v>5.4673288690497181E-2</v>
      </c>
      <c r="T3" s="13">
        <f>R3*Calculation!I3/Calculation!F23</f>
        <v>1.4193641827793473</v>
      </c>
      <c r="U3" s="13">
        <f>S3*Calculation!I3/Calculation!F23</f>
        <v>5.4673288690497181E-2</v>
      </c>
    </row>
    <row r="4" spans="1:21">
      <c r="A4" s="114"/>
      <c r="B4" s="14" t="s">
        <v>39</v>
      </c>
      <c r="D4" s="16">
        <v>0</v>
      </c>
      <c r="E4" s="13">
        <v>0.16666666666666666</v>
      </c>
      <c r="F4" s="53">
        <v>50.481053878034338</v>
      </c>
      <c r="G4" s="53">
        <v>0.67197682227443356</v>
      </c>
      <c r="H4" s="13">
        <f>F4*Calculation!I4/Calculation!K3</f>
        <v>50.481053878034338</v>
      </c>
      <c r="I4" s="13">
        <f>G4*Calculation!I4/Calculation!K3</f>
        <v>0.67197682227443367</v>
      </c>
      <c r="J4" s="13">
        <v>1.9797217288336293</v>
      </c>
      <c r="K4" s="13">
        <v>6.4093058302578405E-3</v>
      </c>
      <c r="L4" s="13">
        <f>J4*Calculation!I4/Calculation!K3</f>
        <v>1.9797217288336293</v>
      </c>
      <c r="M4" s="13">
        <f>K4*Calculation!I4/Calculation!K3</f>
        <v>6.4093058302578405E-3</v>
      </c>
      <c r="N4" s="13">
        <v>49.475437135720234</v>
      </c>
      <c r="O4" s="13">
        <v>0.54038237267570299</v>
      </c>
      <c r="P4" s="13">
        <f>N4*Calculation!I4/Calculation!K3</f>
        <v>49.475437135720234</v>
      </c>
      <c r="Q4" s="13">
        <f>O4*Calculation!I4/Calculation!K3</f>
        <v>0.54038237267570299</v>
      </c>
      <c r="R4" s="13">
        <v>1.5062640307046131</v>
      </c>
      <c r="S4" s="13">
        <v>4.5224114696200933E-2</v>
      </c>
      <c r="T4" s="13">
        <f>R4*Calculation!I4/Calculation!K3</f>
        <v>1.5062640307046133</v>
      </c>
      <c r="U4" s="13">
        <f>S4*Calculation!I4/Calculation!K3</f>
        <v>4.5224114696200933E-2</v>
      </c>
    </row>
    <row r="5" spans="1:21">
      <c r="A5" s="15" t="s">
        <v>37</v>
      </c>
      <c r="B5" s="15">
        <v>180.16</v>
      </c>
      <c r="D5" s="16">
        <v>1</v>
      </c>
      <c r="E5" s="13">
        <v>2</v>
      </c>
      <c r="F5" s="53">
        <v>50.740082889283606</v>
      </c>
      <c r="G5" s="53">
        <v>0.36504921418408603</v>
      </c>
      <c r="H5" s="13">
        <f>F5*Calculation!I5/Calculation!K4</f>
        <v>50.740082889283599</v>
      </c>
      <c r="I5" s="13">
        <f>G5*Calculation!I5/Calculation!K4</f>
        <v>0.36504921418408603</v>
      </c>
      <c r="J5" s="13">
        <v>1.9834221432800474</v>
      </c>
      <c r="K5" s="13">
        <v>1.6957429303418606E-2</v>
      </c>
      <c r="L5" s="13">
        <f>J5*Calculation!I5/Calculation!K4</f>
        <v>1.9834221432800474</v>
      </c>
      <c r="M5" s="13">
        <f>K5*Calculation!I5/Calculation!K4</f>
        <v>1.6957429303418606E-2</v>
      </c>
      <c r="N5" s="13">
        <v>49.608659450457949</v>
      </c>
      <c r="O5" s="13">
        <v>0.43393219719551329</v>
      </c>
      <c r="P5" s="13">
        <f>N5*Calculation!I5/Calculation!K4</f>
        <v>49.608659450457949</v>
      </c>
      <c r="Q5" s="13">
        <f>O5*Calculation!I5/Calculation!K4</f>
        <v>0.43393219719551329</v>
      </c>
      <c r="R5" s="13">
        <v>1.5859222246361069</v>
      </c>
      <c r="S5" s="13">
        <v>3.7628737944142496E-2</v>
      </c>
      <c r="T5" s="13">
        <f>R5*Calculation!I5/Calculation!K4</f>
        <v>1.5859222246361069</v>
      </c>
      <c r="U5" s="13">
        <f>S5*Calculation!I5/Calculation!K4</f>
        <v>3.7628737944142496E-2</v>
      </c>
    </row>
    <row r="6" spans="1:21">
      <c r="A6" s="15" t="s">
        <v>40</v>
      </c>
      <c r="B6" s="15">
        <v>180.16</v>
      </c>
      <c r="D6" s="16">
        <v>2</v>
      </c>
      <c r="E6" s="13">
        <v>3.3333333333333335</v>
      </c>
      <c r="F6" s="53">
        <v>50.904751332149203</v>
      </c>
      <c r="G6" s="53">
        <v>0.28149916370128947</v>
      </c>
      <c r="H6" s="13">
        <f>F6*Calculation!I6/Calculation!K5</f>
        <v>50.904751332149203</v>
      </c>
      <c r="I6" s="13">
        <f>G6*Calculation!I6/Calculation!K5</f>
        <v>0.28149916370128947</v>
      </c>
      <c r="J6" s="13">
        <v>1.9760213143872116</v>
      </c>
      <c r="K6" s="13">
        <v>1.9227917490773523E-2</v>
      </c>
      <c r="L6" s="13">
        <f>J6*Calculation!I6/Calculation!K5</f>
        <v>1.9760213143872116</v>
      </c>
      <c r="M6" s="13">
        <f>K6*Calculation!I6/Calculation!K5</f>
        <v>1.9227917490773523E-2</v>
      </c>
      <c r="N6" s="13">
        <v>49.669719678046079</v>
      </c>
      <c r="O6" s="13">
        <v>0.18938353715494707</v>
      </c>
      <c r="P6" s="13">
        <f>N6*Calculation!I6/Calculation!K5</f>
        <v>49.669719678046086</v>
      </c>
      <c r="Q6" s="13">
        <f>O6*Calculation!I6/Calculation!K5</f>
        <v>0.18938353715494707</v>
      </c>
      <c r="R6" s="13">
        <v>1.7452386124990946</v>
      </c>
      <c r="S6" s="13">
        <v>5.4673288690497181E-2</v>
      </c>
      <c r="T6" s="13">
        <f>R6*Calculation!I6/Calculation!K5</f>
        <v>1.7452386124990946</v>
      </c>
      <c r="U6" s="13">
        <f>S6*Calculation!I6/Calculation!K5</f>
        <v>5.4673288690497181E-2</v>
      </c>
    </row>
    <row r="7" spans="1:21">
      <c r="A7" s="31" t="s">
        <v>117</v>
      </c>
      <c r="B7" s="31">
        <v>46.03</v>
      </c>
      <c r="D7" s="16">
        <v>3</v>
      </c>
      <c r="E7" s="13">
        <v>4.666666666666667</v>
      </c>
      <c r="F7" s="53">
        <v>50.834443457667263</v>
      </c>
      <c r="G7" s="53">
        <v>0.34100579008261234</v>
      </c>
      <c r="H7" s="13">
        <f>F7*Calculation!I7/Calculation!K6</f>
        <v>50.834443457667263</v>
      </c>
      <c r="I7" s="13">
        <f>G7*Calculation!I7/Calculation!K6</f>
        <v>0.34100579008261234</v>
      </c>
      <c r="J7" s="13">
        <v>2.0130254588513914</v>
      </c>
      <c r="K7" s="13">
        <v>1.2818611660515681E-2</v>
      </c>
      <c r="L7" s="13">
        <f>J7*Calculation!I7/Calculation!K6</f>
        <v>2.0130254588513914</v>
      </c>
      <c r="M7" s="13">
        <f>K7*Calculation!I7/Calculation!K6</f>
        <v>1.2818611660515681E-2</v>
      </c>
      <c r="N7" s="13">
        <v>49.514293644185415</v>
      </c>
      <c r="O7" s="13">
        <v>0.41908600806387569</v>
      </c>
      <c r="P7" s="13">
        <f>N7*Calculation!I7/Calculation!K6</f>
        <v>49.514293644185415</v>
      </c>
      <c r="Q7" s="13">
        <f>O7*Calculation!I7/Calculation!K6</f>
        <v>0.41908600806387569</v>
      </c>
      <c r="R7" s="13">
        <v>1.919038308349627</v>
      </c>
      <c r="S7" s="13">
        <v>2.5085825296094995E-2</v>
      </c>
      <c r="T7" s="13">
        <f>R7*Calculation!I7/Calculation!K6</f>
        <v>1.919038308349627</v>
      </c>
      <c r="U7" s="13">
        <f>S7*Calculation!I7/Calculation!K6</f>
        <v>2.5085825296094995E-2</v>
      </c>
    </row>
    <row r="8" spans="1:21">
      <c r="A8" s="15" t="s">
        <v>43</v>
      </c>
      <c r="B8" s="15">
        <v>60.05</v>
      </c>
      <c r="D8" s="16">
        <v>4</v>
      </c>
      <c r="E8" s="13">
        <v>6</v>
      </c>
      <c r="F8" s="53">
        <v>50.37189165186502</v>
      </c>
      <c r="G8" s="53">
        <v>4.3351741096283411E-2</v>
      </c>
      <c r="H8" s="13">
        <f>F8*Calculation!I8/Calculation!K7</f>
        <v>50.371891651865027</v>
      </c>
      <c r="I8" s="13">
        <f>G8*Calculation!I8/Calculation!K7</f>
        <v>4.3351741096283411E-2</v>
      </c>
      <c r="J8" s="13">
        <v>2.0611308466548253</v>
      </c>
      <c r="K8" s="13">
        <v>1.6957429303418606E-2</v>
      </c>
      <c r="L8" s="13">
        <f>J8*Calculation!I8/Calculation!K7</f>
        <v>2.0611308466548253</v>
      </c>
      <c r="M8" s="13">
        <f>K8*Calculation!I8/Calculation!K7</f>
        <v>1.6957429303418606E-2</v>
      </c>
      <c r="N8" s="13">
        <v>48.842631140716072</v>
      </c>
      <c r="O8" s="13">
        <v>0.14228149450987024</v>
      </c>
      <c r="P8" s="13">
        <f>N8*Calculation!I8/Calculation!K7</f>
        <v>48.842631140716072</v>
      </c>
      <c r="Q8" s="13">
        <f>O8*Calculation!I8/Calculation!K7</f>
        <v>0.14228149450987024</v>
      </c>
      <c r="R8" s="13">
        <v>2.1073213121877039</v>
      </c>
      <c r="S8" s="13">
        <v>2.172496198131655E-2</v>
      </c>
      <c r="T8" s="13">
        <f>R8*Calculation!I8/Calculation!K7</f>
        <v>2.1073213121877039</v>
      </c>
      <c r="U8" s="13">
        <f>S8*Calculation!I8/Calculation!K7</f>
        <v>2.172496198131655E-2</v>
      </c>
    </row>
    <row r="9" spans="1:21">
      <c r="A9" s="31" t="s">
        <v>67</v>
      </c>
      <c r="B9" s="31">
        <v>74.08</v>
      </c>
      <c r="D9" s="16">
        <v>5</v>
      </c>
      <c r="E9" s="13">
        <v>7.333333333333333</v>
      </c>
      <c r="F9" s="53">
        <v>50.703078744819415</v>
      </c>
      <c r="G9" s="53">
        <v>0.30000754971446225</v>
      </c>
      <c r="H9" s="13">
        <f>F9*Calculation!I9/Calculation!K8</f>
        <v>50.703078744819415</v>
      </c>
      <c r="I9" s="13">
        <f>G9*Calculation!I9/Calculation!K8</f>
        <v>0.30000754971446225</v>
      </c>
      <c r="J9" s="13">
        <v>2.0648312611012436</v>
      </c>
      <c r="K9" s="13">
        <v>1.1101243339254007E-2</v>
      </c>
      <c r="L9" s="13">
        <f>J9*Calculation!I9/Calculation!K8</f>
        <v>2.0648312611012436</v>
      </c>
      <c r="M9" s="13">
        <f>K9*Calculation!I9/Calculation!K8</f>
        <v>1.1101243339254007E-2</v>
      </c>
      <c r="N9" s="13">
        <v>48.981404385234526</v>
      </c>
      <c r="O9" s="13">
        <v>0.27931713850478124</v>
      </c>
      <c r="P9" s="13">
        <f>N9*Calculation!I9/Calculation!K8</f>
        <v>48.981404385234526</v>
      </c>
      <c r="Q9" s="13">
        <f>O9*Calculation!I9/Calculation!K8</f>
        <v>0.27931713850478124</v>
      </c>
      <c r="R9" s="13">
        <v>2.1869795061191981</v>
      </c>
      <c r="S9" s="13">
        <v>3.3185427583140172E-2</v>
      </c>
      <c r="T9" s="13">
        <f>R9*Calculation!I9/Calculation!K8</f>
        <v>2.1869795061191981</v>
      </c>
      <c r="U9" s="13">
        <f>S9*Calculation!I9/Calculation!K8</f>
        <v>3.3185427583140172E-2</v>
      </c>
    </row>
    <row r="10" spans="1:21">
      <c r="A10" s="31" t="s">
        <v>66</v>
      </c>
      <c r="B10" s="31">
        <v>88.11</v>
      </c>
      <c r="D10" s="16">
        <v>6</v>
      </c>
      <c r="E10" s="13">
        <v>8.6666666666666661</v>
      </c>
      <c r="F10" s="53">
        <v>50.616119005328599</v>
      </c>
      <c r="G10" s="53">
        <v>0.36533043232469903</v>
      </c>
      <c r="H10" s="13">
        <f>F10*Calculation!I10/Calculation!K9</f>
        <v>50.616119005328599</v>
      </c>
      <c r="I10" s="13">
        <f>G10*Calculation!I10/Calculation!K9</f>
        <v>0.36533043232469903</v>
      </c>
      <c r="J10" s="13">
        <v>2.053730017761989</v>
      </c>
      <c r="K10" s="13">
        <v>1.1101243339254007E-2</v>
      </c>
      <c r="L10" s="13">
        <f>J10*Calculation!I10/Calculation!K9</f>
        <v>2.053730017761989</v>
      </c>
      <c r="M10" s="13">
        <f>K10*Calculation!I10/Calculation!K9</f>
        <v>1.1101243339254007E-2</v>
      </c>
      <c r="N10" s="13">
        <v>48.814876491812385</v>
      </c>
      <c r="O10" s="13">
        <v>0.34984071621623447</v>
      </c>
      <c r="P10" s="13">
        <f>N10*Calculation!I10/Calculation!K9</f>
        <v>48.814876491812385</v>
      </c>
      <c r="Q10" s="13">
        <f>O10*Calculation!I10/Calculation!K9</f>
        <v>0.34984071621623447</v>
      </c>
      <c r="R10" s="13">
        <v>2.2304294300818306</v>
      </c>
      <c r="S10" s="13">
        <v>0.10716669264210828</v>
      </c>
      <c r="T10" s="13">
        <f>R10*Calculation!I10/Calculation!K9</f>
        <v>2.2304294300818306</v>
      </c>
      <c r="U10" s="13">
        <f>S10*Calculation!I10/Calculation!K9</f>
        <v>0.10716669264210826</v>
      </c>
    </row>
    <row r="11" spans="1:21">
      <c r="A11" s="15" t="s">
        <v>42</v>
      </c>
      <c r="B11" s="15">
        <v>90.08</v>
      </c>
      <c r="D11" s="16">
        <v>7</v>
      </c>
      <c r="E11" s="13">
        <v>10</v>
      </c>
      <c r="F11" s="53">
        <v>50.364490822972172</v>
      </c>
      <c r="G11" s="53">
        <v>1.25390415005123</v>
      </c>
      <c r="H11" s="13">
        <f>F11*Calculation!I11/Calculation!K10</f>
        <v>50.364490822972172</v>
      </c>
      <c r="I11" s="13">
        <f>G11*Calculation!I11/Calculation!K10</f>
        <v>1.25390415005123</v>
      </c>
      <c r="J11" s="13">
        <v>2.0426287744227358</v>
      </c>
      <c r="K11" s="13">
        <v>1.1101243339254007E-2</v>
      </c>
      <c r="L11" s="13">
        <f>J11*Calculation!I11/Calculation!K10</f>
        <v>2.0426287744227358</v>
      </c>
      <c r="M11" s="13">
        <f>K11*Calculation!I11/Calculation!K10</f>
        <v>1.1101243339254007E-2</v>
      </c>
      <c r="N11" s="13">
        <v>48.193172356369693</v>
      </c>
      <c r="O11" s="13">
        <v>0.99958359356928783</v>
      </c>
      <c r="P11" s="13">
        <f>N11*Calculation!I11/Calculation!K10</f>
        <v>48.193172356369693</v>
      </c>
      <c r="Q11" s="13">
        <f>O11*Calculation!I11/Calculation!K10</f>
        <v>0.99958359356928783</v>
      </c>
      <c r="R11" s="13">
        <v>2.3897458179448186</v>
      </c>
      <c r="S11" s="13">
        <v>9.4696913828822019E-2</v>
      </c>
      <c r="T11" s="13">
        <f>R11*Calculation!I11/Calculation!K10</f>
        <v>2.3897458179448186</v>
      </c>
      <c r="U11" s="13">
        <f>S11*Calculation!I11/Calculation!K10</f>
        <v>9.4696913828822019E-2</v>
      </c>
    </row>
    <row r="12" spans="1:21">
      <c r="A12" s="15" t="s">
        <v>44</v>
      </c>
      <c r="B12" s="15">
        <v>46.07</v>
      </c>
      <c r="D12" s="16">
        <v>8</v>
      </c>
      <c r="E12" s="13">
        <v>11.333333333333334</v>
      </c>
      <c r="F12" s="53">
        <v>50.15726761397277</v>
      </c>
      <c r="G12" s="53">
        <v>0.80352478211057354</v>
      </c>
      <c r="H12" s="13">
        <f>F12*Calculation!I12/Calculation!K11</f>
        <v>50.15726761397277</v>
      </c>
      <c r="I12" s="13">
        <f>G12*Calculation!I12/Calculation!K11</f>
        <v>0.80352478211057354</v>
      </c>
      <c r="J12" s="13">
        <v>2.0352279455298996</v>
      </c>
      <c r="K12" s="13">
        <v>6.4093058302578405E-3</v>
      </c>
      <c r="L12" s="13">
        <f>J12*Calculation!I12/Calculation!K11</f>
        <v>2.0352279455298996</v>
      </c>
      <c r="M12" s="13">
        <f>K12*Calculation!I12/Calculation!K11</f>
        <v>6.4093058302578405E-3</v>
      </c>
      <c r="N12" s="13">
        <v>48.154315847904535</v>
      </c>
      <c r="O12" s="13">
        <v>0.462196160714205</v>
      </c>
      <c r="P12" s="13">
        <f>N12*Calculation!I12/Calculation!K11</f>
        <v>48.154315847904535</v>
      </c>
      <c r="Q12" s="13">
        <f>O12*Calculation!I12/Calculation!K11</f>
        <v>0.462196160714205</v>
      </c>
      <c r="R12" s="13">
        <v>2.5345788978202619</v>
      </c>
      <c r="S12" s="13">
        <v>4.5224114696200884E-2</v>
      </c>
      <c r="T12" s="13">
        <f>R12*Calculation!I12/Calculation!K11</f>
        <v>2.5345788978202619</v>
      </c>
      <c r="U12" s="13">
        <f>S12*Calculation!I12/Calculation!K11</f>
        <v>4.5224114696200884E-2</v>
      </c>
    </row>
    <row r="13" spans="1:21">
      <c r="D13" s="16">
        <v>9</v>
      </c>
      <c r="E13" s="13">
        <v>12.666666666666666</v>
      </c>
      <c r="F13" s="53">
        <v>49.87048549437538</v>
      </c>
      <c r="G13" s="53">
        <v>0.18677931266869818</v>
      </c>
      <c r="H13" s="13">
        <f>F13*Calculation!I13/Calculation!K12</f>
        <v>49.87048549437538</v>
      </c>
      <c r="I13" s="13">
        <f>G13*Calculation!I13/Calculation!K12</f>
        <v>0.18677931266869818</v>
      </c>
      <c r="J13" s="13">
        <v>2.0315275310834813</v>
      </c>
      <c r="K13" s="13">
        <v>2.2202486678508014E-2</v>
      </c>
      <c r="L13" s="13">
        <f>J13*Calculation!I13/Calculation!K12</f>
        <v>2.0315275310834813</v>
      </c>
      <c r="M13" s="13">
        <f>K13*Calculation!I13/Calculation!K12</f>
        <v>2.2202486678508014E-2</v>
      </c>
      <c r="N13" s="13">
        <v>47.593671940049958</v>
      </c>
      <c r="O13" s="13">
        <v>0.42227218428329721</v>
      </c>
      <c r="P13" s="13">
        <f>N13*Calculation!I13/Calculation!K12</f>
        <v>47.593671940049958</v>
      </c>
      <c r="Q13" s="13">
        <f>O13*Calculation!I13/Calculation!K12</f>
        <v>0.42227218428329721</v>
      </c>
      <c r="R13" s="13">
        <v>2.7663118256209716</v>
      </c>
      <c r="S13" s="13">
        <v>5.4673288690497181E-2</v>
      </c>
      <c r="T13" s="13">
        <f>R13*Calculation!I13/Calculation!K12</f>
        <v>2.7663118256209716</v>
      </c>
      <c r="U13" s="13">
        <f>S13*Calculation!I13/Calculation!K12</f>
        <v>5.4673288690497181E-2</v>
      </c>
    </row>
    <row r="14" spans="1:21">
      <c r="D14" s="16">
        <v>10</v>
      </c>
      <c r="E14" s="13">
        <v>14</v>
      </c>
      <c r="F14" s="53">
        <v>50.074008288928354</v>
      </c>
      <c r="G14" s="53">
        <v>0.14477797631357087</v>
      </c>
      <c r="H14" s="13">
        <f>F14*Calculation!I14/Calculation!K13</f>
        <v>50.123537476157757</v>
      </c>
      <c r="I14" s="13">
        <f>G14*Calculation!I14/Calculation!K13</f>
        <v>0.14492117905967727</v>
      </c>
      <c r="J14" s="13">
        <v>2.0167258732978088</v>
      </c>
      <c r="K14" s="13">
        <v>1.6957429303418606E-2</v>
      </c>
      <c r="L14" s="13">
        <f>J14*Calculation!I14/Calculation!K13</f>
        <v>2.0187206565552747</v>
      </c>
      <c r="M14" s="13">
        <f>K14*Calculation!I14/Calculation!K13</f>
        <v>1.6974202230523868E-2</v>
      </c>
      <c r="N14" s="13">
        <v>47.288370802109355</v>
      </c>
      <c r="O14" s="13">
        <v>5.8482674176258152E-2</v>
      </c>
      <c r="P14" s="13">
        <f>N14*Calculation!I14/Calculation!K13</f>
        <v>47.33514466046951</v>
      </c>
      <c r="Q14" s="13">
        <f>O14*Calculation!I14/Calculation!K13</f>
        <v>5.8540520540428534E-2</v>
      </c>
      <c r="R14" s="13">
        <v>3.0704612933594033</v>
      </c>
      <c r="S14" s="13">
        <v>3.3185427583140033E-2</v>
      </c>
      <c r="T14" s="13">
        <f>R14*Calculation!I14/Calculation!K13</f>
        <v>3.0734983470620341</v>
      </c>
      <c r="U14" s="13">
        <f>S14*Calculation!I14/Calculation!K13</f>
        <v>3.3218251942767271E-2</v>
      </c>
    </row>
    <row r="15" spans="1:21">
      <c r="D15" s="16">
        <v>11</v>
      </c>
      <c r="E15" s="13">
        <v>15.333333333333334</v>
      </c>
      <c r="F15" s="53">
        <v>49.71321788040261</v>
      </c>
      <c r="G15" s="53">
        <v>0.24355362154979696</v>
      </c>
      <c r="H15" s="13">
        <f>F15*Calculation!I15/Calculation!K14</f>
        <v>49.813744578591546</v>
      </c>
      <c r="I15" s="13">
        <f>G15*Calculation!I15/Calculation!K14</f>
        <v>0.24404611916814184</v>
      </c>
      <c r="J15" s="13">
        <v>2.0056246299585552</v>
      </c>
      <c r="K15" s="13">
        <v>1.6957429303418606E-2</v>
      </c>
      <c r="L15" s="13">
        <f>J15*Calculation!I15/Calculation!K14</f>
        <v>2.009680268085646</v>
      </c>
      <c r="M15" s="13">
        <f>K15*Calculation!I15/Calculation!K14</f>
        <v>1.6991719467087874E-2</v>
      </c>
      <c r="N15" s="13">
        <v>46.999722453510962</v>
      </c>
      <c r="O15" s="13">
        <v>0.23628972138543231</v>
      </c>
      <c r="P15" s="13">
        <f>N15*Calculation!I15/Calculation!K14</f>
        <v>47.094762105247341</v>
      </c>
      <c r="Q15" s="13">
        <f>O15*Calculation!I15/Calculation!K14</f>
        <v>0.23676753043742338</v>
      </c>
      <c r="R15" s="13">
        <v>3.686001882830038</v>
      </c>
      <c r="S15" s="13">
        <v>6.9835982047888573E-2</v>
      </c>
      <c r="T15" s="13">
        <f>R15*Calculation!I15/Calculation!K14</f>
        <v>3.6934554658930083</v>
      </c>
      <c r="U15" s="13">
        <f>S15*Calculation!I15/Calculation!K14</f>
        <v>6.9977199635270368E-2</v>
      </c>
    </row>
    <row r="16" spans="1:21">
      <c r="D16" s="16">
        <v>12</v>
      </c>
      <c r="E16" s="13">
        <v>16.666666666666668</v>
      </c>
      <c r="F16" s="53">
        <v>47.925917702782705</v>
      </c>
      <c r="G16" s="53">
        <v>0.31055385149409898</v>
      </c>
      <c r="H16" s="13">
        <f>F16*Calculation!I16/Calculation!K15</f>
        <v>48.126663390220656</v>
      </c>
      <c r="I16" s="13">
        <f>G16*Calculation!I16/Calculation!K15</f>
        <v>0.31185465801785317</v>
      </c>
      <c r="J16" s="13">
        <v>2.0315275310834813</v>
      </c>
      <c r="K16" s="13">
        <v>1.1101243339254007E-2</v>
      </c>
      <c r="L16" s="13">
        <f>J16*Calculation!I16/Calculation!K15</f>
        <v>2.0400369224592629</v>
      </c>
      <c r="M16" s="13">
        <f>K16*Calculation!I16/Calculation!K15</f>
        <v>1.1147742745679043E-2</v>
      </c>
      <c r="N16" s="13">
        <v>45.356647238412435</v>
      </c>
      <c r="O16" s="13">
        <v>0.16001704474493103</v>
      </c>
      <c r="P16" s="13">
        <f>N16*Calculation!I16/Calculation!K15</f>
        <v>45.546631108647787</v>
      </c>
      <c r="Q16" s="13">
        <f>O16*Calculation!I16/Calculation!K15</f>
        <v>0.16068730278460641</v>
      </c>
      <c r="R16" s="13">
        <v>5.199507567528423</v>
      </c>
      <c r="S16" s="13">
        <v>6.6370855166280593E-2</v>
      </c>
      <c r="T16" s="13">
        <f>R16*Calculation!I16/Calculation!K15</f>
        <v>5.2212865708530005</v>
      </c>
      <c r="U16" s="13">
        <f>S16*Calculation!I16/Calculation!K15</f>
        <v>6.6648860545933983E-2</v>
      </c>
    </row>
    <row r="17" spans="4:21">
      <c r="D17" s="16">
        <v>13</v>
      </c>
      <c r="E17" s="13">
        <v>18</v>
      </c>
      <c r="F17" s="53">
        <v>45.374481941977507</v>
      </c>
      <c r="G17" s="53">
        <v>0.30696159012428303</v>
      </c>
      <c r="H17" s="13">
        <f>F17*Calculation!I17/Calculation!K16</f>
        <v>45.770948400395234</v>
      </c>
      <c r="I17" s="13">
        <f>G17*Calculation!I17/Calculation!K16</f>
        <v>0.30964371384885736</v>
      </c>
      <c r="J17" s="13">
        <v>1.9686204854943754</v>
      </c>
      <c r="K17" s="13">
        <v>6.4093058302578405E-3</v>
      </c>
      <c r="L17" s="13">
        <f>J17*Calculation!I17/Calculation!K16</f>
        <v>1.9858216073242749</v>
      </c>
      <c r="M17" s="13">
        <f>K17*Calculation!I17/Calculation!K16</f>
        <v>6.4653081177701863E-3</v>
      </c>
      <c r="N17" s="13">
        <v>43.624757146822098</v>
      </c>
      <c r="O17" s="13">
        <v>0.66722083602849769</v>
      </c>
      <c r="P17" s="13">
        <f>N17*Calculation!I17/Calculation!K16</f>
        <v>44.005935117899561</v>
      </c>
      <c r="Q17" s="13">
        <f>O17*Calculation!I17/Calculation!K16</f>
        <v>0.67305077987625328</v>
      </c>
      <c r="R17" s="13">
        <v>8.0237526250995739</v>
      </c>
      <c r="S17" s="13">
        <v>4.5224114696201058E-2</v>
      </c>
      <c r="T17" s="13">
        <f>R17*Calculation!I17/Calculation!K16</f>
        <v>8.0938613877860774</v>
      </c>
      <c r="U17" s="13">
        <f>S17*Calculation!I17/Calculation!K16</f>
        <v>4.5619267297868388E-2</v>
      </c>
    </row>
    <row r="18" spans="4:21">
      <c r="D18" s="16">
        <v>14</v>
      </c>
      <c r="E18" s="13">
        <v>19.333333333333332</v>
      </c>
      <c r="F18" s="53">
        <v>40.965438129070456</v>
      </c>
      <c r="G18" s="53">
        <v>0.2559512769157587</v>
      </c>
      <c r="H18" s="13">
        <f>F18*Calculation!I18/Calculation!K17</f>
        <v>41.470263946275409</v>
      </c>
      <c r="I18" s="13">
        <f>G18*Calculation!I18/Calculation!K17</f>
        <v>0.25910541900320672</v>
      </c>
      <c r="J18" s="13">
        <v>1.9686204854943754</v>
      </c>
      <c r="K18" s="13">
        <v>1.6957429303418606E-2</v>
      </c>
      <c r="L18" s="13">
        <f>J18*Calculation!I18/Calculation!K17</f>
        <v>1.9928802149332474</v>
      </c>
      <c r="M18" s="13">
        <f>K18*Calculation!I18/Calculation!K17</f>
        <v>1.7166399315623079E-2</v>
      </c>
      <c r="N18" s="13">
        <v>40.099916736053288</v>
      </c>
      <c r="O18" s="13">
        <v>0.41631973355536905</v>
      </c>
      <c r="P18" s="13">
        <f>N18*Calculation!I18/Calculation!K17</f>
        <v>40.594076548828809</v>
      </c>
      <c r="Q18" s="13">
        <f>O18*Calculation!I18/Calculation!K17</f>
        <v>0.42145013028268963</v>
      </c>
      <c r="R18" s="13">
        <v>11.260771960315736</v>
      </c>
      <c r="S18" s="13">
        <v>3.3185427583140296E-2</v>
      </c>
      <c r="T18" s="13">
        <f>R18*Calculation!I18/Calculation!K17</f>
        <v>11.399540851040499</v>
      </c>
      <c r="U18" s="13">
        <f>S18*Calculation!I18/Calculation!K17</f>
        <v>3.35943786737199E-2</v>
      </c>
    </row>
    <row r="19" spans="4:21">
      <c r="D19" s="16">
        <v>15</v>
      </c>
      <c r="E19" s="13">
        <v>24.166666666666668</v>
      </c>
      <c r="F19" s="53">
        <v>29.181468324452336</v>
      </c>
      <c r="G19" s="53">
        <v>0.40062006838039194</v>
      </c>
      <c r="H19" s="13">
        <f>F19*Calculation!I19/Calculation!K18</f>
        <v>29.979806650297171</v>
      </c>
      <c r="I19" s="13">
        <f>G19*Calculation!I19/Calculation!K18</f>
        <v>0.41158011847570009</v>
      </c>
      <c r="J19" s="13">
        <v>2.6531971580817051</v>
      </c>
      <c r="K19" s="13">
        <v>1.1101243339254007E-2</v>
      </c>
      <c r="L19" s="13">
        <f>J19*Calculation!I19/Calculation!K18</f>
        <v>2.7257825726937703</v>
      </c>
      <c r="M19" s="13">
        <f>K19*Calculation!I19/Calculation!K18</f>
        <v>1.1404948002902818E-2</v>
      </c>
      <c r="N19" s="13">
        <v>34.68776019983347</v>
      </c>
      <c r="O19" s="13">
        <v>0.47657245699431033</v>
      </c>
      <c r="P19" s="13">
        <f>N19*Calculation!I19/Calculation!K18</f>
        <v>35.636738095576895</v>
      </c>
      <c r="Q19" s="13">
        <f>O19*Calculation!I19/Calculation!K18</f>
        <v>0.48961039097454767</v>
      </c>
      <c r="R19" s="13">
        <v>22.499818958650156</v>
      </c>
      <c r="S19" s="13">
        <v>0.30440798836966693</v>
      </c>
      <c r="T19" s="13">
        <f>R19*Calculation!I19/Calculation!K18</f>
        <v>23.115362618055709</v>
      </c>
      <c r="U19" s="13">
        <f>S19*Calculation!I19/Calculation!K18</f>
        <v>0.31273589569450833</v>
      </c>
    </row>
    <row r="20" spans="4:21">
      <c r="D20" s="16">
        <v>16</v>
      </c>
      <c r="E20" s="13">
        <v>30.166666666666668</v>
      </c>
      <c r="F20" s="53">
        <v>28.543146832445231</v>
      </c>
      <c r="G20" s="53">
        <v>0.15072092846666937</v>
      </c>
      <c r="H20" s="13">
        <f>F20*Calculation!I20/Calculation!K19</f>
        <v>29.362404368062371</v>
      </c>
      <c r="I20" s="13">
        <f>G20*Calculation!I20/Calculation!K19</f>
        <v>0.15504698463512134</v>
      </c>
      <c r="J20" s="13">
        <v>3.1231497927767915</v>
      </c>
      <c r="K20" s="13">
        <v>1.2818611660515327E-2</v>
      </c>
      <c r="L20" s="13">
        <f>J20*Calculation!I20/Calculation!K19</f>
        <v>3.2127917659486154</v>
      </c>
      <c r="M20" s="13">
        <f>K20*Calculation!I20/Calculation!K19</f>
        <v>1.3186536902279123E-2</v>
      </c>
      <c r="N20" s="13">
        <v>34.537885095753545</v>
      </c>
      <c r="O20" s="13">
        <v>0.45269865842025536</v>
      </c>
      <c r="P20" s="13">
        <f>N20*Calculation!I20/Calculation!K19</f>
        <v>35.52920615769095</v>
      </c>
      <c r="Q20" s="13">
        <f>O20*Calculation!I20/Calculation!K19</f>
        <v>0.46569220778086706</v>
      </c>
      <c r="R20" s="13">
        <v>23.035701354189296</v>
      </c>
      <c r="S20" s="13">
        <v>0.17560077707266492</v>
      </c>
      <c r="T20" s="13">
        <f>R20*Calculation!I20/Calculation!K19</f>
        <v>23.696881848177203</v>
      </c>
      <c r="U20" s="13">
        <f>S20*Calculation!I20/Calculation!K19</f>
        <v>0.18064094523357266</v>
      </c>
    </row>
    <row r="21" spans="4:21">
      <c r="D21" s="16">
        <v>17</v>
      </c>
      <c r="E21" s="63">
        <v>48.166666666666664</v>
      </c>
      <c r="F21" s="53">
        <v>27.745707519242156</v>
      </c>
      <c r="G21" s="53">
        <v>0.3030727535441563</v>
      </c>
      <c r="H21" s="13">
        <f>F21*Calculation!I21/Calculation!K20</f>
        <v>28.542076612657247</v>
      </c>
      <c r="I21" s="13">
        <f>G21*Calculation!I21/Calculation!K20</f>
        <v>0.31177167656896615</v>
      </c>
      <c r="J21" s="13">
        <v>3.5449970396684427</v>
      </c>
      <c r="K21" s="13">
        <v>1.2818611660515681E-2</v>
      </c>
      <c r="L21" s="13">
        <f>J21*Calculation!I21/Calculation!K20</f>
        <v>3.6467470518705842</v>
      </c>
      <c r="M21" s="13">
        <f>K21*Calculation!I21/Calculation!K20</f>
        <v>1.3186536902279486E-2</v>
      </c>
      <c r="N21" s="13">
        <v>34.826533444351931</v>
      </c>
      <c r="O21" s="13">
        <v>0.17332772684980335</v>
      </c>
      <c r="P21" s="13">
        <f>N21*Calculation!I21/Calculation!K20</f>
        <v>35.826139413910802</v>
      </c>
      <c r="Q21" s="13">
        <f>O21*Calculation!I21/Calculation!K20</f>
        <v>0.17830265295681821</v>
      </c>
      <c r="R21" s="13">
        <v>23.050184662176839</v>
      </c>
      <c r="S21" s="13">
        <v>9.2171207628053212E-2</v>
      </c>
      <c r="T21" s="13">
        <f>R21*Calculation!I21/Calculation!K20</f>
        <v>23.711780862228245</v>
      </c>
      <c r="U21" s="13">
        <f>S21*Calculation!I21/Calculation!K20</f>
        <v>9.4816744816348761E-2</v>
      </c>
    </row>
    <row r="23" spans="4:21">
      <c r="D23" s="135" t="s">
        <v>4</v>
      </c>
      <c r="E23" s="135" t="s">
        <v>60</v>
      </c>
      <c r="F23" s="114" t="s">
        <v>44</v>
      </c>
      <c r="G23" s="114"/>
      <c r="H23" s="114"/>
      <c r="I23" s="114"/>
      <c r="J23" s="114" t="s">
        <v>66</v>
      </c>
      <c r="K23" s="114"/>
      <c r="L23" s="114"/>
      <c r="M23" s="114"/>
      <c r="N23" s="136" t="s">
        <v>67</v>
      </c>
      <c r="O23" s="112"/>
      <c r="P23" s="112"/>
      <c r="Q23" s="137"/>
    </row>
    <row r="24" spans="4:21">
      <c r="D24" s="135"/>
      <c r="E24" s="135"/>
      <c r="F24" s="20" t="s">
        <v>48</v>
      </c>
      <c r="G24" s="20" t="s">
        <v>23</v>
      </c>
      <c r="H24" s="20" t="s">
        <v>48</v>
      </c>
      <c r="I24" s="20" t="s">
        <v>23</v>
      </c>
      <c r="J24" s="20" t="s">
        <v>48</v>
      </c>
      <c r="K24" s="20" t="s">
        <v>23</v>
      </c>
      <c r="L24" s="20" t="s">
        <v>48</v>
      </c>
      <c r="M24" s="20" t="s">
        <v>23</v>
      </c>
      <c r="N24" s="20" t="s">
        <v>48</v>
      </c>
      <c r="O24" s="20" t="s">
        <v>23</v>
      </c>
      <c r="P24" s="20" t="s">
        <v>48</v>
      </c>
      <c r="Q24" s="20" t="s">
        <v>23</v>
      </c>
    </row>
    <row r="25" spans="4:21">
      <c r="D25" s="16">
        <v>0</v>
      </c>
      <c r="E25" s="62">
        <v>-0.16666666666666666</v>
      </c>
      <c r="F25" s="13">
        <v>0</v>
      </c>
      <c r="G25" s="13">
        <v>0</v>
      </c>
      <c r="H25" s="13">
        <f>F25*Calculation!I3/Calculation!F23</f>
        <v>0</v>
      </c>
      <c r="I25" s="13">
        <f>G25*Calculation!I3/Calculation!F23</f>
        <v>0</v>
      </c>
      <c r="J25" s="13">
        <v>0</v>
      </c>
      <c r="K25" s="13">
        <v>0</v>
      </c>
      <c r="L25" s="13">
        <f>J25*Calculation!I3/Calculation!F23</f>
        <v>0</v>
      </c>
      <c r="M25" s="13">
        <f>K25*Calculation!I3/Calculation!F23</f>
        <v>0</v>
      </c>
      <c r="N25" s="13">
        <v>0</v>
      </c>
      <c r="O25" s="13">
        <v>0</v>
      </c>
      <c r="P25" s="13">
        <f>N25*Calculation!I3/Calculation!F23</f>
        <v>0</v>
      </c>
      <c r="Q25" s="13">
        <f>O25*Calculation!I3/Calculation!F23</f>
        <v>0</v>
      </c>
    </row>
    <row r="26" spans="4:21">
      <c r="D26" s="16">
        <v>0</v>
      </c>
      <c r="E26" s="63">
        <v>0.16666666666666666</v>
      </c>
      <c r="F26" s="13">
        <v>0</v>
      </c>
      <c r="G26" s="13">
        <v>0</v>
      </c>
      <c r="H26" s="13">
        <f>F26*Calculation!I4/Calculation!K3</f>
        <v>0</v>
      </c>
      <c r="I26" s="13">
        <f>G26*Calculation!I4/Calculation!K3</f>
        <v>0</v>
      </c>
      <c r="J26" s="13">
        <v>0</v>
      </c>
      <c r="K26" s="13">
        <v>0</v>
      </c>
      <c r="L26" s="13">
        <f>J26*Calculation!I4/Calculation!K3</f>
        <v>0</v>
      </c>
      <c r="M26" s="13">
        <f>K26*Calculation!I4/Calculation!K3</f>
        <v>0</v>
      </c>
      <c r="N26" s="13">
        <v>0</v>
      </c>
      <c r="O26" s="13">
        <v>0</v>
      </c>
      <c r="P26" s="13">
        <f>N26*Calculation!I4/Calculation!K3</f>
        <v>0</v>
      </c>
      <c r="Q26" s="13">
        <f>O26*Calculation!I4/Calculation!K3</f>
        <v>0</v>
      </c>
    </row>
    <row r="27" spans="4:21">
      <c r="D27" s="16">
        <v>1</v>
      </c>
      <c r="E27" s="63">
        <v>2</v>
      </c>
      <c r="F27" s="13">
        <v>0</v>
      </c>
      <c r="G27" s="13">
        <v>0</v>
      </c>
      <c r="H27" s="13">
        <f>F27*Calculation!I5/Calculation!K4</f>
        <v>0</v>
      </c>
      <c r="I27" s="13">
        <f>G27*Calculation!I5/Calculation!K4</f>
        <v>0</v>
      </c>
      <c r="J27" s="13">
        <v>0</v>
      </c>
      <c r="K27" s="13">
        <v>0</v>
      </c>
      <c r="L27" s="13">
        <f>J27*Calculation!I5/Calculation!K4</f>
        <v>0</v>
      </c>
      <c r="M27" s="13">
        <f>K27*Calculation!I5/Calculation!K4</f>
        <v>0</v>
      </c>
      <c r="N27" s="13">
        <v>0</v>
      </c>
      <c r="O27" s="13">
        <v>0</v>
      </c>
      <c r="P27" s="13">
        <f>N27*Calculation!I5/Calculation!K4</f>
        <v>0</v>
      </c>
      <c r="Q27" s="13">
        <f>O27*Calculation!I5/Calculation!K4</f>
        <v>0</v>
      </c>
    </row>
    <row r="28" spans="4:21">
      <c r="D28" s="16">
        <v>2</v>
      </c>
      <c r="E28" s="63">
        <v>3.3333333333333335</v>
      </c>
      <c r="F28" s="13">
        <v>0</v>
      </c>
      <c r="G28" s="13">
        <v>0</v>
      </c>
      <c r="H28" s="13">
        <f>F28*Calculation!I6/Calculation!K5</f>
        <v>0</v>
      </c>
      <c r="I28" s="13">
        <f>G28*Calculation!I6/Calculation!K5</f>
        <v>0</v>
      </c>
      <c r="J28" s="13">
        <v>5.2964097907918124E-2</v>
      </c>
      <c r="K28" s="13">
        <v>1.7336570555577649E-2</v>
      </c>
      <c r="L28" s="13">
        <f>J28*Calculation!I6/Calculation!K5</f>
        <v>5.2964097907918124E-2</v>
      </c>
      <c r="M28" s="13">
        <f>K28*Calculation!I6/Calculation!K5</f>
        <v>1.7336570555577649E-2</v>
      </c>
      <c r="N28" s="13">
        <v>0</v>
      </c>
      <c r="O28" s="13">
        <v>0</v>
      </c>
      <c r="P28" s="13">
        <f>N28*Calculation!I6/Calculation!K5</f>
        <v>0</v>
      </c>
      <c r="Q28" s="13">
        <f>O28*Calculation!I6/Calculation!K5</f>
        <v>0</v>
      </c>
    </row>
    <row r="29" spans="4:21">
      <c r="D29" s="16">
        <v>3</v>
      </c>
      <c r="E29" s="63">
        <v>4.666666666666667</v>
      </c>
      <c r="F29" s="13">
        <v>0</v>
      </c>
      <c r="G29" s="13">
        <v>0</v>
      </c>
      <c r="H29" s="13">
        <f>F29*Calculation!I7/Calculation!K6</f>
        <v>0</v>
      </c>
      <c r="I29" s="13">
        <f>G29*Calculation!I7/Calculation!K6</f>
        <v>0</v>
      </c>
      <c r="J29" s="13">
        <v>0.41236333371164835</v>
      </c>
      <c r="K29" s="13">
        <v>3.9857956920715538E-2</v>
      </c>
      <c r="L29" s="13">
        <f>J29*Calculation!I7/Calculation!K6</f>
        <v>0.41236333371164829</v>
      </c>
      <c r="M29" s="13">
        <f>K29*Calculation!I7/Calculation!K6</f>
        <v>3.9857956920715538E-2</v>
      </c>
      <c r="N29" s="13">
        <v>0</v>
      </c>
      <c r="O29" s="13">
        <v>0</v>
      </c>
      <c r="P29" s="13">
        <f>N29*Calculation!I7/Calculation!K6</f>
        <v>0</v>
      </c>
      <c r="Q29" s="13">
        <f>O29*Calculation!I7/Calculation!K6</f>
        <v>0</v>
      </c>
    </row>
    <row r="30" spans="4:21">
      <c r="D30" s="16">
        <v>4</v>
      </c>
      <c r="E30" s="63">
        <v>6</v>
      </c>
      <c r="F30" s="13">
        <v>0</v>
      </c>
      <c r="G30" s="13">
        <v>0</v>
      </c>
      <c r="H30" s="13">
        <f>F30*Calculation!I8/Calculation!K7</f>
        <v>0</v>
      </c>
      <c r="I30" s="13">
        <f>G30*Calculation!I8/Calculation!K7</f>
        <v>0</v>
      </c>
      <c r="J30" s="13">
        <v>0.74906367041198507</v>
      </c>
      <c r="K30" s="13">
        <v>3.0027821031263113E-2</v>
      </c>
      <c r="L30" s="13">
        <f>J30*Calculation!I8/Calculation!K7</f>
        <v>0.74906367041198507</v>
      </c>
      <c r="M30" s="13">
        <f>K30*Calculation!I8/Calculation!K7</f>
        <v>3.0027821031263113E-2</v>
      </c>
      <c r="N30" s="13">
        <v>0</v>
      </c>
      <c r="O30" s="13">
        <v>0</v>
      </c>
      <c r="P30" s="13">
        <f>N30*Calculation!I8/Calculation!K7</f>
        <v>0</v>
      </c>
      <c r="Q30" s="13">
        <f>O30*Calculation!I8/Calculation!K7</f>
        <v>0</v>
      </c>
    </row>
    <row r="31" spans="4:21">
      <c r="D31" s="16">
        <v>5</v>
      </c>
      <c r="E31" s="63">
        <v>7.333333333333333</v>
      </c>
      <c r="F31" s="13">
        <v>0</v>
      </c>
      <c r="G31" s="13">
        <v>0</v>
      </c>
      <c r="H31" s="13">
        <f>F31*Calculation!I9/Calculation!K8</f>
        <v>0</v>
      </c>
      <c r="I31" s="13">
        <f>G31*Calculation!I9/Calculation!K8</f>
        <v>0</v>
      </c>
      <c r="J31" s="13">
        <v>1.093330306813453</v>
      </c>
      <c r="K31" s="13">
        <v>1.7336570555577663E-2</v>
      </c>
      <c r="L31" s="13">
        <f>J31*Calculation!I9/Calculation!K8</f>
        <v>1.093330306813453</v>
      </c>
      <c r="M31" s="13">
        <f>K31*Calculation!I9/Calculation!K8</f>
        <v>1.7336570555577663E-2</v>
      </c>
      <c r="N31" s="13">
        <v>0</v>
      </c>
      <c r="O31" s="13">
        <v>0</v>
      </c>
      <c r="P31" s="13">
        <f>N31*Calculation!I9/Calculation!K8</f>
        <v>0</v>
      </c>
      <c r="Q31" s="13">
        <f>O31*Calculation!I9/Calculation!K8</f>
        <v>0</v>
      </c>
    </row>
    <row r="32" spans="4:21">
      <c r="D32" s="16">
        <v>6</v>
      </c>
      <c r="E32" s="63">
        <v>8.6666666666666661</v>
      </c>
      <c r="F32" s="13">
        <v>0</v>
      </c>
      <c r="G32" s="13">
        <v>0</v>
      </c>
      <c r="H32" s="13">
        <f>F32*Calculation!I10/Calculation!K9</f>
        <v>0</v>
      </c>
      <c r="I32" s="13">
        <f>G32*Calculation!I10/Calculation!K9</f>
        <v>0</v>
      </c>
      <c r="J32" s="13">
        <v>1.3543676465024779</v>
      </c>
      <c r="K32" s="13">
        <v>3.4673141111155242E-2</v>
      </c>
      <c r="L32" s="13">
        <f>J32*Calculation!I10/Calculation!K9</f>
        <v>1.3543676465024779</v>
      </c>
      <c r="M32" s="13">
        <f>K32*Calculation!I10/Calculation!K9</f>
        <v>3.4673141111155242E-2</v>
      </c>
      <c r="N32" s="13">
        <v>0</v>
      </c>
      <c r="O32" s="13">
        <v>0</v>
      </c>
      <c r="P32" s="13">
        <f>N32*Calculation!I10/Calculation!K9</f>
        <v>0</v>
      </c>
      <c r="Q32" s="13">
        <f>O32*Calculation!I10/Calculation!K9</f>
        <v>0</v>
      </c>
    </row>
    <row r="33" spans="4:17">
      <c r="D33" s="16">
        <v>7</v>
      </c>
      <c r="E33" s="63">
        <v>10</v>
      </c>
      <c r="F33" s="13">
        <v>0</v>
      </c>
      <c r="G33" s="13">
        <v>0</v>
      </c>
      <c r="H33" s="13">
        <f>F33*Calculation!I11/Calculation!K10</f>
        <v>0</v>
      </c>
      <c r="I33" s="13">
        <f>G33*Calculation!I11/Calculation!K10</f>
        <v>0</v>
      </c>
      <c r="J33" s="13">
        <v>1.7553815306624294</v>
      </c>
      <c r="K33" s="13">
        <v>6.8411233382609404E-2</v>
      </c>
      <c r="L33" s="13">
        <f>J33*Calculation!I11/Calculation!K10</f>
        <v>1.7553815306624294</v>
      </c>
      <c r="M33" s="13">
        <f>K33*Calculation!I11/Calculation!K10</f>
        <v>6.8411233382609404E-2</v>
      </c>
      <c r="N33" s="13">
        <v>0</v>
      </c>
      <c r="O33" s="13">
        <v>0</v>
      </c>
      <c r="P33" s="13">
        <f>N33*Calculation!I11/Calculation!K10</f>
        <v>0</v>
      </c>
      <c r="Q33" s="13">
        <f>O33*Calculation!I11/Calculation!K10</f>
        <v>0</v>
      </c>
    </row>
    <row r="34" spans="4:17">
      <c r="D34" s="16">
        <v>8</v>
      </c>
      <c r="E34" s="63">
        <v>11.333333333333334</v>
      </c>
      <c r="F34" s="13">
        <v>0</v>
      </c>
      <c r="G34" s="13">
        <v>0</v>
      </c>
      <c r="H34" s="13">
        <f>F34*Calculation!I12/Calculation!K11</f>
        <v>0</v>
      </c>
      <c r="I34" s="13">
        <f>G34*Calculation!I12/Calculation!K11</f>
        <v>0</v>
      </c>
      <c r="J34" s="13">
        <v>2.1109976166155944</v>
      </c>
      <c r="K34" s="13">
        <v>5.6747247758483763E-2</v>
      </c>
      <c r="L34" s="13">
        <f>J34*Calculation!I12/Calculation!K11</f>
        <v>2.1109976166155944</v>
      </c>
      <c r="M34" s="13">
        <f>K34*Calculation!I12/Calculation!K11</f>
        <v>5.6747247758483763E-2</v>
      </c>
      <c r="N34" s="13">
        <v>0</v>
      </c>
      <c r="O34" s="13">
        <v>0</v>
      </c>
      <c r="P34" s="13">
        <f>N34*Calculation!I12/Calculation!K11</f>
        <v>0</v>
      </c>
      <c r="Q34" s="13">
        <f>O34*Calculation!I12/Calculation!K11</f>
        <v>0</v>
      </c>
    </row>
    <row r="35" spans="4:17">
      <c r="D35" s="16">
        <v>9</v>
      </c>
      <c r="E35" s="63">
        <v>12.666666666666666</v>
      </c>
      <c r="F35" s="13">
        <v>0</v>
      </c>
      <c r="G35" s="13">
        <v>0</v>
      </c>
      <c r="H35" s="13">
        <f>F35*Calculation!I13/Calculation!K12</f>
        <v>0</v>
      </c>
      <c r="I35" s="13">
        <f>G35*Calculation!I13/Calculation!K12</f>
        <v>0</v>
      </c>
      <c r="J35" s="13">
        <v>2.5611924488328985</v>
      </c>
      <c r="K35" s="13">
        <v>3.985795692071558E-2</v>
      </c>
      <c r="L35" s="13">
        <f>J35*Calculation!I13/Calculation!K12</f>
        <v>2.5611924488328985</v>
      </c>
      <c r="M35" s="13">
        <f>K35*Calculation!I13/Calculation!K12</f>
        <v>3.985795692071558E-2</v>
      </c>
      <c r="N35" s="13">
        <v>0</v>
      </c>
      <c r="O35" s="13">
        <v>0</v>
      </c>
      <c r="P35" s="13">
        <f>N35*Calculation!I13/Calculation!K12</f>
        <v>0</v>
      </c>
      <c r="Q35" s="13">
        <f>O35*Calculation!I13/Calculation!K12</f>
        <v>0</v>
      </c>
    </row>
    <row r="36" spans="4:17">
      <c r="D36" s="16">
        <v>10</v>
      </c>
      <c r="E36" s="63">
        <v>14</v>
      </c>
      <c r="F36" s="13">
        <v>0</v>
      </c>
      <c r="G36" s="13">
        <v>0</v>
      </c>
      <c r="H36" s="13">
        <f>F36*Calculation!I14/Calculation!K13</f>
        <v>0</v>
      </c>
      <c r="I36" s="13">
        <f>G36*Calculation!I14/Calculation!K13</f>
        <v>0</v>
      </c>
      <c r="J36" s="13">
        <v>3.249725721635834</v>
      </c>
      <c r="K36" s="13">
        <v>3.985795692071558E-2</v>
      </c>
      <c r="L36" s="13">
        <f>J36*Calculation!I14/Calculation!K13</f>
        <v>3.2529400893130211</v>
      </c>
      <c r="M36" s="13">
        <f>K36*Calculation!I14/Calculation!K13</f>
        <v>3.989738121044923E-2</v>
      </c>
      <c r="N36" s="13">
        <v>0</v>
      </c>
      <c r="O36" s="13">
        <v>0</v>
      </c>
      <c r="P36" s="13">
        <f>N36*Calculation!I14/Calculation!K13</f>
        <v>0</v>
      </c>
      <c r="Q36" s="13">
        <f>O36*Calculation!I14/Calculation!K13</f>
        <v>0</v>
      </c>
    </row>
    <row r="37" spans="4:17">
      <c r="D37" s="16">
        <v>11</v>
      </c>
      <c r="E37" s="63">
        <v>15.333333333333334</v>
      </c>
      <c r="F37" s="13">
        <v>0</v>
      </c>
      <c r="G37" s="13">
        <v>0</v>
      </c>
      <c r="H37" s="13">
        <f>F37*Calculation!I15/Calculation!K14</f>
        <v>0</v>
      </c>
      <c r="I37" s="13">
        <f>G37*Calculation!I15/Calculation!K14</f>
        <v>0</v>
      </c>
      <c r="J37" s="13">
        <v>4.3846706768055084</v>
      </c>
      <c r="K37" s="13">
        <v>2.3625763244423278E-2</v>
      </c>
      <c r="L37" s="13">
        <f>J37*Calculation!I15/Calculation!K14</f>
        <v>4.3935370605275503</v>
      </c>
      <c r="M37" s="13">
        <f>K37*Calculation!I15/Calculation!K14</f>
        <v>2.3673537660814287E-2</v>
      </c>
      <c r="N37" s="13">
        <v>0</v>
      </c>
      <c r="O37" s="13">
        <v>0</v>
      </c>
      <c r="P37" s="13">
        <f>N37*Calculation!I15/Calculation!K14</f>
        <v>0</v>
      </c>
      <c r="Q37" s="13">
        <f>O37*Calculation!I15/Calculation!K14</f>
        <v>0</v>
      </c>
    </row>
    <row r="38" spans="4:17">
      <c r="D38" s="16">
        <v>12</v>
      </c>
      <c r="E38" s="63">
        <v>16.666666666666668</v>
      </c>
      <c r="F38" s="13">
        <v>0</v>
      </c>
      <c r="G38" s="13">
        <v>0</v>
      </c>
      <c r="H38" s="13">
        <f>F38*Calculation!I16/Calculation!K15</f>
        <v>0</v>
      </c>
      <c r="I38" s="13">
        <f>G38*Calculation!I16/Calculation!K15</f>
        <v>0</v>
      </c>
      <c r="J38" s="13">
        <v>6.0984375591117166</v>
      </c>
      <c r="K38" s="13">
        <v>2.3625763244423271E-2</v>
      </c>
      <c r="L38" s="13">
        <f>J38*Calculation!I16/Calculation!K15</f>
        <v>6.123981880405541</v>
      </c>
      <c r="M38" s="13">
        <f>K38*Calculation!I16/Calculation!K15</f>
        <v>2.3724723688189016E-2</v>
      </c>
      <c r="N38" s="13">
        <v>0</v>
      </c>
      <c r="O38" s="13">
        <v>0</v>
      </c>
      <c r="P38" s="13">
        <f>N38*Calculation!I16/Calculation!K15</f>
        <v>0</v>
      </c>
      <c r="Q38" s="13">
        <f>O38*Calculation!I16/Calculation!K15</f>
        <v>0</v>
      </c>
    </row>
    <row r="39" spans="4:17">
      <c r="D39" s="16">
        <v>13</v>
      </c>
      <c r="E39" s="63">
        <v>18</v>
      </c>
      <c r="F39" s="13">
        <v>0</v>
      </c>
      <c r="G39" s="13">
        <v>0</v>
      </c>
      <c r="H39" s="13">
        <f>F39*Calculation!I17/Calculation!K16</f>
        <v>0</v>
      </c>
      <c r="I39" s="13">
        <f>G39*Calculation!I17/Calculation!K16</f>
        <v>0</v>
      </c>
      <c r="J39" s="13">
        <v>9.8134907123671162</v>
      </c>
      <c r="K39" s="13">
        <v>4.2968322519579903E-2</v>
      </c>
      <c r="L39" s="13">
        <f>J39*Calculation!I17/Calculation!K16</f>
        <v>9.8992375846382448</v>
      </c>
      <c r="M39" s="13">
        <f>K39*Calculation!I17/Calculation!K16</f>
        <v>4.3343764792954445E-2</v>
      </c>
      <c r="N39" s="13">
        <v>0</v>
      </c>
      <c r="O39" s="13">
        <v>0</v>
      </c>
      <c r="P39" s="13">
        <f>N39*Calculation!I17/Calculation!K16</f>
        <v>0</v>
      </c>
      <c r="Q39" s="13">
        <f>O39*Calculation!I17/Calculation!K16</f>
        <v>0</v>
      </c>
    </row>
    <row r="40" spans="4:17">
      <c r="D40" s="16">
        <v>14</v>
      </c>
      <c r="E40" s="63">
        <v>19.333333333333332</v>
      </c>
      <c r="F40" s="13">
        <v>0</v>
      </c>
      <c r="G40" s="13">
        <v>0</v>
      </c>
      <c r="H40" s="13">
        <f>F40*Calculation!I18/Calculation!K17</f>
        <v>0</v>
      </c>
      <c r="I40" s="13">
        <f>G40*Calculation!I18/Calculation!K17</f>
        <v>0</v>
      </c>
      <c r="J40" s="13">
        <v>14.568910074528054</v>
      </c>
      <c r="K40" s="13">
        <v>0.1213559938890431</v>
      </c>
      <c r="L40" s="13">
        <f>J40*Calculation!I18/Calculation!K17</f>
        <v>14.748445855665956</v>
      </c>
      <c r="M40" s="13">
        <f>K40*Calculation!I18/Calculation!K17</f>
        <v>0.12285148964316467</v>
      </c>
      <c r="N40" s="13">
        <v>0</v>
      </c>
      <c r="O40" s="13">
        <v>0</v>
      </c>
      <c r="P40" s="13">
        <f>N40*Calculation!I18/Calculation!K17</f>
        <v>0</v>
      </c>
      <c r="Q40" s="13">
        <f>O40*Calculation!I18/Calculation!K17</f>
        <v>0</v>
      </c>
    </row>
    <row r="41" spans="4:17">
      <c r="D41" s="16">
        <v>15</v>
      </c>
      <c r="E41" s="63">
        <v>24.166666666666668</v>
      </c>
      <c r="F41" s="13">
        <v>0</v>
      </c>
      <c r="G41" s="13">
        <v>0</v>
      </c>
      <c r="H41" s="13">
        <f>F41*Calculation!I19/Calculation!K18</f>
        <v>0</v>
      </c>
      <c r="I41" s="13">
        <f>G41*Calculation!I19/Calculation!K18</f>
        <v>0</v>
      </c>
      <c r="J41" s="13">
        <v>26.970075284682022</v>
      </c>
      <c r="K41" s="13">
        <v>0.35824251809965102</v>
      </c>
      <c r="L41" s="13">
        <f>J41*Calculation!I19/Calculation!K18</f>
        <v>27.70791494755602</v>
      </c>
      <c r="M41" s="13">
        <f>K41*Calculation!I19/Calculation!K18</f>
        <v>0.36804321520530225</v>
      </c>
      <c r="N41" s="13">
        <v>0</v>
      </c>
      <c r="O41" s="13">
        <v>0</v>
      </c>
      <c r="P41" s="13">
        <f>N41*Calculation!I19/Calculation!K18</f>
        <v>0</v>
      </c>
      <c r="Q41" s="13">
        <f>O41*Calculation!I19/Calculation!K18</f>
        <v>0</v>
      </c>
    </row>
    <row r="42" spans="4:17">
      <c r="D42" s="16">
        <v>16</v>
      </c>
      <c r="E42" s="63">
        <v>30.166666666666668</v>
      </c>
      <c r="F42" s="13">
        <v>0</v>
      </c>
      <c r="G42" s="13">
        <v>0</v>
      </c>
      <c r="H42" s="13">
        <f>F42*Calculation!I20/Calculation!K19</f>
        <v>0</v>
      </c>
      <c r="I42" s="13">
        <f>G42*Calculation!I20/Calculation!K19</f>
        <v>0</v>
      </c>
      <c r="J42" s="13">
        <v>28.131502288805663</v>
      </c>
      <c r="K42" s="13">
        <v>0.13444827029786274</v>
      </c>
      <c r="L42" s="13">
        <f>J42*Calculation!I20/Calculation!K19</f>
        <v>28.938944627718943</v>
      </c>
      <c r="M42" s="13">
        <f>K42*Calculation!I20/Calculation!K19</f>
        <v>0.13830726171316834</v>
      </c>
      <c r="N42" s="13">
        <v>0</v>
      </c>
      <c r="O42" s="13">
        <v>0</v>
      </c>
      <c r="P42" s="13">
        <f>N42*Calculation!I20/Calculation!K19</f>
        <v>0</v>
      </c>
      <c r="Q42" s="13">
        <f>O42*Calculation!I20/Calculation!K19</f>
        <v>0</v>
      </c>
    </row>
    <row r="43" spans="4:17">
      <c r="D43" s="16">
        <v>17</v>
      </c>
      <c r="E43" s="63">
        <v>48.166666666666664</v>
      </c>
      <c r="F43" s="13">
        <v>0</v>
      </c>
      <c r="G43" s="13">
        <v>0</v>
      </c>
      <c r="H43" s="13">
        <f>F43*Calculation!I21/Calculation!K20</f>
        <v>0</v>
      </c>
      <c r="I43" s="13">
        <f>G43*Calculation!I21/Calculation!K20</f>
        <v>0</v>
      </c>
      <c r="J43" s="13">
        <v>28.740589414746719</v>
      </c>
      <c r="K43" s="13">
        <v>0.2691359499388235</v>
      </c>
      <c r="L43" s="13">
        <f>J43*Calculation!I21/Calculation!K20</f>
        <v>29.565514031304573</v>
      </c>
      <c r="M43" s="13">
        <f>K43*Calculation!I21/Calculation!K20</f>
        <v>0.27686080439818622</v>
      </c>
      <c r="N43" s="13">
        <v>0</v>
      </c>
      <c r="O43" s="13">
        <v>0</v>
      </c>
      <c r="P43" s="13">
        <f>N43*Calculation!I21/Calculation!K20</f>
        <v>0</v>
      </c>
      <c r="Q43" s="13">
        <f>O43*Calculation!I21/Calculation!K20</f>
        <v>0</v>
      </c>
    </row>
  </sheetData>
  <mergeCells count="14">
    <mergeCell ref="F23:I23"/>
    <mergeCell ref="J23:M23"/>
    <mergeCell ref="N23:Q23"/>
    <mergeCell ref="N1:Q1"/>
    <mergeCell ref="A1:B1"/>
    <mergeCell ref="A2:B2"/>
    <mergeCell ref="A3:A4"/>
    <mergeCell ref="D23:D24"/>
    <mergeCell ref="E23:E24"/>
    <mergeCell ref="R1:U1"/>
    <mergeCell ref="D1:D2"/>
    <mergeCell ref="E1:E2"/>
    <mergeCell ref="F1:I1"/>
    <mergeCell ref="J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5"/>
  <sheetViews>
    <sheetView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143</v>
      </c>
      <c r="B2" s="17">
        <v>180.16</v>
      </c>
    </row>
    <row r="4" spans="1:8">
      <c r="A4" s="138" t="s">
        <v>144</v>
      </c>
      <c r="B4" s="139"/>
      <c r="C4" s="139"/>
      <c r="D4" s="139"/>
      <c r="E4" s="139"/>
      <c r="F4" s="139"/>
      <c r="G4" s="139"/>
      <c r="H4" s="140"/>
    </row>
    <row r="5" spans="1:8">
      <c r="A5" s="141" t="s">
        <v>62</v>
      </c>
      <c r="B5" s="139"/>
      <c r="C5" s="140"/>
      <c r="D5" s="142" t="s">
        <v>45</v>
      </c>
      <c r="E5" s="142" t="s">
        <v>46</v>
      </c>
      <c r="F5" s="142" t="s">
        <v>47</v>
      </c>
      <c r="G5" s="144" t="s">
        <v>63</v>
      </c>
      <c r="H5" s="144" t="s">
        <v>64</v>
      </c>
    </row>
    <row r="6" spans="1:8">
      <c r="A6" s="28" t="s">
        <v>4</v>
      </c>
      <c r="B6" s="28" t="s">
        <v>5</v>
      </c>
      <c r="C6" s="28" t="s">
        <v>19</v>
      </c>
      <c r="D6" s="143"/>
      <c r="E6" s="143"/>
      <c r="F6" s="143"/>
      <c r="G6" s="145"/>
      <c r="H6" s="145"/>
    </row>
    <row r="7" spans="1:8">
      <c r="A7" s="16">
        <v>0</v>
      </c>
      <c r="B7" s="62">
        <v>-0.16666666666666666</v>
      </c>
      <c r="C7" s="16">
        <v>1</v>
      </c>
      <c r="D7" s="19">
        <v>9.1449999999999996</v>
      </c>
      <c r="E7" s="16">
        <v>9.09</v>
      </c>
      <c r="F7" s="16">
        <v>9.0150000000000006</v>
      </c>
      <c r="G7" s="19">
        <f>(C7*1000*AVERAGE(D7:F7)/$B$2)</f>
        <v>50.418146832445238</v>
      </c>
      <c r="H7" s="19">
        <f>(C7*1000*STDEV(D7:F7))/$B$2</f>
        <v>0.36221084869841136</v>
      </c>
    </row>
    <row r="8" spans="1:8">
      <c r="A8" s="16">
        <v>0</v>
      </c>
      <c r="B8" s="63">
        <v>0.16666666666666666</v>
      </c>
      <c r="C8" s="16">
        <v>1</v>
      </c>
      <c r="D8" s="16">
        <v>9.2289999999999992</v>
      </c>
      <c r="E8" s="16">
        <v>9.0609999999999999</v>
      </c>
      <c r="F8" s="16">
        <v>8.9939999999999998</v>
      </c>
      <c r="G8" s="19">
        <f t="shared" ref="G8:G17" si="0">(C8*1000*AVERAGE(D8:F8))/$B$2</f>
        <v>50.481053878034338</v>
      </c>
      <c r="H8" s="19">
        <f t="shared" ref="H8:H17" si="1">(C8*1000*STDEV(D8:F8))/$B$2</f>
        <v>0.67197682227443356</v>
      </c>
    </row>
    <row r="9" spans="1:8">
      <c r="A9" s="16">
        <v>1</v>
      </c>
      <c r="B9" s="63">
        <v>2</v>
      </c>
      <c r="C9" s="16">
        <v>1</v>
      </c>
      <c r="D9" s="19">
        <v>9.2159999999999993</v>
      </c>
      <c r="E9" s="16">
        <v>9.1159999999999997</v>
      </c>
      <c r="F9" s="19">
        <v>9.0920000000000005</v>
      </c>
      <c r="G9" s="19">
        <f t="shared" si="0"/>
        <v>50.740082889283606</v>
      </c>
      <c r="H9" s="19">
        <f t="shared" si="1"/>
        <v>0.36504921418408603</v>
      </c>
    </row>
    <row r="10" spans="1:8">
      <c r="A10" s="16">
        <v>2</v>
      </c>
      <c r="B10" s="63">
        <v>3.3333333333333335</v>
      </c>
      <c r="C10" s="16">
        <v>1</v>
      </c>
      <c r="D10" s="16">
        <v>9.1929999999999996</v>
      </c>
      <c r="E10" s="16">
        <v>9.2070000000000007</v>
      </c>
      <c r="F10" s="16">
        <v>9.1129999999999995</v>
      </c>
      <c r="G10" s="19">
        <f t="shared" si="0"/>
        <v>50.904751332149203</v>
      </c>
      <c r="H10" s="19">
        <f t="shared" si="1"/>
        <v>0.28149916370128947</v>
      </c>
    </row>
    <row r="11" spans="1:8">
      <c r="A11" s="16">
        <v>3</v>
      </c>
      <c r="B11" s="63">
        <v>4.666666666666667</v>
      </c>
      <c r="C11" s="16">
        <v>1</v>
      </c>
      <c r="D11" s="16">
        <v>9.2059999999999995</v>
      </c>
      <c r="E11" s="16">
        <v>9.18</v>
      </c>
      <c r="F11" s="16">
        <v>9.0890000000000004</v>
      </c>
      <c r="G11" s="19">
        <f t="shared" si="0"/>
        <v>50.834443457667263</v>
      </c>
      <c r="H11" s="19">
        <f t="shared" si="1"/>
        <v>0.34100579008261234</v>
      </c>
    </row>
    <row r="12" spans="1:8">
      <c r="A12" s="16">
        <v>4</v>
      </c>
      <c r="B12" s="63">
        <v>6</v>
      </c>
      <c r="C12" s="16">
        <v>1</v>
      </c>
      <c r="D12" s="19">
        <v>9.08</v>
      </c>
      <c r="E12" s="16">
        <v>9.0660000000000007</v>
      </c>
      <c r="F12" s="16">
        <v>9.0790000000000006</v>
      </c>
      <c r="G12" s="19">
        <f t="shared" si="0"/>
        <v>50.37189165186502</v>
      </c>
      <c r="H12" s="19">
        <f t="shared" si="1"/>
        <v>4.3351741096283411E-2</v>
      </c>
    </row>
    <row r="13" spans="1:8">
      <c r="A13" s="16">
        <v>5</v>
      </c>
      <c r="B13" s="63">
        <v>7.333333333333333</v>
      </c>
      <c r="C13" s="16">
        <v>1</v>
      </c>
      <c r="D13" s="19">
        <v>9.19</v>
      </c>
      <c r="E13" s="16">
        <v>9.1319999999999997</v>
      </c>
      <c r="F13" s="16">
        <v>9.0820000000000007</v>
      </c>
      <c r="G13" s="19">
        <f t="shared" si="0"/>
        <v>50.703078744819415</v>
      </c>
      <c r="H13" s="19">
        <f t="shared" si="1"/>
        <v>0.30000754971446225</v>
      </c>
    </row>
    <row r="14" spans="1:8">
      <c r="A14" s="16">
        <v>6</v>
      </c>
      <c r="B14" s="63">
        <v>8.6666666666666661</v>
      </c>
      <c r="C14" s="16">
        <v>1</v>
      </c>
      <c r="D14" s="16">
        <v>9.157</v>
      </c>
      <c r="E14" s="16">
        <v>9.157</v>
      </c>
      <c r="F14" s="16">
        <v>9.0429999999999993</v>
      </c>
      <c r="G14" s="19">
        <f t="shared" si="0"/>
        <v>50.616119005328599</v>
      </c>
      <c r="H14" s="19">
        <f t="shared" si="1"/>
        <v>0.36533043232469903</v>
      </c>
    </row>
    <row r="15" spans="1:8">
      <c r="A15" s="16">
        <v>7</v>
      </c>
      <c r="B15" s="63">
        <v>10</v>
      </c>
      <c r="C15" s="16">
        <v>1</v>
      </c>
      <c r="D15" s="16">
        <v>8.8849999999999998</v>
      </c>
      <c r="E15" s="16">
        <v>9.3239999999999998</v>
      </c>
      <c r="F15" s="19">
        <v>9.0120000000000005</v>
      </c>
      <c r="G15" s="19">
        <f t="shared" si="0"/>
        <v>50.364490822972172</v>
      </c>
      <c r="H15" s="19">
        <f t="shared" si="1"/>
        <v>1.25390415005123</v>
      </c>
    </row>
    <row r="16" spans="1:8">
      <c r="A16" s="16">
        <v>8</v>
      </c>
      <c r="B16" s="63">
        <v>11.333333333333334</v>
      </c>
      <c r="C16" s="16">
        <v>1</v>
      </c>
      <c r="D16" s="16">
        <v>9.0920000000000005</v>
      </c>
      <c r="E16" s="16">
        <v>9.1449999999999996</v>
      </c>
      <c r="F16" s="16">
        <v>8.8719999999999999</v>
      </c>
      <c r="G16" s="19">
        <f t="shared" si="0"/>
        <v>50.15726761397277</v>
      </c>
      <c r="H16" s="19">
        <f t="shared" si="1"/>
        <v>0.80352478211057354</v>
      </c>
    </row>
    <row r="17" spans="1:8">
      <c r="A17" s="16">
        <v>9</v>
      </c>
      <c r="B17" s="63">
        <v>12.666666666666666</v>
      </c>
      <c r="C17" s="16">
        <v>1</v>
      </c>
      <c r="D17" s="19">
        <v>9.02</v>
      </c>
      <c r="E17" s="16">
        <v>8.9529999999999994</v>
      </c>
      <c r="F17" s="16">
        <v>8.9809999999999999</v>
      </c>
      <c r="G17" s="19">
        <f t="shared" si="0"/>
        <v>49.87048549437538</v>
      </c>
      <c r="H17" s="19">
        <f t="shared" si="1"/>
        <v>0.18677931266869818</v>
      </c>
    </row>
    <row r="18" spans="1:8">
      <c r="A18" s="16">
        <v>10</v>
      </c>
      <c r="B18" s="63">
        <v>14</v>
      </c>
      <c r="C18" s="16">
        <v>1</v>
      </c>
      <c r="D18" s="19">
        <v>9.0500000000000007</v>
      </c>
      <c r="E18" s="16">
        <v>9.0150000000000006</v>
      </c>
      <c r="F18" s="16">
        <v>8.9990000000000006</v>
      </c>
      <c r="G18" s="19">
        <f t="shared" ref="G18:G23" si="2">(C18*1000*AVERAGE(D18:F18))/$B$2</f>
        <v>50.074008288928354</v>
      </c>
      <c r="H18" s="19">
        <f t="shared" ref="H18:H23" si="3">(C18*1000*STDEV(D18:F18))/$B$2</f>
        <v>0.14477797631357087</v>
      </c>
    </row>
    <row r="19" spans="1:8">
      <c r="A19" s="16">
        <v>11</v>
      </c>
      <c r="B19" s="63">
        <v>15.333333333333334</v>
      </c>
      <c r="C19" s="16">
        <v>1</v>
      </c>
      <c r="D19" s="16">
        <v>8.907</v>
      </c>
      <c r="E19" s="16">
        <v>8.9710000000000001</v>
      </c>
      <c r="F19" s="16">
        <v>8.9909999999999997</v>
      </c>
      <c r="G19" s="19">
        <f t="shared" si="2"/>
        <v>49.71321788040261</v>
      </c>
      <c r="H19" s="19">
        <f t="shared" si="3"/>
        <v>0.24355362154979696</v>
      </c>
    </row>
    <row r="20" spans="1:8">
      <c r="A20" s="16">
        <v>12</v>
      </c>
      <c r="B20" s="63">
        <v>16.666666666666668</v>
      </c>
      <c r="C20" s="16">
        <v>1</v>
      </c>
      <c r="D20" s="16">
        <v>8.593</v>
      </c>
      <c r="E20" s="16">
        <v>8.6980000000000004</v>
      </c>
      <c r="F20" s="19">
        <v>8.6120000000000001</v>
      </c>
      <c r="G20" s="19">
        <f t="shared" si="2"/>
        <v>47.925917702782705</v>
      </c>
      <c r="H20" s="19">
        <f t="shared" si="3"/>
        <v>0.31055385149409898</v>
      </c>
    </row>
    <row r="21" spans="1:8">
      <c r="A21" s="16">
        <v>13</v>
      </c>
      <c r="B21" s="63">
        <v>18</v>
      </c>
      <c r="C21" s="16">
        <v>1</v>
      </c>
      <c r="D21" s="16">
        <v>8.2330000000000005</v>
      </c>
      <c r="E21" s="19">
        <v>8.1229999999999993</v>
      </c>
      <c r="F21" s="16">
        <v>8.1679999999999993</v>
      </c>
      <c r="G21" s="19">
        <f t="shared" si="2"/>
        <v>45.374481941977507</v>
      </c>
      <c r="H21" s="19">
        <f t="shared" si="3"/>
        <v>0.30696159012428303</v>
      </c>
    </row>
    <row r="22" spans="1:8">
      <c r="A22" s="16">
        <v>14</v>
      </c>
      <c r="B22" s="63">
        <v>19.333333333333332</v>
      </c>
      <c r="C22" s="16">
        <v>1</v>
      </c>
      <c r="D22" s="16">
        <v>7.3280000000000003</v>
      </c>
      <c r="E22" s="16">
        <v>7.3979999999999997</v>
      </c>
      <c r="F22" s="16">
        <v>7.415</v>
      </c>
      <c r="G22" s="19">
        <f t="shared" si="2"/>
        <v>40.965438129070456</v>
      </c>
      <c r="H22" s="19">
        <f t="shared" si="3"/>
        <v>0.2559512769157587</v>
      </c>
    </row>
    <row r="23" spans="1:8">
      <c r="A23" s="16">
        <v>15</v>
      </c>
      <c r="B23" s="63">
        <v>24.166666666666668</v>
      </c>
      <c r="C23" s="16">
        <v>1</v>
      </c>
      <c r="D23" s="19">
        <v>5.3</v>
      </c>
      <c r="E23" s="16">
        <v>5.1740000000000004</v>
      </c>
      <c r="F23" s="16">
        <v>5.298</v>
      </c>
      <c r="G23" s="19">
        <f t="shared" si="2"/>
        <v>29.181468324452336</v>
      </c>
      <c r="H23" s="19">
        <f t="shared" si="3"/>
        <v>0.40062006838039194</v>
      </c>
    </row>
    <row r="24" spans="1:8">
      <c r="A24" s="16">
        <v>16</v>
      </c>
      <c r="B24" s="63">
        <v>30.166666666666668</v>
      </c>
      <c r="C24" s="16">
        <v>1</v>
      </c>
      <c r="D24" s="16">
        <v>5.1589999999999998</v>
      </c>
      <c r="E24" s="16">
        <v>5.157</v>
      </c>
      <c r="F24" s="16">
        <v>5.1109999999999998</v>
      </c>
      <c r="G24" s="19">
        <f t="shared" ref="G24:G25" si="4">(C24*1000*AVERAGE(D24:F24))/$B$2</f>
        <v>28.543146832445231</v>
      </c>
      <c r="H24" s="19">
        <f t="shared" ref="H24:H25" si="5">(C24*1000*STDEV(D24:F24))/$B$2</f>
        <v>0.15072092846666937</v>
      </c>
    </row>
    <row r="25" spans="1:8">
      <c r="A25" s="16">
        <v>17</v>
      </c>
      <c r="B25" s="63">
        <v>48.166666666666664</v>
      </c>
      <c r="C25" s="16">
        <v>1</v>
      </c>
      <c r="D25" s="19">
        <v>4.9400000000000004</v>
      </c>
      <c r="E25" s="16">
        <v>5.008</v>
      </c>
      <c r="F25" s="16">
        <v>5.048</v>
      </c>
      <c r="G25" s="19">
        <f t="shared" si="4"/>
        <v>27.745707519242156</v>
      </c>
      <c r="H25" s="19">
        <f t="shared" si="5"/>
        <v>0.3030727535441563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5"/>
  <sheetViews>
    <sheetView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65</v>
      </c>
      <c r="B2" s="17">
        <v>46.03</v>
      </c>
    </row>
    <row r="4" spans="1:8">
      <c r="A4" s="138" t="s">
        <v>65</v>
      </c>
      <c r="B4" s="139"/>
      <c r="C4" s="139"/>
      <c r="D4" s="139"/>
      <c r="E4" s="139"/>
      <c r="F4" s="139"/>
      <c r="G4" s="139"/>
      <c r="H4" s="140"/>
    </row>
    <row r="5" spans="1:8">
      <c r="A5" s="141" t="s">
        <v>62</v>
      </c>
      <c r="B5" s="139"/>
      <c r="C5" s="140"/>
      <c r="D5" s="142" t="s">
        <v>45</v>
      </c>
      <c r="E5" s="142" t="s">
        <v>46</v>
      </c>
      <c r="F5" s="142" t="s">
        <v>47</v>
      </c>
      <c r="G5" s="144" t="s">
        <v>63</v>
      </c>
      <c r="H5" s="144" t="s">
        <v>64</v>
      </c>
    </row>
    <row r="6" spans="1:8">
      <c r="A6" s="28" t="s">
        <v>4</v>
      </c>
      <c r="B6" s="28" t="s">
        <v>60</v>
      </c>
      <c r="C6" s="28" t="s">
        <v>19</v>
      </c>
      <c r="D6" s="143"/>
      <c r="E6" s="143"/>
      <c r="F6" s="143"/>
      <c r="G6" s="145"/>
      <c r="H6" s="145"/>
    </row>
    <row r="7" spans="1:8">
      <c r="A7" s="64">
        <v>0</v>
      </c>
      <c r="B7" s="62">
        <v>-0.16666666666666666</v>
      </c>
      <c r="C7" s="16">
        <v>1</v>
      </c>
      <c r="D7" s="56">
        <v>6.8000000000000005E-2</v>
      </c>
      <c r="E7" s="56">
        <v>6.5000000000000002E-2</v>
      </c>
      <c r="F7" s="56">
        <v>6.3E-2</v>
      </c>
      <c r="G7" s="16">
        <f>(C7*1000*AVERAGE(D7:F7))/$B$2</f>
        <v>1.4193641827793471</v>
      </c>
      <c r="H7" s="19">
        <f t="shared" ref="H7:H9" si="0">(C7*1000*STDEV(D7:F7))/$B$2</f>
        <v>5.4673288690497181E-2</v>
      </c>
    </row>
    <row r="8" spans="1:8">
      <c r="A8" s="65">
        <v>0</v>
      </c>
      <c r="B8" s="63">
        <v>0.16666666666666666</v>
      </c>
      <c r="C8" s="16">
        <v>1</v>
      </c>
      <c r="D8" s="56">
        <v>7.0000000000000007E-2</v>
      </c>
      <c r="E8" s="56">
        <v>7.0999999999999994E-2</v>
      </c>
      <c r="F8" s="56">
        <v>6.7000000000000004E-2</v>
      </c>
      <c r="G8" s="16">
        <f t="shared" ref="G8:G10" si="1">(C8*1000*AVERAGE(D8:F8))/$B$2</f>
        <v>1.5062640307046131</v>
      </c>
      <c r="H8" s="19">
        <f t="shared" si="0"/>
        <v>4.5224114696200933E-2</v>
      </c>
    </row>
    <row r="9" spans="1:8">
      <c r="A9" s="65">
        <v>1</v>
      </c>
      <c r="B9" s="63">
        <v>2</v>
      </c>
      <c r="C9" s="16">
        <v>1</v>
      </c>
      <c r="D9" s="56">
        <v>7.3999999999999996E-2</v>
      </c>
      <c r="E9" s="56">
        <v>7.0999999999999994E-2</v>
      </c>
      <c r="F9" s="56">
        <v>7.3999999999999996E-2</v>
      </c>
      <c r="G9" s="16">
        <f t="shared" si="1"/>
        <v>1.5859222246361069</v>
      </c>
      <c r="H9" s="19">
        <f t="shared" si="0"/>
        <v>3.7628737944142496E-2</v>
      </c>
    </row>
    <row r="10" spans="1:8">
      <c r="A10" s="65">
        <v>2</v>
      </c>
      <c r="B10" s="63">
        <v>3.3333333333333335</v>
      </c>
      <c r="C10" s="16">
        <v>1</v>
      </c>
      <c r="D10" s="56">
        <v>8.3000000000000004E-2</v>
      </c>
      <c r="E10" s="56">
        <v>0.08</v>
      </c>
      <c r="F10" s="56">
        <v>7.8E-2</v>
      </c>
      <c r="G10" s="16">
        <f t="shared" si="1"/>
        <v>1.7452386124990946</v>
      </c>
      <c r="H10" s="19">
        <f t="shared" ref="H10:H23" si="2">(C10*1000*STDEV(D10:F10))/$B$2</f>
        <v>5.4673288690497181E-2</v>
      </c>
    </row>
    <row r="11" spans="1:8">
      <c r="A11" s="65">
        <v>3</v>
      </c>
      <c r="B11" s="63">
        <v>4.666666666666667</v>
      </c>
      <c r="C11" s="16">
        <v>1</v>
      </c>
      <c r="D11" s="56">
        <v>8.6999999999999994E-2</v>
      </c>
      <c r="E11" s="56">
        <v>8.8999999999999996E-2</v>
      </c>
      <c r="F11" s="56">
        <v>8.8999999999999996E-2</v>
      </c>
      <c r="G11" s="16">
        <f t="shared" ref="G11:G23" si="3">(C11*1000*AVERAGE(D11:F11))/$B$2</f>
        <v>1.919038308349627</v>
      </c>
      <c r="H11" s="19">
        <f t="shared" si="2"/>
        <v>2.5085825296094995E-2</v>
      </c>
    </row>
    <row r="12" spans="1:8">
      <c r="A12" s="65">
        <v>4</v>
      </c>
      <c r="B12" s="63">
        <v>6</v>
      </c>
      <c r="C12" s="16">
        <v>1</v>
      </c>
      <c r="D12" s="56">
        <v>9.8000000000000004E-2</v>
      </c>
      <c r="E12" s="56">
        <v>9.7000000000000003E-2</v>
      </c>
      <c r="F12" s="56">
        <v>9.6000000000000002E-2</v>
      </c>
      <c r="G12" s="16">
        <f t="shared" si="3"/>
        <v>2.1073213121877039</v>
      </c>
      <c r="H12" s="19">
        <f t="shared" si="2"/>
        <v>2.172496198131655E-2</v>
      </c>
    </row>
    <row r="13" spans="1:8">
      <c r="A13" s="65">
        <v>5</v>
      </c>
      <c r="B13" s="63">
        <v>7.333333333333333</v>
      </c>
      <c r="C13" s="16">
        <v>1</v>
      </c>
      <c r="D13" s="56">
        <v>0.10199999999999999</v>
      </c>
      <c r="E13" s="56">
        <v>0.10100000000000001</v>
      </c>
      <c r="F13" s="56">
        <v>9.9000000000000005E-2</v>
      </c>
      <c r="G13" s="16">
        <f t="shared" si="3"/>
        <v>2.1869795061191981</v>
      </c>
      <c r="H13" s="19">
        <f t="shared" si="2"/>
        <v>3.3185427583140172E-2</v>
      </c>
    </row>
    <row r="14" spans="1:8">
      <c r="A14" s="65">
        <v>6</v>
      </c>
      <c r="B14" s="63">
        <v>8.6666666666666661</v>
      </c>
      <c r="C14" s="16">
        <v>1</v>
      </c>
      <c r="D14" s="56">
        <v>0.105</v>
      </c>
      <c r="E14" s="56">
        <v>0.106</v>
      </c>
      <c r="F14" s="56">
        <v>9.7000000000000003E-2</v>
      </c>
      <c r="G14" s="16">
        <f t="shared" si="3"/>
        <v>2.2304294300818306</v>
      </c>
      <c r="H14" s="19">
        <f t="shared" si="2"/>
        <v>0.10716669264210828</v>
      </c>
    </row>
    <row r="15" spans="1:8">
      <c r="A15" s="65">
        <v>7</v>
      </c>
      <c r="B15" s="63">
        <v>10</v>
      </c>
      <c r="C15" s="16">
        <v>1</v>
      </c>
      <c r="D15" s="56">
        <v>0.107</v>
      </c>
      <c r="E15" s="56">
        <v>0.115</v>
      </c>
      <c r="F15" s="56">
        <v>0.108</v>
      </c>
      <c r="G15" s="16">
        <f t="shared" si="3"/>
        <v>2.3897458179448186</v>
      </c>
      <c r="H15" s="19">
        <f t="shared" si="2"/>
        <v>9.4696913828822019E-2</v>
      </c>
    </row>
    <row r="16" spans="1:8">
      <c r="A16" s="65">
        <v>8</v>
      </c>
      <c r="B16" s="63">
        <v>11.333333333333334</v>
      </c>
      <c r="C16" s="16">
        <v>1</v>
      </c>
      <c r="D16" s="56">
        <v>0.115</v>
      </c>
      <c r="E16" s="56">
        <v>0.11899999999999999</v>
      </c>
      <c r="F16" s="56">
        <v>0.11600000000000001</v>
      </c>
      <c r="G16" s="16">
        <f t="shared" si="3"/>
        <v>2.5345788978202619</v>
      </c>
      <c r="H16" s="19">
        <f t="shared" si="2"/>
        <v>4.5224114696200884E-2</v>
      </c>
    </row>
    <row r="17" spans="1:8">
      <c r="A17" s="65">
        <v>9</v>
      </c>
      <c r="B17" s="63">
        <v>12.666666666666666</v>
      </c>
      <c r="C17" s="16">
        <v>1</v>
      </c>
      <c r="D17" s="56">
        <v>0.125</v>
      </c>
      <c r="E17" s="56">
        <v>0.127</v>
      </c>
      <c r="F17" s="56">
        <v>0.13</v>
      </c>
      <c r="G17" s="16">
        <f t="shared" si="3"/>
        <v>2.7663118256209716</v>
      </c>
      <c r="H17" s="19">
        <f t="shared" si="2"/>
        <v>5.4673288690497181E-2</v>
      </c>
    </row>
    <row r="18" spans="1:8">
      <c r="A18" s="65">
        <v>10</v>
      </c>
      <c r="B18" s="63">
        <v>14</v>
      </c>
      <c r="C18" s="16">
        <v>1</v>
      </c>
      <c r="D18" s="56">
        <v>0.14099999999999999</v>
      </c>
      <c r="E18" s="56">
        <v>0.14299999999999999</v>
      </c>
      <c r="F18" s="56">
        <v>0.14000000000000001</v>
      </c>
      <c r="G18" s="16">
        <f t="shared" si="3"/>
        <v>3.0704612933594033</v>
      </c>
      <c r="H18" s="19">
        <f t="shared" si="2"/>
        <v>3.3185427583140033E-2</v>
      </c>
    </row>
    <row r="19" spans="1:8">
      <c r="A19" s="65">
        <v>11</v>
      </c>
      <c r="B19" s="63">
        <v>15.333333333333334</v>
      </c>
      <c r="C19" s="16">
        <v>1</v>
      </c>
      <c r="D19" s="56">
        <v>0.16600000000000001</v>
      </c>
      <c r="E19" s="56">
        <v>0.17100000000000001</v>
      </c>
      <c r="F19" s="56">
        <v>0.17199999999999999</v>
      </c>
      <c r="G19" s="16">
        <f t="shared" si="3"/>
        <v>3.686001882830038</v>
      </c>
      <c r="H19" s="19">
        <f t="shared" si="2"/>
        <v>6.9835982047888573E-2</v>
      </c>
    </row>
    <row r="20" spans="1:8">
      <c r="A20" s="65">
        <v>12</v>
      </c>
      <c r="B20" s="63">
        <v>16.666666666666668</v>
      </c>
      <c r="C20" s="16">
        <v>1</v>
      </c>
      <c r="D20" s="56">
        <v>0.24</v>
      </c>
      <c r="E20" s="56">
        <v>0.24199999999999999</v>
      </c>
      <c r="F20" s="56">
        <v>0.23599999999999999</v>
      </c>
      <c r="G20" s="16">
        <f t="shared" si="3"/>
        <v>5.199507567528423</v>
      </c>
      <c r="H20" s="19">
        <f t="shared" si="2"/>
        <v>6.6370855166280593E-2</v>
      </c>
    </row>
    <row r="21" spans="1:8">
      <c r="A21" s="65">
        <v>13</v>
      </c>
      <c r="B21" s="63">
        <v>18</v>
      </c>
      <c r="C21" s="16">
        <v>1</v>
      </c>
      <c r="D21" s="108">
        <v>0.36699999999999999</v>
      </c>
      <c r="E21" s="108">
        <v>0.37</v>
      </c>
      <c r="F21" s="108">
        <v>0.371</v>
      </c>
      <c r="G21" s="16">
        <f t="shared" si="3"/>
        <v>8.0237526250995739</v>
      </c>
      <c r="H21" s="19">
        <f t="shared" si="2"/>
        <v>4.5224114696201058E-2</v>
      </c>
    </row>
    <row r="22" spans="1:8">
      <c r="A22" s="65">
        <v>14</v>
      </c>
      <c r="B22" s="63">
        <v>19.333333333333332</v>
      </c>
      <c r="C22" s="16">
        <v>1</v>
      </c>
      <c r="D22" s="108">
        <v>0.51700000000000002</v>
      </c>
      <c r="E22" s="108">
        <v>0.51800000000000002</v>
      </c>
      <c r="F22" s="108">
        <v>0.52</v>
      </c>
      <c r="G22" s="16">
        <f t="shared" si="3"/>
        <v>11.260771960315736</v>
      </c>
      <c r="H22" s="19">
        <f t="shared" si="2"/>
        <v>3.3185427583140296E-2</v>
      </c>
    </row>
    <row r="23" spans="1:8">
      <c r="A23" s="65">
        <v>15</v>
      </c>
      <c r="B23" s="63">
        <v>24.166666666666668</v>
      </c>
      <c r="C23" s="16">
        <v>1</v>
      </c>
      <c r="D23" s="108">
        <v>1.0469999999999999</v>
      </c>
      <c r="E23" s="108">
        <v>1.02</v>
      </c>
      <c r="F23" s="108">
        <v>1.04</v>
      </c>
      <c r="G23" s="16">
        <f t="shared" si="3"/>
        <v>22.499818958650156</v>
      </c>
      <c r="H23" s="19">
        <f t="shared" si="2"/>
        <v>0.30440798836966693</v>
      </c>
    </row>
    <row r="24" spans="1:8">
      <c r="A24" s="65">
        <v>16</v>
      </c>
      <c r="B24" s="63">
        <v>30.166666666666668</v>
      </c>
      <c r="C24" s="16">
        <v>1</v>
      </c>
      <c r="D24" s="108">
        <v>1.0649999999999999</v>
      </c>
      <c r="E24" s="108">
        <v>1.0649999999999999</v>
      </c>
      <c r="F24" s="108">
        <v>1.0509999999999999</v>
      </c>
      <c r="G24" s="16">
        <f t="shared" ref="G24" si="4">(C24*1000*AVERAGE(D24:F24))/$B$2</f>
        <v>23.035701354189296</v>
      </c>
      <c r="H24" s="19">
        <f t="shared" ref="H24" si="5">(C24*1000*STDEV(D24:F24))/$B$2</f>
        <v>0.17560077707266492</v>
      </c>
    </row>
    <row r="25" spans="1:8">
      <c r="A25" s="65">
        <v>17</v>
      </c>
      <c r="B25" s="63">
        <v>48.166666666666664</v>
      </c>
      <c r="C25" s="16">
        <v>1</v>
      </c>
      <c r="D25" s="108">
        <v>1.032</v>
      </c>
      <c r="E25" s="108">
        <v>1.0580000000000001</v>
      </c>
      <c r="F25" s="108">
        <v>1.0640000000000001</v>
      </c>
      <c r="G25" s="16">
        <f>(C25*1000*AVERAGE(E25:F25))/$B$2</f>
        <v>23.050184662176839</v>
      </c>
      <c r="H25" s="19">
        <f>(C25*1000*STDEV(E25:F25))/$B$2</f>
        <v>9.2171207628053212E-2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138" t="s">
        <v>43</v>
      </c>
      <c r="B4" s="139"/>
      <c r="C4" s="139"/>
      <c r="D4" s="139"/>
      <c r="E4" s="139"/>
      <c r="F4" s="139"/>
      <c r="G4" s="139"/>
      <c r="H4" s="140"/>
    </row>
    <row r="5" spans="1:8">
      <c r="A5" s="141" t="s">
        <v>62</v>
      </c>
      <c r="B5" s="139"/>
      <c r="C5" s="140"/>
      <c r="D5" s="142" t="s">
        <v>45</v>
      </c>
      <c r="E5" s="142" t="s">
        <v>46</v>
      </c>
      <c r="F5" s="142" t="s">
        <v>47</v>
      </c>
      <c r="G5" s="144" t="s">
        <v>63</v>
      </c>
      <c r="H5" s="144" t="s">
        <v>64</v>
      </c>
    </row>
    <row r="6" spans="1:8">
      <c r="A6" s="22" t="s">
        <v>4</v>
      </c>
      <c r="B6" s="22" t="s">
        <v>60</v>
      </c>
      <c r="C6" s="22" t="s">
        <v>19</v>
      </c>
      <c r="D6" s="143"/>
      <c r="E6" s="143"/>
      <c r="F6" s="143"/>
      <c r="G6" s="145"/>
      <c r="H6" s="145"/>
    </row>
    <row r="7" spans="1:8">
      <c r="A7" s="64">
        <v>0</v>
      </c>
      <c r="B7" s="62">
        <v>-0.16666666666666666</v>
      </c>
      <c r="C7" s="16">
        <v>1</v>
      </c>
      <c r="D7" s="19">
        <v>2.9710000000000001</v>
      </c>
      <c r="E7" s="19">
        <v>2.964</v>
      </c>
      <c r="F7" s="19">
        <v>2.9529999999999998</v>
      </c>
      <c r="G7" s="16">
        <f>(C7*1000*AVERAGE(D7:F7))/$B$2</f>
        <v>49.336663891201781</v>
      </c>
      <c r="H7" s="19">
        <f>(C7*1000*STDEV(D7:F7))/$B$2</f>
        <v>0.15110360909038442</v>
      </c>
    </row>
    <row r="8" spans="1:8">
      <c r="A8" s="65">
        <v>0</v>
      </c>
      <c r="B8" s="63">
        <v>0.16666666666666666</v>
      </c>
      <c r="C8" s="16">
        <v>1</v>
      </c>
      <c r="D8" s="19">
        <v>3.0070000000000001</v>
      </c>
      <c r="E8" s="19">
        <v>2.9620000000000002</v>
      </c>
      <c r="F8" s="19">
        <v>2.944</v>
      </c>
      <c r="G8" s="16">
        <f t="shared" ref="G8:G17" si="0">(C8*1000*AVERAGE(D8:F8))/$B$2</f>
        <v>49.475437135720234</v>
      </c>
      <c r="H8" s="19">
        <f t="shared" ref="H8:H17" si="1">(C8*1000*STDEV(D8:F8))/$B$2</f>
        <v>0.54038237267570299</v>
      </c>
    </row>
    <row r="9" spans="1:8">
      <c r="A9" s="65">
        <v>1</v>
      </c>
      <c r="B9" s="63">
        <v>2</v>
      </c>
      <c r="C9" s="16">
        <v>1</v>
      </c>
      <c r="D9" s="19">
        <v>3.0059999999999998</v>
      </c>
      <c r="E9" s="19">
        <v>2.9769999999999999</v>
      </c>
      <c r="F9" s="19">
        <v>2.9540000000000002</v>
      </c>
      <c r="G9" s="16">
        <f t="shared" si="0"/>
        <v>49.608659450457949</v>
      </c>
      <c r="H9" s="19">
        <f t="shared" si="1"/>
        <v>0.43393219719551329</v>
      </c>
    </row>
    <row r="10" spans="1:8">
      <c r="A10" s="65">
        <v>2</v>
      </c>
      <c r="B10" s="63">
        <v>3.3333333333333335</v>
      </c>
      <c r="C10" s="16">
        <v>1</v>
      </c>
      <c r="D10" s="19">
        <v>2.9860000000000002</v>
      </c>
      <c r="E10" s="19">
        <v>2.992</v>
      </c>
      <c r="F10" s="19">
        <v>2.97</v>
      </c>
      <c r="G10" s="16">
        <f t="shared" si="0"/>
        <v>49.669719678046079</v>
      </c>
      <c r="H10" s="19">
        <f t="shared" si="1"/>
        <v>0.18938353715494707</v>
      </c>
    </row>
    <row r="11" spans="1:8">
      <c r="A11" s="65">
        <v>3</v>
      </c>
      <c r="B11" s="63">
        <v>4.666666666666667</v>
      </c>
      <c r="C11" s="16">
        <v>1</v>
      </c>
      <c r="D11" s="19">
        <v>3</v>
      </c>
      <c r="E11" s="19">
        <v>2.97</v>
      </c>
      <c r="F11" s="19">
        <v>2.95</v>
      </c>
      <c r="G11" s="16">
        <f t="shared" si="0"/>
        <v>49.514293644185415</v>
      </c>
      <c r="H11" s="19">
        <f t="shared" si="1"/>
        <v>0.41908600806387569</v>
      </c>
    </row>
    <row r="12" spans="1:8">
      <c r="A12" s="65">
        <v>4</v>
      </c>
      <c r="B12" s="63">
        <v>6</v>
      </c>
      <c r="C12" s="16">
        <v>1</v>
      </c>
      <c r="D12" s="19">
        <v>2.9249999999999998</v>
      </c>
      <c r="E12" s="19">
        <v>2.9420000000000002</v>
      </c>
      <c r="F12" s="19">
        <v>2.9319999999999999</v>
      </c>
      <c r="G12" s="16">
        <f t="shared" si="0"/>
        <v>48.842631140716072</v>
      </c>
      <c r="H12" s="19">
        <f t="shared" si="1"/>
        <v>0.14228149450987024</v>
      </c>
    </row>
    <row r="13" spans="1:8">
      <c r="A13" s="65">
        <v>5</v>
      </c>
      <c r="B13" s="63">
        <v>7.333333333333333</v>
      </c>
      <c r="C13" s="16">
        <v>1</v>
      </c>
      <c r="D13" s="19">
        <v>2.95</v>
      </c>
      <c r="E13" s="19">
        <v>2.952</v>
      </c>
      <c r="F13" s="19">
        <v>2.9220000000000002</v>
      </c>
      <c r="G13" s="16">
        <f t="shared" si="0"/>
        <v>48.981404385234526</v>
      </c>
      <c r="H13" s="19">
        <f t="shared" si="1"/>
        <v>0.27931713850478124</v>
      </c>
    </row>
    <row r="14" spans="1:8">
      <c r="A14" s="65">
        <v>6</v>
      </c>
      <c r="B14" s="63">
        <v>8.6666666666666661</v>
      </c>
      <c r="C14" s="16">
        <v>1</v>
      </c>
      <c r="D14" s="19">
        <v>2.9319999999999999</v>
      </c>
      <c r="E14" s="19">
        <v>2.952</v>
      </c>
      <c r="F14" s="19">
        <v>2.91</v>
      </c>
      <c r="G14" s="16">
        <f t="shared" si="0"/>
        <v>48.814876491812385</v>
      </c>
      <c r="H14" s="19">
        <f t="shared" si="1"/>
        <v>0.34984071621623447</v>
      </c>
    </row>
    <row r="15" spans="1:8">
      <c r="A15" s="65">
        <v>7</v>
      </c>
      <c r="B15" s="63">
        <v>10</v>
      </c>
      <c r="C15" s="16">
        <v>1</v>
      </c>
      <c r="D15" s="19">
        <v>2.835</v>
      </c>
      <c r="E15" s="19">
        <v>2.9550000000000001</v>
      </c>
      <c r="F15" s="19">
        <v>2.8919999999999999</v>
      </c>
      <c r="G15" s="16">
        <f t="shared" si="0"/>
        <v>48.193172356369693</v>
      </c>
      <c r="H15" s="19">
        <f t="shared" si="1"/>
        <v>0.99958359356928783</v>
      </c>
    </row>
    <row r="16" spans="1:8">
      <c r="A16" s="65">
        <v>8</v>
      </c>
      <c r="B16" s="63">
        <v>11.333333333333334</v>
      </c>
      <c r="C16" s="16">
        <v>1</v>
      </c>
      <c r="D16" s="19">
        <v>2.8959999999999999</v>
      </c>
      <c r="E16" s="19">
        <v>2.9169999999999998</v>
      </c>
      <c r="F16" s="19">
        <v>2.8620000000000001</v>
      </c>
      <c r="G16" s="16">
        <f t="shared" si="0"/>
        <v>48.154315847904535</v>
      </c>
      <c r="H16" s="19">
        <f t="shared" si="1"/>
        <v>0.462196160714205</v>
      </c>
    </row>
    <row r="17" spans="1:8">
      <c r="A17" s="65">
        <v>9</v>
      </c>
      <c r="B17" s="63">
        <v>12.666666666666666</v>
      </c>
      <c r="C17" s="16">
        <v>1</v>
      </c>
      <c r="D17" s="19">
        <v>2.887</v>
      </c>
      <c r="E17" s="19">
        <v>2.847</v>
      </c>
      <c r="F17" s="19">
        <v>2.84</v>
      </c>
      <c r="G17" s="16">
        <f t="shared" si="0"/>
        <v>47.593671940049958</v>
      </c>
      <c r="H17" s="19">
        <f t="shared" si="1"/>
        <v>0.42227218428329721</v>
      </c>
    </row>
    <row r="18" spans="1:8">
      <c r="A18" s="65">
        <v>10</v>
      </c>
      <c r="B18" s="63">
        <v>14</v>
      </c>
      <c r="C18" s="16">
        <v>1</v>
      </c>
      <c r="D18" s="19">
        <v>2.843</v>
      </c>
      <c r="E18" s="19">
        <v>2.8359999999999999</v>
      </c>
      <c r="F18" s="19">
        <v>2.84</v>
      </c>
      <c r="G18" s="16">
        <f t="shared" ref="G18:G23" si="2">(C18*1000*AVERAGE(D18:F18))/$B$2</f>
        <v>47.288370802109355</v>
      </c>
      <c r="H18" s="19">
        <f t="shared" ref="H18:H23" si="3">(C18*1000*STDEV(D18:F18))/$B$2</f>
        <v>5.8482674176258152E-2</v>
      </c>
    </row>
    <row r="19" spans="1:8">
      <c r="A19" s="65">
        <v>11</v>
      </c>
      <c r="B19" s="63">
        <v>15.333333333333334</v>
      </c>
      <c r="C19" s="16">
        <v>1</v>
      </c>
      <c r="D19" s="19">
        <v>2.8069999999999999</v>
      </c>
      <c r="E19" s="19">
        <v>2.835</v>
      </c>
      <c r="F19" s="19">
        <v>2.8250000000000002</v>
      </c>
      <c r="G19" s="16">
        <f t="shared" si="2"/>
        <v>46.999722453510962</v>
      </c>
      <c r="H19" s="19">
        <f t="shared" si="3"/>
        <v>0.23628972138543231</v>
      </c>
    </row>
    <row r="20" spans="1:8">
      <c r="A20" s="65">
        <v>12</v>
      </c>
      <c r="B20" s="63">
        <v>16.666666666666668</v>
      </c>
      <c r="C20" s="16">
        <v>1</v>
      </c>
      <c r="D20" s="19">
        <v>2.722</v>
      </c>
      <c r="E20" s="19">
        <v>2.7149999999999999</v>
      </c>
      <c r="F20" s="19">
        <v>2.734</v>
      </c>
      <c r="G20" s="16">
        <f t="shared" si="2"/>
        <v>45.356647238412435</v>
      </c>
      <c r="H20" s="19">
        <f t="shared" si="3"/>
        <v>0.16001704474493103</v>
      </c>
    </row>
    <row r="21" spans="1:8">
      <c r="A21" s="65">
        <v>13</v>
      </c>
      <c r="B21" s="63">
        <v>18</v>
      </c>
      <c r="C21" s="16">
        <v>1</v>
      </c>
      <c r="D21" s="19">
        <v>2.661</v>
      </c>
      <c r="E21" s="19">
        <v>2.581</v>
      </c>
      <c r="F21" s="19">
        <v>2.617</v>
      </c>
      <c r="G21" s="16">
        <f t="shared" si="2"/>
        <v>43.624757146822098</v>
      </c>
      <c r="H21" s="19">
        <f t="shared" si="3"/>
        <v>0.66722083602849769</v>
      </c>
    </row>
    <row r="22" spans="1:8">
      <c r="A22" s="65">
        <v>14</v>
      </c>
      <c r="B22" s="63">
        <v>19.333333333333332</v>
      </c>
      <c r="C22" s="16">
        <v>1</v>
      </c>
      <c r="D22" s="19">
        <v>2.383</v>
      </c>
      <c r="E22" s="19">
        <v>2.4079999999999999</v>
      </c>
      <c r="F22" s="19">
        <v>2.4329999999999998</v>
      </c>
      <c r="G22" s="16">
        <f t="shared" si="2"/>
        <v>40.099916736053288</v>
      </c>
      <c r="H22" s="19">
        <f t="shared" si="3"/>
        <v>0.41631973355536905</v>
      </c>
    </row>
    <row r="23" spans="1:8">
      <c r="A23" s="65">
        <v>15</v>
      </c>
      <c r="B23" s="63">
        <v>24.166666666666668</v>
      </c>
      <c r="C23" s="16">
        <v>1</v>
      </c>
      <c r="D23" s="19">
        <v>2.0859999999999999</v>
      </c>
      <c r="E23" s="19">
        <v>2.0529999999999999</v>
      </c>
      <c r="F23" s="19">
        <v>2.11</v>
      </c>
      <c r="G23" s="16">
        <f t="shared" si="2"/>
        <v>34.68776019983347</v>
      </c>
      <c r="H23" s="19">
        <f t="shared" si="3"/>
        <v>0.47657245699431033</v>
      </c>
    </row>
    <row r="24" spans="1:8">
      <c r="A24" s="65">
        <v>16</v>
      </c>
      <c r="B24" s="63">
        <v>30.166666666666668</v>
      </c>
      <c r="C24" s="16">
        <v>1</v>
      </c>
      <c r="D24" s="19">
        <v>2.1040000000000001</v>
      </c>
      <c r="E24" s="19">
        <v>2.0670000000000002</v>
      </c>
      <c r="F24" s="19">
        <v>2.0510000000000002</v>
      </c>
      <c r="G24" s="16">
        <f t="shared" ref="G24:G25" si="4">(C24*1000*AVERAGE(D24:F24))/$B$2</f>
        <v>34.537885095753545</v>
      </c>
      <c r="H24" s="19">
        <f t="shared" ref="H24:H25" si="5">(C24*1000*STDEV(D24:F24))/$B$2</f>
        <v>0.45269865842025536</v>
      </c>
    </row>
    <row r="25" spans="1:8">
      <c r="A25" s="65">
        <v>17</v>
      </c>
      <c r="B25" s="63">
        <v>48.166666666666664</v>
      </c>
      <c r="C25" s="16">
        <v>1</v>
      </c>
      <c r="D25" s="19">
        <v>2.0880000000000001</v>
      </c>
      <c r="E25" s="19">
        <v>2.0830000000000002</v>
      </c>
      <c r="F25" s="19">
        <v>2.1030000000000002</v>
      </c>
      <c r="G25" s="16">
        <f t="shared" si="4"/>
        <v>34.826533444351931</v>
      </c>
      <c r="H25" s="19">
        <f t="shared" si="5"/>
        <v>0.17332772684980335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5"/>
  <sheetViews>
    <sheetView workbookViewId="0">
      <selection activeCell="B7" sqref="B7:B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67</v>
      </c>
      <c r="B2" s="17">
        <v>74.08</v>
      </c>
    </row>
    <row r="4" spans="1:8">
      <c r="A4" s="138" t="s">
        <v>67</v>
      </c>
      <c r="B4" s="139"/>
      <c r="C4" s="139"/>
      <c r="D4" s="139"/>
      <c r="E4" s="139"/>
      <c r="F4" s="139"/>
      <c r="G4" s="139"/>
      <c r="H4" s="140"/>
    </row>
    <row r="5" spans="1:8">
      <c r="A5" s="141" t="s">
        <v>62</v>
      </c>
      <c r="B5" s="139"/>
      <c r="C5" s="140"/>
      <c r="D5" s="142" t="s">
        <v>45</v>
      </c>
      <c r="E5" s="142" t="s">
        <v>46</v>
      </c>
      <c r="F5" s="142" t="s">
        <v>47</v>
      </c>
      <c r="G5" s="144" t="s">
        <v>63</v>
      </c>
      <c r="H5" s="144" t="s">
        <v>64</v>
      </c>
    </row>
    <row r="6" spans="1:8">
      <c r="A6" s="28" t="s">
        <v>4</v>
      </c>
      <c r="B6" s="28" t="s">
        <v>60</v>
      </c>
      <c r="C6" s="28" t="s">
        <v>19</v>
      </c>
      <c r="D6" s="143"/>
      <c r="E6" s="143"/>
      <c r="F6" s="143"/>
      <c r="G6" s="145"/>
      <c r="H6" s="145"/>
    </row>
    <row r="7" spans="1:8">
      <c r="A7" s="64">
        <v>0</v>
      </c>
      <c r="B7" s="62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65">
        <v>0</v>
      </c>
      <c r="B8" s="63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5">
        <v>1</v>
      </c>
      <c r="B9" s="63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5">
        <v>2</v>
      </c>
      <c r="B10" s="63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5">
        <v>3</v>
      </c>
      <c r="B11" s="63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5">
        <v>4</v>
      </c>
      <c r="B12" s="63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5">
        <v>5</v>
      </c>
      <c r="B13" s="63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5">
        <v>6</v>
      </c>
      <c r="B14" s="63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5">
        <v>7</v>
      </c>
      <c r="B15" s="63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5">
        <v>8</v>
      </c>
      <c r="B16" s="63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5">
        <v>9</v>
      </c>
      <c r="B17" s="63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5">
        <v>10</v>
      </c>
      <c r="B18" s="63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5">
        <v>11</v>
      </c>
      <c r="B19" s="63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5">
        <v>12</v>
      </c>
      <c r="B20" s="63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5">
        <v>13</v>
      </c>
      <c r="B21" s="63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5">
        <v>14</v>
      </c>
      <c r="B22" s="63">
        <v>19.333333333333332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5">
        <v>15</v>
      </c>
      <c r="B23" s="63">
        <v>24.166666666666668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5">
        <v>16</v>
      </c>
      <c r="B24" s="63">
        <v>30.166666666666668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:G25" si="4">(C24*1000*AVERAGE(D24:F24))/$B$2</f>
        <v>0</v>
      </c>
      <c r="H24" s="19">
        <f t="shared" ref="H24:H25" si="5">(C24*1000*STDEV(D24:F24))/$B$2</f>
        <v>0</v>
      </c>
    </row>
    <row r="25" spans="1:8">
      <c r="A25" s="65">
        <v>17</v>
      </c>
      <c r="B25" s="63">
        <v>48.166666666666664</v>
      </c>
      <c r="C25" s="16">
        <v>4</v>
      </c>
      <c r="D25" s="18">
        <v>0</v>
      </c>
      <c r="E25" s="18">
        <v>0</v>
      </c>
      <c r="F25" s="18">
        <v>0</v>
      </c>
      <c r="G25" s="16">
        <f t="shared" si="4"/>
        <v>0</v>
      </c>
      <c r="H25" s="19">
        <f t="shared" si="5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5"/>
  <sheetViews>
    <sheetView topLeftCell="A3"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66</v>
      </c>
      <c r="B2" s="17">
        <v>88.11</v>
      </c>
    </row>
    <row r="4" spans="1:8">
      <c r="A4" s="138" t="s">
        <v>66</v>
      </c>
      <c r="B4" s="139"/>
      <c r="C4" s="139"/>
      <c r="D4" s="139"/>
      <c r="E4" s="139"/>
      <c r="F4" s="139"/>
      <c r="G4" s="139"/>
      <c r="H4" s="140"/>
    </row>
    <row r="5" spans="1:8">
      <c r="A5" s="141" t="s">
        <v>62</v>
      </c>
      <c r="B5" s="139"/>
      <c r="C5" s="140"/>
      <c r="D5" s="142" t="s">
        <v>45</v>
      </c>
      <c r="E5" s="142" t="s">
        <v>46</v>
      </c>
      <c r="F5" s="142" t="s">
        <v>47</v>
      </c>
      <c r="G5" s="144" t="s">
        <v>63</v>
      </c>
      <c r="H5" s="144" t="s">
        <v>64</v>
      </c>
    </row>
    <row r="6" spans="1:8">
      <c r="A6" s="28" t="s">
        <v>4</v>
      </c>
      <c r="B6" s="28" t="s">
        <v>60</v>
      </c>
      <c r="C6" s="28" t="s">
        <v>19</v>
      </c>
      <c r="D6" s="143"/>
      <c r="E6" s="143"/>
      <c r="F6" s="143"/>
      <c r="G6" s="145"/>
      <c r="H6" s="145"/>
    </row>
    <row r="7" spans="1:8">
      <c r="A7" s="64">
        <v>0</v>
      </c>
      <c r="B7" s="62">
        <v>-0.16666666666666666</v>
      </c>
      <c r="C7" s="16">
        <v>1</v>
      </c>
      <c r="D7" s="106">
        <v>0</v>
      </c>
      <c r="E7" s="107">
        <v>0</v>
      </c>
      <c r="F7" s="107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5">
        <v>0</v>
      </c>
      <c r="B8" s="63">
        <v>0.16666666666666666</v>
      </c>
      <c r="C8" s="16">
        <v>1</v>
      </c>
      <c r="D8" s="106">
        <v>0</v>
      </c>
      <c r="E8" s="107">
        <v>0</v>
      </c>
      <c r="F8" s="107">
        <v>0</v>
      </c>
      <c r="G8" s="16">
        <f>(C8*1000*AVERAGE(D8:F8))/$B$2</f>
        <v>0</v>
      </c>
      <c r="H8" s="19">
        <f t="shared" ref="H8:H17" si="0">(C8*1000*STDEV(D8:F8))/$B$2</f>
        <v>0</v>
      </c>
    </row>
    <row r="9" spans="1:8">
      <c r="A9" s="65">
        <v>1</v>
      </c>
      <c r="B9" s="63">
        <v>2</v>
      </c>
      <c r="C9" s="16">
        <v>1</v>
      </c>
      <c r="D9" s="106">
        <v>0</v>
      </c>
      <c r="E9" s="107">
        <v>0</v>
      </c>
      <c r="F9" s="107">
        <v>0</v>
      </c>
      <c r="G9" s="16">
        <f t="shared" ref="G9:G17" si="1">(C9*1000*AVERAGE(D9:F9))/$B$2</f>
        <v>0</v>
      </c>
      <c r="H9" s="19">
        <f t="shared" si="0"/>
        <v>0</v>
      </c>
    </row>
    <row r="10" spans="1:8">
      <c r="A10" s="65">
        <v>2</v>
      </c>
      <c r="B10" s="63">
        <v>3.3333333333333335</v>
      </c>
      <c r="C10" s="16">
        <v>1</v>
      </c>
      <c r="D10" s="43">
        <v>5.0000000000000001E-3</v>
      </c>
      <c r="E10" s="43">
        <v>6.0000000000000001E-3</v>
      </c>
      <c r="F10" s="43">
        <v>3.0000000000000001E-3</v>
      </c>
      <c r="G10" s="16">
        <f t="shared" si="1"/>
        <v>5.2964097907918124E-2</v>
      </c>
      <c r="H10" s="19">
        <f t="shared" si="0"/>
        <v>1.7336570555577649E-2</v>
      </c>
    </row>
    <row r="11" spans="1:8">
      <c r="A11" s="65">
        <v>3</v>
      </c>
      <c r="B11" s="63">
        <v>4.666666666666667</v>
      </c>
      <c r="C11" s="16">
        <v>1</v>
      </c>
      <c r="D11" s="56">
        <v>0.04</v>
      </c>
      <c r="E11" s="43">
        <v>3.5999999999999997E-2</v>
      </c>
      <c r="F11" s="43">
        <v>3.3000000000000002E-2</v>
      </c>
      <c r="G11" s="16">
        <f t="shared" si="1"/>
        <v>0.41236333371164835</v>
      </c>
      <c r="H11" s="19">
        <f t="shared" si="0"/>
        <v>3.9857956920715538E-2</v>
      </c>
    </row>
    <row r="12" spans="1:8">
      <c r="A12" s="65">
        <v>4</v>
      </c>
      <c r="B12" s="63">
        <v>6</v>
      </c>
      <c r="C12" s="16">
        <v>1</v>
      </c>
      <c r="D12" s="43">
        <v>6.8000000000000005E-2</v>
      </c>
      <c r="E12" s="43">
        <v>6.7000000000000004E-2</v>
      </c>
      <c r="F12" s="43">
        <v>6.3E-2</v>
      </c>
      <c r="G12" s="16">
        <f t="shared" si="1"/>
        <v>0.74906367041198507</v>
      </c>
      <c r="H12" s="19">
        <f t="shared" si="0"/>
        <v>3.0027821031263113E-2</v>
      </c>
    </row>
    <row r="13" spans="1:8">
      <c r="A13" s="65">
        <v>5</v>
      </c>
      <c r="B13" s="63">
        <v>7.333333333333333</v>
      </c>
      <c r="C13" s="16">
        <v>1</v>
      </c>
      <c r="D13" s="43">
        <v>9.8000000000000004E-2</v>
      </c>
      <c r="E13" s="43">
        <v>9.6000000000000002E-2</v>
      </c>
      <c r="F13" s="43">
        <v>9.5000000000000001E-2</v>
      </c>
      <c r="G13" s="16">
        <f t="shared" si="1"/>
        <v>1.093330306813453</v>
      </c>
      <c r="H13" s="19">
        <f t="shared" si="0"/>
        <v>1.7336570555577663E-2</v>
      </c>
    </row>
    <row r="14" spans="1:8">
      <c r="A14" s="65">
        <v>6</v>
      </c>
      <c r="B14" s="63">
        <v>8.6666666666666661</v>
      </c>
      <c r="C14" s="16">
        <v>1</v>
      </c>
      <c r="D14" s="56">
        <v>0.12</v>
      </c>
      <c r="E14" s="43">
        <v>0.122</v>
      </c>
      <c r="F14" s="43">
        <v>0.11600000000000001</v>
      </c>
      <c r="G14" s="16">
        <f t="shared" si="1"/>
        <v>1.3543676465024779</v>
      </c>
      <c r="H14" s="19">
        <f t="shared" si="0"/>
        <v>3.4673141111155242E-2</v>
      </c>
    </row>
    <row r="15" spans="1:8">
      <c r="A15" s="65">
        <v>7</v>
      </c>
      <c r="B15" s="63">
        <v>10</v>
      </c>
      <c r="C15" s="16">
        <v>1</v>
      </c>
      <c r="D15" s="43">
        <v>0.14899999999999999</v>
      </c>
      <c r="E15" s="43">
        <v>0.161</v>
      </c>
      <c r="F15" s="43">
        <v>0.154</v>
      </c>
      <c r="G15" s="16">
        <f t="shared" si="1"/>
        <v>1.7553815306624294</v>
      </c>
      <c r="H15" s="19">
        <f t="shared" si="0"/>
        <v>6.8411233382609404E-2</v>
      </c>
    </row>
    <row r="16" spans="1:8">
      <c r="A16" s="65">
        <v>8</v>
      </c>
      <c r="B16" s="63">
        <v>11.333333333333334</v>
      </c>
      <c r="C16" s="16">
        <v>1</v>
      </c>
      <c r="D16" s="43">
        <v>0.186</v>
      </c>
      <c r="E16" s="43">
        <v>0.191</v>
      </c>
      <c r="F16" s="43">
        <v>0.18099999999999999</v>
      </c>
      <c r="G16" s="16">
        <f t="shared" si="1"/>
        <v>2.1109976166155944</v>
      </c>
      <c r="H16" s="19">
        <f t="shared" si="0"/>
        <v>5.6747247758483763E-2</v>
      </c>
    </row>
    <row r="17" spans="1:8">
      <c r="A17" s="65">
        <v>9</v>
      </c>
      <c r="B17" s="63">
        <v>12.666666666666666</v>
      </c>
      <c r="C17" s="16">
        <v>1</v>
      </c>
      <c r="D17" s="43">
        <v>0.22900000000000001</v>
      </c>
      <c r="E17" s="43">
        <v>0.22600000000000001</v>
      </c>
      <c r="F17" s="43">
        <v>0.222</v>
      </c>
      <c r="G17" s="16">
        <f t="shared" si="1"/>
        <v>2.5611924488328985</v>
      </c>
      <c r="H17" s="19">
        <f t="shared" si="0"/>
        <v>3.985795692071558E-2</v>
      </c>
    </row>
    <row r="18" spans="1:8">
      <c r="A18" s="65">
        <v>10</v>
      </c>
      <c r="B18" s="63">
        <v>14</v>
      </c>
      <c r="C18" s="16">
        <v>1</v>
      </c>
      <c r="D18" s="56">
        <v>0.28999999999999998</v>
      </c>
      <c r="E18" s="43">
        <v>0.28599999999999998</v>
      </c>
      <c r="F18" s="43">
        <v>0.28299999999999997</v>
      </c>
      <c r="G18" s="16">
        <f t="shared" ref="G18:G23" si="2">(C18*1000*AVERAGE(D18:F18))/$B$2</f>
        <v>3.249725721635834</v>
      </c>
      <c r="H18" s="19">
        <f t="shared" ref="H18:H23" si="3">(C18*1000*STDEV(D18:F18))/$B$2</f>
        <v>3.985795692071558E-2</v>
      </c>
    </row>
    <row r="19" spans="1:8">
      <c r="A19" s="65">
        <v>11</v>
      </c>
      <c r="B19" s="63">
        <v>15.333333333333334</v>
      </c>
      <c r="C19" s="16">
        <v>1</v>
      </c>
      <c r="D19" s="43">
        <v>0.38400000000000001</v>
      </c>
      <c r="E19" s="43">
        <v>0.38700000000000001</v>
      </c>
      <c r="F19" s="43">
        <v>0.38800000000000001</v>
      </c>
      <c r="G19" s="16">
        <f t="shared" si="2"/>
        <v>4.3846706768055084</v>
      </c>
      <c r="H19" s="19">
        <f t="shared" si="3"/>
        <v>2.3625763244423278E-2</v>
      </c>
    </row>
    <row r="20" spans="1:8">
      <c r="A20" s="65">
        <v>12</v>
      </c>
      <c r="B20" s="63">
        <v>16.666666666666668</v>
      </c>
      <c r="C20" s="16">
        <v>1</v>
      </c>
      <c r="D20" s="34">
        <v>0.53500000000000003</v>
      </c>
      <c r="E20" s="34">
        <v>0.53800000000000003</v>
      </c>
      <c r="F20" s="34">
        <v>0.53900000000000003</v>
      </c>
      <c r="G20" s="16">
        <f t="shared" si="2"/>
        <v>6.0984375591117166</v>
      </c>
      <c r="H20" s="19">
        <f t="shared" si="3"/>
        <v>2.3625763244423271E-2</v>
      </c>
    </row>
    <row r="21" spans="1:8">
      <c r="A21" s="65">
        <v>13</v>
      </c>
      <c r="B21" s="63">
        <v>18</v>
      </c>
      <c r="C21" s="16">
        <v>1</v>
      </c>
      <c r="D21" s="57">
        <v>0.86899999999999999</v>
      </c>
      <c r="E21" s="34">
        <v>0.86199999999999999</v>
      </c>
      <c r="F21" s="34">
        <v>0.86299999999999999</v>
      </c>
      <c r="G21" s="16">
        <f t="shared" si="2"/>
        <v>9.8134907123671162</v>
      </c>
      <c r="H21" s="19">
        <f t="shared" si="3"/>
        <v>4.2968322519579903E-2</v>
      </c>
    </row>
    <row r="22" spans="1:8">
      <c r="A22" s="65">
        <v>14</v>
      </c>
      <c r="B22" s="63">
        <v>19.333333333333332</v>
      </c>
      <c r="C22" s="16">
        <v>1</v>
      </c>
      <c r="D22" s="34">
        <v>1.272</v>
      </c>
      <c r="E22" s="34">
        <v>1.286</v>
      </c>
      <c r="F22" s="34">
        <v>1.2929999999999999</v>
      </c>
      <c r="G22" s="16">
        <f t="shared" si="2"/>
        <v>14.568910074528054</v>
      </c>
      <c r="H22" s="19">
        <f t="shared" si="3"/>
        <v>0.1213559938890431</v>
      </c>
    </row>
    <row r="23" spans="1:8">
      <c r="A23" s="65">
        <v>15</v>
      </c>
      <c r="B23" s="63">
        <v>24.166666666666668</v>
      </c>
      <c r="C23" s="16">
        <v>1</v>
      </c>
      <c r="D23" s="34">
        <v>2.3969999999999998</v>
      </c>
      <c r="E23" s="34">
        <v>2.34</v>
      </c>
      <c r="F23" s="34">
        <v>2.3919999999999999</v>
      </c>
      <c r="G23" s="16">
        <f t="shared" si="2"/>
        <v>26.970075284682022</v>
      </c>
      <c r="H23" s="19">
        <f t="shared" si="3"/>
        <v>0.35824251809965102</v>
      </c>
    </row>
    <row r="24" spans="1:8">
      <c r="A24" s="65">
        <v>16</v>
      </c>
      <c r="B24" s="63">
        <v>30.166666666666668</v>
      </c>
      <c r="C24" s="16">
        <v>1</v>
      </c>
      <c r="D24" s="34">
        <v>2.4860000000000002</v>
      </c>
      <c r="E24" s="34">
        <v>2.4849999999999999</v>
      </c>
      <c r="F24" s="34">
        <v>2.4649999999999999</v>
      </c>
      <c r="G24" s="16">
        <f t="shared" ref="G24:G25" si="4">(C24*1000*AVERAGE(D24:F24))/$B$2</f>
        <v>28.131502288805663</v>
      </c>
      <c r="H24" s="19">
        <f t="shared" ref="H24:H25" si="5">(C24*1000*STDEV(D24:F24))/$B$2</f>
        <v>0.13444827029786274</v>
      </c>
    </row>
    <row r="25" spans="1:8">
      <c r="A25" s="65">
        <v>17</v>
      </c>
      <c r="B25" s="63">
        <v>48.166666666666664</v>
      </c>
      <c r="C25" s="16">
        <v>1</v>
      </c>
      <c r="D25" s="34">
        <v>2.5070000000000001</v>
      </c>
      <c r="E25" s="34">
        <v>2.536</v>
      </c>
      <c r="F25" s="34">
        <v>2.5539999999999998</v>
      </c>
      <c r="G25" s="16">
        <f t="shared" si="4"/>
        <v>28.740589414746719</v>
      </c>
      <c r="H25" s="19">
        <f t="shared" si="5"/>
        <v>0.2691359499388235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138" t="s">
        <v>42</v>
      </c>
      <c r="B4" s="139"/>
      <c r="C4" s="139"/>
      <c r="D4" s="139"/>
      <c r="E4" s="139"/>
      <c r="F4" s="139"/>
      <c r="G4" s="139"/>
      <c r="H4" s="140"/>
    </row>
    <row r="5" spans="1:8">
      <c r="A5" s="141" t="s">
        <v>62</v>
      </c>
      <c r="B5" s="139"/>
      <c r="C5" s="140"/>
      <c r="D5" s="142" t="s">
        <v>45</v>
      </c>
      <c r="E5" s="142" t="s">
        <v>46</v>
      </c>
      <c r="F5" s="142" t="s">
        <v>47</v>
      </c>
      <c r="G5" s="144" t="s">
        <v>63</v>
      </c>
      <c r="H5" s="144" t="s">
        <v>64</v>
      </c>
    </row>
    <row r="6" spans="1:8">
      <c r="A6" s="22" t="s">
        <v>4</v>
      </c>
      <c r="B6" s="22" t="s">
        <v>60</v>
      </c>
      <c r="C6" s="22" t="s">
        <v>19</v>
      </c>
      <c r="D6" s="143"/>
      <c r="E6" s="143"/>
      <c r="F6" s="143"/>
      <c r="G6" s="145"/>
      <c r="H6" s="145"/>
    </row>
    <row r="7" spans="1:8">
      <c r="A7" s="64">
        <v>0</v>
      </c>
      <c r="B7" s="62">
        <v>-0.16666666666666666</v>
      </c>
      <c r="C7" s="16">
        <v>1</v>
      </c>
      <c r="D7" s="42">
        <v>0.18099999999999999</v>
      </c>
      <c r="E7" s="42">
        <v>0.17799999999999999</v>
      </c>
      <c r="F7" s="42">
        <v>0.17799999999999999</v>
      </c>
      <c r="G7" s="16">
        <f>(C7*1000*AVERAGE(D7:F7))/$B$2</f>
        <v>1.9871225577264651</v>
      </c>
      <c r="H7" s="19">
        <f>(C7*1000*STDEV(D7:F7))/$B$2</f>
        <v>1.9227917490773523E-2</v>
      </c>
    </row>
    <row r="8" spans="1:8">
      <c r="A8" s="65">
        <v>0</v>
      </c>
      <c r="B8" s="63">
        <v>0.16666666666666666</v>
      </c>
      <c r="C8" s="16">
        <v>1</v>
      </c>
      <c r="D8" s="42">
        <v>0.17799999999999999</v>
      </c>
      <c r="E8" s="42">
        <v>0.17799999999999999</v>
      </c>
      <c r="F8" s="42">
        <v>0.17899999999999999</v>
      </c>
      <c r="G8" s="16">
        <f t="shared" ref="G8:G23" si="0">(C8*1000*AVERAGE(D8:F8))/$B$2</f>
        <v>1.9797217288336293</v>
      </c>
      <c r="H8" s="19">
        <f t="shared" ref="H8:H23" si="1">(C8*1000*STDEV(D8:F8))/$B$2</f>
        <v>6.4093058302578405E-3</v>
      </c>
    </row>
    <row r="9" spans="1:8">
      <c r="A9" s="65">
        <v>1</v>
      </c>
      <c r="B9" s="63">
        <v>2</v>
      </c>
      <c r="C9" s="16">
        <v>1</v>
      </c>
      <c r="D9" s="42">
        <v>0.17899999999999999</v>
      </c>
      <c r="E9" s="42">
        <v>0.18</v>
      </c>
      <c r="F9" s="42">
        <v>0.17699999999999999</v>
      </c>
      <c r="G9" s="16">
        <f t="shared" si="0"/>
        <v>1.9834221432800474</v>
      </c>
      <c r="H9" s="19">
        <f t="shared" si="1"/>
        <v>1.6957429303418606E-2</v>
      </c>
    </row>
    <row r="10" spans="1:8">
      <c r="A10" s="65">
        <v>2</v>
      </c>
      <c r="B10" s="63">
        <v>3.3333333333333335</v>
      </c>
      <c r="C10" s="16">
        <v>1</v>
      </c>
      <c r="D10" s="56">
        <v>0.17699999999999999</v>
      </c>
      <c r="E10" s="56">
        <v>0.17699999999999999</v>
      </c>
      <c r="F10" s="56">
        <v>0.18</v>
      </c>
      <c r="G10" s="16">
        <f t="shared" si="0"/>
        <v>1.9760213143872116</v>
      </c>
      <c r="H10" s="19">
        <f t="shared" si="1"/>
        <v>1.9227917490773523E-2</v>
      </c>
    </row>
    <row r="11" spans="1:8">
      <c r="A11" s="65">
        <v>3</v>
      </c>
      <c r="B11" s="63">
        <v>4.666666666666667</v>
      </c>
      <c r="C11" s="16">
        <v>1</v>
      </c>
      <c r="D11" s="56">
        <v>0.18</v>
      </c>
      <c r="E11" s="56">
        <v>0.182</v>
      </c>
      <c r="F11" s="56">
        <v>0.182</v>
      </c>
      <c r="G11" s="16">
        <f t="shared" si="0"/>
        <v>2.0130254588513914</v>
      </c>
      <c r="H11" s="19">
        <f t="shared" si="1"/>
        <v>1.2818611660515681E-2</v>
      </c>
    </row>
    <row r="12" spans="1:8">
      <c r="A12" s="65">
        <v>4</v>
      </c>
      <c r="B12" s="63">
        <v>6</v>
      </c>
      <c r="C12" s="16">
        <v>1</v>
      </c>
      <c r="D12" s="56">
        <v>0.186</v>
      </c>
      <c r="E12" s="56">
        <v>0.187</v>
      </c>
      <c r="F12" s="56">
        <v>0.184</v>
      </c>
      <c r="G12" s="16">
        <f t="shared" si="0"/>
        <v>2.0611308466548253</v>
      </c>
      <c r="H12" s="19">
        <f t="shared" si="1"/>
        <v>1.6957429303418606E-2</v>
      </c>
    </row>
    <row r="13" spans="1:8">
      <c r="A13" s="65">
        <v>5</v>
      </c>
      <c r="B13" s="63">
        <v>7.333333333333333</v>
      </c>
      <c r="C13" s="16">
        <v>1</v>
      </c>
      <c r="D13" s="56">
        <v>0.187</v>
      </c>
      <c r="E13" s="56">
        <v>0.185</v>
      </c>
      <c r="F13" s="56">
        <v>0.186</v>
      </c>
      <c r="G13" s="16">
        <f t="shared" si="0"/>
        <v>2.0648312611012436</v>
      </c>
      <c r="H13" s="19">
        <f t="shared" si="1"/>
        <v>1.1101243339254007E-2</v>
      </c>
    </row>
    <row r="14" spans="1:8">
      <c r="A14" s="65">
        <v>6</v>
      </c>
      <c r="B14" s="63">
        <v>8.6666666666666661</v>
      </c>
      <c r="C14" s="16">
        <v>1</v>
      </c>
      <c r="D14" s="56">
        <v>0.186</v>
      </c>
      <c r="E14" s="56">
        <v>0.184</v>
      </c>
      <c r="F14" s="56">
        <v>0.185</v>
      </c>
      <c r="G14" s="16">
        <f t="shared" si="0"/>
        <v>2.053730017761989</v>
      </c>
      <c r="H14" s="19">
        <f t="shared" si="1"/>
        <v>1.1101243339254007E-2</v>
      </c>
    </row>
    <row r="15" spans="1:8">
      <c r="A15" s="65">
        <v>7</v>
      </c>
      <c r="B15" s="63">
        <v>10</v>
      </c>
      <c r="C15" s="16">
        <v>1</v>
      </c>
      <c r="D15" s="56">
        <v>0.184</v>
      </c>
      <c r="E15" s="56">
        <v>0.185</v>
      </c>
      <c r="F15" s="56">
        <v>0.183</v>
      </c>
      <c r="G15" s="16">
        <f t="shared" si="0"/>
        <v>2.0426287744227358</v>
      </c>
      <c r="H15" s="19">
        <f t="shared" si="1"/>
        <v>1.1101243339254007E-2</v>
      </c>
    </row>
    <row r="16" spans="1:8">
      <c r="A16" s="65">
        <v>8</v>
      </c>
      <c r="B16" s="63">
        <v>11.333333333333334</v>
      </c>
      <c r="C16" s="16">
        <v>1</v>
      </c>
      <c r="D16" s="56">
        <v>0.183</v>
      </c>
      <c r="E16" s="56">
        <v>0.183</v>
      </c>
      <c r="F16" s="56">
        <v>0.184</v>
      </c>
      <c r="G16" s="16">
        <f t="shared" si="0"/>
        <v>2.0352279455298996</v>
      </c>
      <c r="H16" s="19">
        <f t="shared" si="1"/>
        <v>6.4093058302578405E-3</v>
      </c>
    </row>
    <row r="17" spans="1:8">
      <c r="A17" s="65">
        <v>9</v>
      </c>
      <c r="B17" s="63">
        <v>12.666666666666666</v>
      </c>
      <c r="C17" s="16">
        <v>1</v>
      </c>
      <c r="D17" s="56">
        <v>0.185</v>
      </c>
      <c r="E17" s="56">
        <v>0.183</v>
      </c>
      <c r="F17" s="56">
        <v>0.18099999999999999</v>
      </c>
      <c r="G17" s="16">
        <f t="shared" si="0"/>
        <v>2.0315275310834813</v>
      </c>
      <c r="H17" s="19">
        <f t="shared" si="1"/>
        <v>2.2202486678508014E-2</v>
      </c>
    </row>
    <row r="18" spans="1:8">
      <c r="A18" s="65">
        <v>10</v>
      </c>
      <c r="B18" s="63">
        <v>14</v>
      </c>
      <c r="C18" s="16">
        <v>1</v>
      </c>
      <c r="D18" s="42">
        <v>0.183</v>
      </c>
      <c r="E18" s="42">
        <v>0.182</v>
      </c>
      <c r="F18" s="42">
        <v>0.18</v>
      </c>
      <c r="G18" s="16">
        <f t="shared" si="0"/>
        <v>2.0167258732978088</v>
      </c>
      <c r="H18" s="19">
        <f t="shared" si="1"/>
        <v>1.6957429303418606E-2</v>
      </c>
    </row>
    <row r="19" spans="1:8">
      <c r="A19" s="65">
        <v>11</v>
      </c>
      <c r="B19" s="63">
        <v>15.333333333333334</v>
      </c>
      <c r="C19" s="16">
        <v>1</v>
      </c>
      <c r="D19" s="56">
        <v>0.17899999999999999</v>
      </c>
      <c r="E19" s="56">
        <v>0.18099999999999999</v>
      </c>
      <c r="F19" s="56">
        <v>0.182</v>
      </c>
      <c r="G19" s="16">
        <f t="shared" si="0"/>
        <v>2.0056246299585552</v>
      </c>
      <c r="H19" s="19">
        <f t="shared" si="1"/>
        <v>1.6957429303418606E-2</v>
      </c>
    </row>
    <row r="20" spans="1:8">
      <c r="A20" s="65">
        <v>12</v>
      </c>
      <c r="B20" s="63">
        <v>16.666666666666668</v>
      </c>
      <c r="C20" s="16">
        <v>1</v>
      </c>
      <c r="D20" s="56">
        <v>0.183</v>
      </c>
      <c r="E20" s="56">
        <v>0.184</v>
      </c>
      <c r="F20" s="56">
        <v>0.182</v>
      </c>
      <c r="G20" s="16">
        <f t="shared" si="0"/>
        <v>2.0315275310834813</v>
      </c>
      <c r="H20" s="19">
        <f t="shared" si="1"/>
        <v>1.1101243339254007E-2</v>
      </c>
    </row>
    <row r="21" spans="1:8">
      <c r="A21" s="65">
        <v>13</v>
      </c>
      <c r="B21" s="63">
        <v>18</v>
      </c>
      <c r="C21" s="16">
        <v>1</v>
      </c>
      <c r="D21" s="56">
        <v>0.17799999999999999</v>
      </c>
      <c r="E21" s="56">
        <v>0.17699999999999999</v>
      </c>
      <c r="F21" s="56">
        <v>0.17699999999999999</v>
      </c>
      <c r="G21" s="16">
        <f t="shared" si="0"/>
        <v>1.9686204854943754</v>
      </c>
      <c r="H21" s="19">
        <f t="shared" si="1"/>
        <v>6.4093058302578405E-3</v>
      </c>
    </row>
    <row r="22" spans="1:8">
      <c r="A22" s="65">
        <v>14</v>
      </c>
      <c r="B22" s="63">
        <v>19.333333333333332</v>
      </c>
      <c r="C22" s="16">
        <v>1</v>
      </c>
      <c r="D22" s="56">
        <v>0.17899999999999999</v>
      </c>
      <c r="E22" s="56">
        <v>0.17699999999999999</v>
      </c>
      <c r="F22" s="56">
        <v>0.17599999999999999</v>
      </c>
      <c r="G22" s="16">
        <f t="shared" si="0"/>
        <v>1.9686204854943754</v>
      </c>
      <c r="H22" s="19">
        <f t="shared" si="1"/>
        <v>1.6957429303418606E-2</v>
      </c>
    </row>
    <row r="23" spans="1:8">
      <c r="A23" s="65">
        <v>15</v>
      </c>
      <c r="B23" s="63">
        <v>24.166666666666668</v>
      </c>
      <c r="C23" s="16">
        <v>1</v>
      </c>
      <c r="D23" s="56">
        <v>0.23899999999999999</v>
      </c>
      <c r="E23" s="56">
        <v>0.23799999999999999</v>
      </c>
      <c r="F23" s="56">
        <v>0.24</v>
      </c>
      <c r="G23" s="16">
        <f t="shared" si="0"/>
        <v>2.6531971580817051</v>
      </c>
      <c r="H23" s="19">
        <f t="shared" si="1"/>
        <v>1.1101243339254007E-2</v>
      </c>
    </row>
    <row r="24" spans="1:8">
      <c r="A24" s="65">
        <v>16</v>
      </c>
      <c r="B24" s="63">
        <v>30.166666666666668</v>
      </c>
      <c r="C24" s="16">
        <v>1</v>
      </c>
      <c r="D24" s="56">
        <v>0.28000000000000003</v>
      </c>
      <c r="E24" s="56">
        <v>0.28199999999999997</v>
      </c>
      <c r="F24" s="56">
        <v>0.28199999999999997</v>
      </c>
      <c r="G24" s="16">
        <f t="shared" ref="G24:G25" si="2">(C24*1000*AVERAGE(D24:F24))/$B$2</f>
        <v>3.1231497927767915</v>
      </c>
      <c r="H24" s="19">
        <f t="shared" ref="H24:H25" si="3">(C24*1000*STDEV(D24:F24))/$B$2</f>
        <v>1.2818611660515327E-2</v>
      </c>
    </row>
    <row r="25" spans="1:8">
      <c r="A25" s="65">
        <v>17</v>
      </c>
      <c r="B25" s="63">
        <v>48.166666666666664</v>
      </c>
      <c r="C25" s="16">
        <v>1</v>
      </c>
      <c r="D25" s="56">
        <v>0.32</v>
      </c>
      <c r="E25" s="56">
        <v>0.318</v>
      </c>
      <c r="F25" s="56">
        <v>0.32</v>
      </c>
      <c r="G25" s="16">
        <f t="shared" si="2"/>
        <v>3.5449970396684427</v>
      </c>
      <c r="H25" s="19">
        <f t="shared" si="3"/>
        <v>1.2818611660515681E-2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25" sqref="B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138" t="s">
        <v>44</v>
      </c>
      <c r="B4" s="139"/>
      <c r="C4" s="139"/>
      <c r="D4" s="139"/>
      <c r="E4" s="139"/>
      <c r="F4" s="139"/>
      <c r="G4" s="139"/>
      <c r="H4" s="140"/>
    </row>
    <row r="5" spans="1:8">
      <c r="A5" s="141" t="s">
        <v>62</v>
      </c>
      <c r="B5" s="139"/>
      <c r="C5" s="140"/>
      <c r="D5" s="142" t="s">
        <v>45</v>
      </c>
      <c r="E5" s="142" t="s">
        <v>46</v>
      </c>
      <c r="F5" s="142" t="s">
        <v>47</v>
      </c>
      <c r="G5" s="144" t="s">
        <v>63</v>
      </c>
      <c r="H5" s="144" t="s">
        <v>64</v>
      </c>
    </row>
    <row r="6" spans="1:8">
      <c r="A6" s="22" t="s">
        <v>4</v>
      </c>
      <c r="B6" s="22" t="s">
        <v>60</v>
      </c>
      <c r="C6" s="22" t="s">
        <v>19</v>
      </c>
      <c r="D6" s="143"/>
      <c r="E6" s="143"/>
      <c r="F6" s="143"/>
      <c r="G6" s="145"/>
      <c r="H6" s="145"/>
    </row>
    <row r="7" spans="1:8">
      <c r="A7" s="64">
        <v>0</v>
      </c>
      <c r="B7" s="62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5">
        <v>0</v>
      </c>
      <c r="B8" s="63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5">
        <v>1</v>
      </c>
      <c r="B9" s="63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5">
        <v>2</v>
      </c>
      <c r="B10" s="63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5">
        <v>3</v>
      </c>
      <c r="B11" s="63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5">
        <v>4</v>
      </c>
      <c r="B12" s="63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5">
        <v>5</v>
      </c>
      <c r="B13" s="63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5">
        <v>6</v>
      </c>
      <c r="B14" s="63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5">
        <v>7</v>
      </c>
      <c r="B15" s="63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5">
        <v>8</v>
      </c>
      <c r="B16" s="63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5">
        <v>9</v>
      </c>
      <c r="B17" s="63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5">
        <v>10</v>
      </c>
      <c r="B18" s="63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5">
        <v>11</v>
      </c>
      <c r="B19" s="63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5">
        <v>12</v>
      </c>
      <c r="B20" s="63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5">
        <v>13</v>
      </c>
      <c r="B21" s="63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5">
        <v>14</v>
      </c>
      <c r="B22" s="63">
        <v>19.333333333333332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5">
        <v>15</v>
      </c>
      <c r="B23" s="63">
        <v>24.166666666666668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5">
        <v>16</v>
      </c>
      <c r="B24" s="63">
        <v>30.166666666666668</v>
      </c>
      <c r="C24" s="16">
        <v>2</v>
      </c>
      <c r="D24" s="18">
        <v>0</v>
      </c>
      <c r="E24" s="18">
        <v>0</v>
      </c>
      <c r="F24" s="18">
        <v>0</v>
      </c>
      <c r="G24" s="16">
        <f t="shared" ref="G24:G25" si="4">(C24*1000*AVERAGE(D24:F24))/$B$2</f>
        <v>0</v>
      </c>
      <c r="H24" s="19">
        <f t="shared" ref="H24:H25" si="5">(C24*1000*STDEV(D24:F24))/$B$2</f>
        <v>0</v>
      </c>
    </row>
    <row r="25" spans="1:8">
      <c r="A25" s="65">
        <v>17</v>
      </c>
      <c r="B25" s="63">
        <v>48.166666666666664</v>
      </c>
      <c r="C25" s="16">
        <v>2</v>
      </c>
      <c r="D25" s="18">
        <v>0</v>
      </c>
      <c r="E25" s="18">
        <v>0</v>
      </c>
      <c r="F25" s="18">
        <v>0</v>
      </c>
      <c r="G25" s="16">
        <f t="shared" si="4"/>
        <v>0</v>
      </c>
      <c r="H25" s="19">
        <f t="shared" si="5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28"/>
  <sheetViews>
    <sheetView topLeftCell="A3" workbookViewId="0">
      <selection activeCell="C40" sqref="C40"/>
    </sheetView>
  </sheetViews>
  <sheetFormatPr baseColWidth="10" defaultColWidth="8.83203125" defaultRowHeight="14" x14ac:dyDescent="0"/>
  <cols>
    <col min="1" max="1" width="27.6640625" customWidth="1"/>
  </cols>
  <sheetData>
    <row r="1" spans="1:5">
      <c r="B1" s="30" t="s">
        <v>78</v>
      </c>
      <c r="C1" s="30" t="s">
        <v>79</v>
      </c>
    </row>
    <row r="2" spans="1:5">
      <c r="A2" s="30" t="s">
        <v>145</v>
      </c>
      <c r="B2" s="69">
        <f>Metabolites!H4-Metabolites!H21</f>
        <v>21.93897726537709</v>
      </c>
      <c r="C2" s="69">
        <f>Metabolites!I4+Metabolites!I21</f>
        <v>0.98374849884339977</v>
      </c>
    </row>
    <row r="3" spans="1:5">
      <c r="A3" s="30" t="s">
        <v>124</v>
      </c>
      <c r="B3" s="69">
        <f>Metabolites!P4-Metabolites!P21</f>
        <v>13.649297721809432</v>
      </c>
      <c r="C3" s="69">
        <f>Metabolites!Q4+Metabolites!Q21</f>
        <v>0.71868502563252123</v>
      </c>
    </row>
    <row r="4" spans="1:5">
      <c r="A4" s="30" t="s">
        <v>125</v>
      </c>
      <c r="B4" s="69">
        <f>Metabolites!T21-Metabolites!T4</f>
        <v>22.205516831523632</v>
      </c>
      <c r="C4" s="69">
        <f>Metabolites!U4+Metabolites!U21</f>
        <v>0.14004085951254969</v>
      </c>
    </row>
    <row r="5" spans="1:5">
      <c r="A5" s="30" t="s">
        <v>126</v>
      </c>
      <c r="B5" s="69">
        <f>Metabolites!L21-Metabolites!L4</f>
        <v>1.6670253230369549</v>
      </c>
      <c r="C5" s="69">
        <f>Metabolites!M21+Metabolites!M4</f>
        <v>1.9595842732537325E-2</v>
      </c>
    </row>
    <row r="6" spans="1:5">
      <c r="A6" s="30" t="s">
        <v>127</v>
      </c>
      <c r="B6" s="69">
        <f>Metabolites!L43-Metabolites!L26</f>
        <v>29.565514031304573</v>
      </c>
      <c r="C6" s="69">
        <f>Metabolites!M43+Metabolites!M26</f>
        <v>0.27686080439818622</v>
      </c>
    </row>
    <row r="7" spans="1:5">
      <c r="A7" s="30" t="s">
        <v>80</v>
      </c>
      <c r="B7" s="69">
        <f>'H2'!G101</f>
        <v>0.29330635379573711</v>
      </c>
      <c r="C7" s="69"/>
    </row>
    <row r="8" spans="1:5">
      <c r="A8" s="30" t="s">
        <v>81</v>
      </c>
      <c r="B8" s="69">
        <f>'CO2'!G101</f>
        <v>20.293677088908183</v>
      </c>
      <c r="C8" s="69"/>
    </row>
    <row r="9" spans="1:5">
      <c r="A9" s="30" t="s">
        <v>128</v>
      </c>
      <c r="B9" s="69">
        <f>Calculation!G21*1.5/1000</f>
        <v>3.5999999999999997E-2</v>
      </c>
      <c r="C9" s="69"/>
    </row>
    <row r="10" spans="1:5" ht="16">
      <c r="A10" s="30" t="s">
        <v>129</v>
      </c>
      <c r="B10" s="69">
        <f>Calculation!H21*1.5/1000</f>
        <v>0</v>
      </c>
      <c r="C10" s="69"/>
    </row>
    <row r="12" spans="1:5">
      <c r="A12" s="30" t="s">
        <v>82</v>
      </c>
      <c r="B12" s="66">
        <f>((4*$B$6)+(3*$B$5)+($B$4)+(B8))/((6*$B$2)+(2*$B$3))</f>
        <v>1.0429733927248783</v>
      </c>
    </row>
    <row r="14" spans="1:5">
      <c r="A14" s="60"/>
      <c r="B14" s="60"/>
      <c r="C14" s="60" t="s">
        <v>131</v>
      </c>
      <c r="D14" s="60" t="s">
        <v>132</v>
      </c>
    </row>
    <row r="15" spans="1:5">
      <c r="A15" s="60" t="s">
        <v>181</v>
      </c>
      <c r="B15" s="60" t="s">
        <v>133</v>
      </c>
      <c r="C15" s="70">
        <f>B2</f>
        <v>21.93897726537709</v>
      </c>
      <c r="D15" s="70">
        <f>B2</f>
        <v>21.93897726537709</v>
      </c>
      <c r="E15" s="60"/>
    </row>
    <row r="16" spans="1:5">
      <c r="A16" s="60" t="s">
        <v>173</v>
      </c>
      <c r="B16" s="60" t="s">
        <v>134</v>
      </c>
      <c r="C16" s="70">
        <f>2*C15</f>
        <v>43.877954530754181</v>
      </c>
      <c r="D16" s="70">
        <f>2*B2</f>
        <v>43.877954530754181</v>
      </c>
      <c r="E16" s="60"/>
    </row>
    <row r="17" spans="1:5">
      <c r="A17" s="60" t="s">
        <v>174</v>
      </c>
      <c r="B17" s="60" t="s">
        <v>135</v>
      </c>
      <c r="C17" s="70">
        <f>B5</f>
        <v>1.6670253230369549</v>
      </c>
      <c r="D17" s="70">
        <f>B5</f>
        <v>1.6670253230369549</v>
      </c>
      <c r="E17" s="60"/>
    </row>
    <row r="18" spans="1:5">
      <c r="A18" s="60" t="s">
        <v>175</v>
      </c>
      <c r="B18" s="60" t="s">
        <v>136</v>
      </c>
      <c r="C18" s="70">
        <f>B4</f>
        <v>22.205516831523632</v>
      </c>
      <c r="D18" s="70">
        <f>B4</f>
        <v>22.205516831523632</v>
      </c>
      <c r="E18" s="60"/>
    </row>
    <row r="19" spans="1:5">
      <c r="A19" s="60" t="s">
        <v>176</v>
      </c>
      <c r="B19" s="60" t="s">
        <v>137</v>
      </c>
      <c r="C19" s="71">
        <f>C16-C17-C18</f>
        <v>20.005412376193597</v>
      </c>
      <c r="D19" s="71">
        <f>B8</f>
        <v>20.293677088908183</v>
      </c>
      <c r="E19" s="60"/>
    </row>
    <row r="20" spans="1:5">
      <c r="A20" s="60" t="s">
        <v>177</v>
      </c>
      <c r="B20" s="60" t="s">
        <v>138</v>
      </c>
      <c r="C20" s="70">
        <f>B3</f>
        <v>13.649297721809432</v>
      </c>
      <c r="D20" s="70">
        <f>B3</f>
        <v>13.649297721809432</v>
      </c>
      <c r="E20" s="60"/>
    </row>
    <row r="21" spans="1:5">
      <c r="A21" s="60" t="s">
        <v>178</v>
      </c>
      <c r="B21" s="60" t="s">
        <v>140</v>
      </c>
      <c r="C21" s="70">
        <f>C16-C17+C20</f>
        <v>55.860226929526661</v>
      </c>
      <c r="D21" s="70">
        <f>B6</f>
        <v>29.565514031304573</v>
      </c>
      <c r="E21" s="60"/>
    </row>
    <row r="22" spans="1:5">
      <c r="A22" s="60" t="s">
        <v>179</v>
      </c>
      <c r="B22" s="60" t="s">
        <v>141</v>
      </c>
      <c r="C22" s="71">
        <f>C21/2</f>
        <v>27.93011346476333</v>
      </c>
      <c r="D22" s="71">
        <f>B6</f>
        <v>29.565514031304573</v>
      </c>
      <c r="E22" s="60"/>
    </row>
    <row r="23" spans="1:5">
      <c r="A23" s="60" t="s">
        <v>180</v>
      </c>
      <c r="B23" s="60"/>
      <c r="E23" s="60"/>
    </row>
    <row r="24" spans="1:5">
      <c r="A24" s="60"/>
      <c r="B24" s="60"/>
      <c r="C24" s="61"/>
      <c r="D24" s="61"/>
      <c r="E24" s="60"/>
    </row>
    <row r="25" spans="1:5">
      <c r="A25" s="60"/>
      <c r="B25" s="60"/>
      <c r="C25" s="60"/>
      <c r="D25" s="60"/>
      <c r="E25" s="60"/>
    </row>
    <row r="26" spans="1:5">
      <c r="A26" s="60"/>
      <c r="B26" s="60"/>
      <c r="C26" s="60"/>
      <c r="D26" s="60"/>
      <c r="E26" s="60"/>
    </row>
    <row r="27" spans="1:5">
      <c r="A27" s="60"/>
      <c r="B27" s="60"/>
      <c r="C27" s="60"/>
      <c r="D27" s="60"/>
      <c r="E27" s="60"/>
    </row>
    <row r="28" spans="1:5">
      <c r="C28" s="60"/>
      <c r="D28" s="60"/>
      <c r="E28" s="6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G20" sqref="G20:G21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38.1640625" style="2" customWidth="1"/>
    <col min="12" max="16384" width="8.83203125" style="2"/>
  </cols>
  <sheetData>
    <row r="1" spans="1:11">
      <c r="A1" s="115" t="s">
        <v>4</v>
      </c>
      <c r="B1" s="115" t="s">
        <v>118</v>
      </c>
      <c r="C1" s="115" t="s">
        <v>118</v>
      </c>
      <c r="D1" s="115" t="s">
        <v>5</v>
      </c>
      <c r="E1" s="4" t="s">
        <v>7</v>
      </c>
      <c r="F1" s="4" t="s">
        <v>9</v>
      </c>
      <c r="G1" s="114" t="s">
        <v>11</v>
      </c>
      <c r="H1" s="114" t="s">
        <v>12</v>
      </c>
      <c r="I1" s="4" t="s">
        <v>13</v>
      </c>
      <c r="J1" s="4" t="s">
        <v>16</v>
      </c>
      <c r="K1" s="4" t="s">
        <v>16</v>
      </c>
    </row>
    <row r="2" spans="1:11">
      <c r="A2" s="116"/>
      <c r="B2" s="116"/>
      <c r="C2" s="116"/>
      <c r="D2" s="116"/>
      <c r="E2" s="5" t="s">
        <v>8</v>
      </c>
      <c r="F2" s="5" t="s">
        <v>10</v>
      </c>
      <c r="G2" s="114"/>
      <c r="H2" s="114"/>
      <c r="I2" s="5" t="s">
        <v>14</v>
      </c>
      <c r="J2" s="5" t="s">
        <v>17</v>
      </c>
      <c r="K2" s="5" t="s">
        <v>142</v>
      </c>
    </row>
    <row r="3" spans="1:11">
      <c r="A3" s="32" t="s">
        <v>6</v>
      </c>
      <c r="B3" s="31">
        <v>-10</v>
      </c>
      <c r="C3" s="31">
        <f>B3</f>
        <v>-10</v>
      </c>
      <c r="D3" s="13">
        <f>C3/60</f>
        <v>-0.16666666666666666</v>
      </c>
      <c r="E3" s="3">
        <v>51</v>
      </c>
      <c r="F3" s="1">
        <f>E3</f>
        <v>51</v>
      </c>
      <c r="G3" s="1">
        <v>0</v>
      </c>
      <c r="H3" s="1">
        <v>0</v>
      </c>
      <c r="I3" s="1">
        <f>$F$23+G3+H3</f>
        <v>1500</v>
      </c>
      <c r="J3" s="13">
        <f>F3*1500/I3</f>
        <v>51</v>
      </c>
      <c r="K3" s="13">
        <f>$F$24-J3</f>
        <v>1524</v>
      </c>
    </row>
    <row r="4" spans="1:11">
      <c r="A4" s="1">
        <v>0</v>
      </c>
      <c r="B4" s="31">
        <v>10</v>
      </c>
      <c r="C4" s="31">
        <f>B4</f>
        <v>10</v>
      </c>
      <c r="D4" s="13">
        <f t="shared" ref="D4:D19" si="0">C4/60</f>
        <v>0.16666666666666666</v>
      </c>
      <c r="E4" s="1">
        <v>47</v>
      </c>
      <c r="F4" s="1">
        <f>E4+F3</f>
        <v>98</v>
      </c>
      <c r="G4" s="40">
        <v>0</v>
      </c>
      <c r="H4" s="40">
        <v>0</v>
      </c>
      <c r="I4" s="1">
        <f>$F$24-F3+G4+H4</f>
        <v>1524</v>
      </c>
      <c r="J4" s="13">
        <f>E4*K3/I4</f>
        <v>47</v>
      </c>
      <c r="K4" s="13">
        <f>K3-J4</f>
        <v>1477</v>
      </c>
    </row>
    <row r="5" spans="1:11">
      <c r="A5" s="1">
        <v>1</v>
      </c>
      <c r="B5" s="31">
        <v>110</v>
      </c>
      <c r="C5" s="31">
        <f>C4+B5</f>
        <v>120</v>
      </c>
      <c r="D5" s="13">
        <f t="shared" si="0"/>
        <v>2</v>
      </c>
      <c r="E5" s="1">
        <v>53</v>
      </c>
      <c r="F5" s="1">
        <f t="shared" ref="F5:F18" si="1">E5+F4</f>
        <v>151</v>
      </c>
      <c r="G5" s="40">
        <v>0</v>
      </c>
      <c r="H5" s="40">
        <v>0</v>
      </c>
      <c r="I5" s="40">
        <f t="shared" ref="I5:I19" si="2">$F$24-F4+G5+H5</f>
        <v>1477</v>
      </c>
      <c r="J5" s="13">
        <f t="shared" ref="J5:J13" si="3">E5*K4/I5</f>
        <v>53</v>
      </c>
      <c r="K5" s="13">
        <f>K4-J5</f>
        <v>1424</v>
      </c>
    </row>
    <row r="6" spans="1:11">
      <c r="A6" s="1">
        <v>2</v>
      </c>
      <c r="B6" s="31">
        <v>80</v>
      </c>
      <c r="C6" s="31">
        <f>C5+B6</f>
        <v>200</v>
      </c>
      <c r="D6" s="13">
        <f t="shared" si="0"/>
        <v>3.3333333333333335</v>
      </c>
      <c r="E6" s="1">
        <v>57</v>
      </c>
      <c r="F6" s="1">
        <f t="shared" si="1"/>
        <v>208</v>
      </c>
      <c r="G6" s="40">
        <v>0</v>
      </c>
      <c r="H6" s="40">
        <v>0</v>
      </c>
      <c r="I6" s="40">
        <f t="shared" si="2"/>
        <v>1424</v>
      </c>
      <c r="J6" s="13">
        <f>E6*K5/I6</f>
        <v>57</v>
      </c>
      <c r="K6" s="13">
        <f t="shared" ref="K6:K13" si="4">K5-J6</f>
        <v>1367</v>
      </c>
    </row>
    <row r="7" spans="1:11">
      <c r="A7" s="1">
        <v>3</v>
      </c>
      <c r="B7" s="31">
        <v>80</v>
      </c>
      <c r="C7" s="31">
        <f>C6+B7</f>
        <v>280</v>
      </c>
      <c r="D7" s="13">
        <f t="shared" si="0"/>
        <v>4.666666666666667</v>
      </c>
      <c r="E7" s="1">
        <v>54</v>
      </c>
      <c r="F7" s="1">
        <f t="shared" si="1"/>
        <v>262</v>
      </c>
      <c r="G7" s="40">
        <v>0</v>
      </c>
      <c r="H7" s="40">
        <v>0</v>
      </c>
      <c r="I7" s="40">
        <f t="shared" si="2"/>
        <v>1367</v>
      </c>
      <c r="J7" s="13">
        <f>E7*K6/I7</f>
        <v>54</v>
      </c>
      <c r="K7" s="13">
        <f>K6-J7</f>
        <v>1313</v>
      </c>
    </row>
    <row r="8" spans="1:11">
      <c r="A8" s="1">
        <v>4</v>
      </c>
      <c r="B8" s="31">
        <v>80</v>
      </c>
      <c r="C8" s="31">
        <f t="shared" ref="C8:C18" si="5">C7+B8</f>
        <v>360</v>
      </c>
      <c r="D8" s="13">
        <f t="shared" si="0"/>
        <v>6</v>
      </c>
      <c r="E8" s="1">
        <v>54</v>
      </c>
      <c r="F8" s="1">
        <f t="shared" si="1"/>
        <v>316</v>
      </c>
      <c r="G8" s="40">
        <v>0</v>
      </c>
      <c r="H8" s="40">
        <v>0</v>
      </c>
      <c r="I8" s="40">
        <f t="shared" si="2"/>
        <v>1313</v>
      </c>
      <c r="J8" s="13">
        <f t="shared" si="3"/>
        <v>54</v>
      </c>
      <c r="K8" s="13">
        <f t="shared" si="4"/>
        <v>1259</v>
      </c>
    </row>
    <row r="9" spans="1:11">
      <c r="A9" s="1">
        <v>5</v>
      </c>
      <c r="B9" s="31">
        <v>80</v>
      </c>
      <c r="C9" s="31">
        <f t="shared" si="5"/>
        <v>440</v>
      </c>
      <c r="D9" s="13">
        <f t="shared" si="0"/>
        <v>7.333333333333333</v>
      </c>
      <c r="E9" s="1">
        <v>50</v>
      </c>
      <c r="F9" s="1">
        <f t="shared" si="1"/>
        <v>366</v>
      </c>
      <c r="G9" s="40">
        <v>0</v>
      </c>
      <c r="H9" s="40">
        <v>0</v>
      </c>
      <c r="I9" s="40">
        <f t="shared" si="2"/>
        <v>1259</v>
      </c>
      <c r="J9" s="13">
        <f t="shared" si="3"/>
        <v>50</v>
      </c>
      <c r="K9" s="13">
        <f t="shared" si="4"/>
        <v>1209</v>
      </c>
    </row>
    <row r="10" spans="1:11">
      <c r="A10" s="1">
        <v>6</v>
      </c>
      <c r="B10" s="31">
        <v>80</v>
      </c>
      <c r="C10" s="31">
        <f t="shared" si="5"/>
        <v>520</v>
      </c>
      <c r="D10" s="13">
        <f t="shared" si="0"/>
        <v>8.6666666666666661</v>
      </c>
      <c r="E10" s="1">
        <v>58</v>
      </c>
      <c r="F10" s="1">
        <f t="shared" si="1"/>
        <v>424</v>
      </c>
      <c r="G10" s="40">
        <v>0</v>
      </c>
      <c r="H10" s="40">
        <v>0</v>
      </c>
      <c r="I10" s="40">
        <f t="shared" si="2"/>
        <v>1209</v>
      </c>
      <c r="J10" s="13">
        <f t="shared" si="3"/>
        <v>58</v>
      </c>
      <c r="K10" s="13">
        <f t="shared" si="4"/>
        <v>1151</v>
      </c>
    </row>
    <row r="11" spans="1:11">
      <c r="A11" s="1">
        <v>7</v>
      </c>
      <c r="B11" s="31">
        <v>80</v>
      </c>
      <c r="C11" s="31">
        <f t="shared" si="5"/>
        <v>600</v>
      </c>
      <c r="D11" s="13">
        <f t="shared" si="0"/>
        <v>10</v>
      </c>
      <c r="E11" s="1">
        <v>56</v>
      </c>
      <c r="F11" s="1">
        <f t="shared" si="1"/>
        <v>480</v>
      </c>
      <c r="G11" s="40">
        <v>0</v>
      </c>
      <c r="H11" s="40">
        <v>0</v>
      </c>
      <c r="I11" s="40">
        <f t="shared" si="2"/>
        <v>1151</v>
      </c>
      <c r="J11" s="13">
        <f>E11*K10/I11</f>
        <v>56</v>
      </c>
      <c r="K11" s="13">
        <f t="shared" si="4"/>
        <v>1095</v>
      </c>
    </row>
    <row r="12" spans="1:11">
      <c r="A12" s="1">
        <v>8</v>
      </c>
      <c r="B12" s="31">
        <v>80</v>
      </c>
      <c r="C12" s="31">
        <f t="shared" si="5"/>
        <v>680</v>
      </c>
      <c r="D12" s="13">
        <f t="shared" si="0"/>
        <v>11.333333333333334</v>
      </c>
      <c r="E12" s="1">
        <v>42</v>
      </c>
      <c r="F12" s="1">
        <f t="shared" si="1"/>
        <v>522</v>
      </c>
      <c r="G12" s="40">
        <v>0</v>
      </c>
      <c r="H12" s="40">
        <v>0</v>
      </c>
      <c r="I12" s="40">
        <f t="shared" si="2"/>
        <v>1095</v>
      </c>
      <c r="J12" s="13">
        <f t="shared" si="3"/>
        <v>42</v>
      </c>
      <c r="K12" s="13">
        <f t="shared" si="4"/>
        <v>1053</v>
      </c>
    </row>
    <row r="13" spans="1:11">
      <c r="A13" s="1">
        <v>9</v>
      </c>
      <c r="B13" s="31">
        <v>80</v>
      </c>
      <c r="C13" s="31">
        <f t="shared" si="5"/>
        <v>760</v>
      </c>
      <c r="D13" s="13">
        <f t="shared" si="0"/>
        <v>12.666666666666666</v>
      </c>
      <c r="E13" s="1">
        <v>42</v>
      </c>
      <c r="F13" s="1">
        <f t="shared" si="1"/>
        <v>564</v>
      </c>
      <c r="G13" s="40">
        <v>0</v>
      </c>
      <c r="H13" s="40">
        <v>0</v>
      </c>
      <c r="I13" s="40">
        <f t="shared" si="2"/>
        <v>1053</v>
      </c>
      <c r="J13" s="13">
        <f t="shared" si="3"/>
        <v>42</v>
      </c>
      <c r="K13" s="13">
        <f t="shared" si="4"/>
        <v>1011</v>
      </c>
    </row>
    <row r="14" spans="1:11">
      <c r="A14" s="37">
        <v>10</v>
      </c>
      <c r="B14" s="31">
        <v>80</v>
      </c>
      <c r="C14" s="31">
        <f t="shared" si="5"/>
        <v>840</v>
      </c>
      <c r="D14" s="13">
        <f t="shared" si="0"/>
        <v>14</v>
      </c>
      <c r="E14" s="3">
        <v>43</v>
      </c>
      <c r="F14" s="37">
        <f t="shared" si="1"/>
        <v>607</v>
      </c>
      <c r="G14" s="40">
        <v>1</v>
      </c>
      <c r="H14" s="40">
        <v>0</v>
      </c>
      <c r="I14" s="40">
        <f t="shared" si="2"/>
        <v>1012</v>
      </c>
      <c r="J14" s="13">
        <f t="shared" ref="J14:J19" si="6">E14*K13/I14</f>
        <v>42.957509881422922</v>
      </c>
      <c r="K14" s="13">
        <f t="shared" ref="K14:K19" si="7">K13-J14</f>
        <v>968.04249011857712</v>
      </c>
    </row>
    <row r="15" spans="1:11">
      <c r="A15" s="37">
        <v>11</v>
      </c>
      <c r="B15" s="31">
        <v>80</v>
      </c>
      <c r="C15" s="31">
        <f t="shared" si="5"/>
        <v>920</v>
      </c>
      <c r="D15" s="13">
        <f t="shared" si="0"/>
        <v>15.333333333333334</v>
      </c>
      <c r="E15" s="37">
        <v>45</v>
      </c>
      <c r="F15" s="37">
        <f t="shared" si="1"/>
        <v>652</v>
      </c>
      <c r="G15" s="40">
        <v>2</v>
      </c>
      <c r="H15" s="40">
        <v>0</v>
      </c>
      <c r="I15" s="40">
        <f t="shared" si="2"/>
        <v>970</v>
      </c>
      <c r="J15" s="13">
        <f t="shared" si="6"/>
        <v>44.909187685913366</v>
      </c>
      <c r="K15" s="13">
        <f t="shared" si="7"/>
        <v>923.13330243266375</v>
      </c>
    </row>
    <row r="16" spans="1:11">
      <c r="A16" s="37">
        <v>12</v>
      </c>
      <c r="B16" s="31">
        <v>80</v>
      </c>
      <c r="C16" s="31">
        <f t="shared" si="5"/>
        <v>1000</v>
      </c>
      <c r="D16" s="13">
        <f t="shared" si="0"/>
        <v>16.666666666666668</v>
      </c>
      <c r="E16" s="37">
        <v>44</v>
      </c>
      <c r="F16" s="37">
        <f t="shared" si="1"/>
        <v>696</v>
      </c>
      <c r="G16" s="40">
        <v>4</v>
      </c>
      <c r="H16" s="40">
        <v>0</v>
      </c>
      <c r="I16" s="40">
        <f t="shared" si="2"/>
        <v>927</v>
      </c>
      <c r="J16" s="13">
        <f t="shared" si="6"/>
        <v>43.816467429382094</v>
      </c>
      <c r="K16" s="13">
        <f t="shared" si="7"/>
        <v>879.31683500328165</v>
      </c>
    </row>
    <row r="17" spans="1:11">
      <c r="A17" s="37">
        <v>13</v>
      </c>
      <c r="B17" s="31">
        <v>80</v>
      </c>
      <c r="C17" s="31">
        <f t="shared" si="5"/>
        <v>1080</v>
      </c>
      <c r="D17" s="13">
        <f t="shared" si="0"/>
        <v>18</v>
      </c>
      <c r="E17" s="37">
        <v>43</v>
      </c>
      <c r="F17" s="37">
        <f t="shared" si="1"/>
        <v>739</v>
      </c>
      <c r="G17" s="40">
        <v>8</v>
      </c>
      <c r="H17" s="40">
        <v>0</v>
      </c>
      <c r="I17" s="40">
        <f t="shared" si="2"/>
        <v>887</v>
      </c>
      <c r="J17" s="13">
        <f t="shared" si="6"/>
        <v>42.627535406021543</v>
      </c>
      <c r="K17" s="13">
        <f t="shared" si="7"/>
        <v>836.68929959726006</v>
      </c>
    </row>
    <row r="18" spans="1:11">
      <c r="A18" s="37">
        <v>14</v>
      </c>
      <c r="B18" s="31">
        <v>80</v>
      </c>
      <c r="C18" s="31">
        <f t="shared" si="5"/>
        <v>1160</v>
      </c>
      <c r="D18" s="13">
        <f t="shared" si="0"/>
        <v>19.333333333333332</v>
      </c>
      <c r="E18" s="37">
        <v>39</v>
      </c>
      <c r="F18" s="37">
        <f t="shared" si="1"/>
        <v>778</v>
      </c>
      <c r="G18" s="40">
        <v>11</v>
      </c>
      <c r="H18" s="40">
        <v>0</v>
      </c>
      <c r="I18" s="40">
        <f t="shared" si="2"/>
        <v>847</v>
      </c>
      <c r="J18" s="13">
        <f t="shared" si="6"/>
        <v>38.525245199873837</v>
      </c>
      <c r="K18" s="13">
        <f t="shared" si="7"/>
        <v>798.16405439738628</v>
      </c>
    </row>
    <row r="19" spans="1:11">
      <c r="A19" s="37">
        <v>15</v>
      </c>
      <c r="B19" s="31">
        <v>290</v>
      </c>
      <c r="C19" s="31">
        <f>C18+B19</f>
        <v>1450</v>
      </c>
      <c r="D19" s="13">
        <f t="shared" si="0"/>
        <v>24.166666666666668</v>
      </c>
      <c r="E19" s="37">
        <v>56</v>
      </c>
      <c r="F19" s="37">
        <f>E19+F18</f>
        <v>834</v>
      </c>
      <c r="G19" s="40">
        <v>23</v>
      </c>
      <c r="H19" s="40">
        <v>0</v>
      </c>
      <c r="I19" s="40">
        <f t="shared" si="2"/>
        <v>820</v>
      </c>
      <c r="J19" s="13">
        <f t="shared" si="6"/>
        <v>54.508764690553207</v>
      </c>
      <c r="K19" s="13">
        <f t="shared" si="7"/>
        <v>743.65528970683306</v>
      </c>
    </row>
    <row r="20" spans="1:11">
      <c r="A20" s="40">
        <v>16</v>
      </c>
      <c r="B20" s="31">
        <v>360</v>
      </c>
      <c r="C20" s="31">
        <f>C19+B20</f>
        <v>1810</v>
      </c>
      <c r="D20" s="13">
        <f t="shared" ref="D20:D21" si="8">C20/60</f>
        <v>30.166666666666668</v>
      </c>
      <c r="E20" s="40">
        <v>48</v>
      </c>
      <c r="F20" s="40">
        <f>E20+F19</f>
        <v>882</v>
      </c>
      <c r="G20" s="40">
        <v>24</v>
      </c>
      <c r="H20" s="40">
        <v>0</v>
      </c>
      <c r="I20" s="40">
        <f t="shared" ref="I20" si="9">$F$24-F19+G20+H20</f>
        <v>765</v>
      </c>
      <c r="J20" s="13">
        <f t="shared" ref="J20:J21" si="10">E20*K19/I20</f>
        <v>46.660724060036578</v>
      </c>
      <c r="K20" s="13">
        <f t="shared" ref="K20:K21" si="11">K19-J20</f>
        <v>696.99456564679645</v>
      </c>
    </row>
    <row r="21" spans="1:11">
      <c r="A21" s="40">
        <v>17</v>
      </c>
      <c r="B21" s="31">
        <v>1080</v>
      </c>
      <c r="C21" s="31">
        <f>C20+B21</f>
        <v>2890</v>
      </c>
      <c r="D21" s="13">
        <f t="shared" si="8"/>
        <v>48.166666666666664</v>
      </c>
      <c r="E21" s="40">
        <v>53</v>
      </c>
      <c r="F21" s="40">
        <f t="shared" ref="F21" si="12">E21+F20</f>
        <v>935</v>
      </c>
      <c r="G21" s="40">
        <v>24</v>
      </c>
      <c r="H21" s="40">
        <v>0</v>
      </c>
      <c r="I21" s="40">
        <f>$F$24-F20+G21+H21</f>
        <v>717</v>
      </c>
      <c r="J21" s="13">
        <f t="shared" si="10"/>
        <v>51.521216149623726</v>
      </c>
      <c r="K21" s="13">
        <f t="shared" si="11"/>
        <v>645.47334949717276</v>
      </c>
    </row>
    <row r="23" spans="1:11">
      <c r="A23" s="111" t="s">
        <v>15</v>
      </c>
      <c r="B23" s="112"/>
      <c r="C23" s="112"/>
      <c r="D23" s="112"/>
      <c r="E23" s="113"/>
      <c r="F23" s="1">
        <v>1500</v>
      </c>
    </row>
    <row r="24" spans="1:11">
      <c r="A24" s="111" t="s">
        <v>15</v>
      </c>
      <c r="B24" s="112"/>
      <c r="C24" s="112"/>
      <c r="D24" s="112"/>
      <c r="E24" s="113"/>
      <c r="F24" s="40">
        <v>1575</v>
      </c>
    </row>
  </sheetData>
  <mergeCells count="8">
    <mergeCell ref="A24:E24"/>
    <mergeCell ref="A1:A2"/>
    <mergeCell ref="D1:D2"/>
    <mergeCell ref="G1:G2"/>
    <mergeCell ref="H1:H2"/>
    <mergeCell ref="A23:E23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A3" sqref="A3:D21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15" t="s">
        <v>4</v>
      </c>
      <c r="B1" s="115" t="s">
        <v>118</v>
      </c>
      <c r="C1" s="115" t="s">
        <v>118</v>
      </c>
      <c r="D1" s="115" t="s">
        <v>5</v>
      </c>
      <c r="E1" s="120" t="s">
        <v>18</v>
      </c>
      <c r="F1" s="120"/>
      <c r="G1" s="120"/>
      <c r="H1" s="120"/>
      <c r="I1" s="120" t="s">
        <v>20</v>
      </c>
      <c r="J1" s="120"/>
      <c r="K1" s="120"/>
      <c r="L1" s="120"/>
      <c r="M1" s="120" t="s">
        <v>21</v>
      </c>
      <c r="N1" s="120"/>
      <c r="O1" s="120"/>
      <c r="P1" s="120"/>
      <c r="Q1" s="38" t="s">
        <v>22</v>
      </c>
      <c r="R1" s="38" t="s">
        <v>22</v>
      </c>
      <c r="S1" s="38" t="s">
        <v>22</v>
      </c>
    </row>
    <row r="2" spans="1:19">
      <c r="A2" s="116"/>
      <c r="B2" s="116"/>
      <c r="C2" s="116"/>
      <c r="D2" s="116"/>
      <c r="E2" s="41" t="s">
        <v>19</v>
      </c>
      <c r="F2" s="41" t="s">
        <v>68</v>
      </c>
      <c r="G2" s="41" t="s">
        <v>119</v>
      </c>
      <c r="H2" s="41" t="s">
        <v>70</v>
      </c>
      <c r="I2" s="41" t="s">
        <v>19</v>
      </c>
      <c r="J2" s="41" t="s">
        <v>68</v>
      </c>
      <c r="K2" s="41" t="s">
        <v>69</v>
      </c>
      <c r="L2" s="41" t="s">
        <v>70</v>
      </c>
      <c r="M2" s="41" t="s">
        <v>19</v>
      </c>
      <c r="N2" s="41" t="s">
        <v>68</v>
      </c>
      <c r="O2" s="41" t="s">
        <v>69</v>
      </c>
      <c r="P2" s="41" t="s">
        <v>71</v>
      </c>
      <c r="Q2" s="39" t="s">
        <v>70</v>
      </c>
      <c r="R2" s="39" t="s">
        <v>23</v>
      </c>
      <c r="S2" s="39" t="s">
        <v>72</v>
      </c>
    </row>
    <row r="3" spans="1:19" s="6" customFormat="1">
      <c r="A3" s="40" t="s">
        <v>6</v>
      </c>
      <c r="B3" s="31">
        <v>-10</v>
      </c>
      <c r="C3" s="31">
        <f>B3</f>
        <v>-10</v>
      </c>
      <c r="D3" s="13">
        <f>C3/60</f>
        <v>-0.16666666666666666</v>
      </c>
      <c r="Q3" s="117"/>
      <c r="R3" s="118"/>
      <c r="S3" s="119"/>
    </row>
    <row r="4" spans="1:19">
      <c r="A4" s="40">
        <v>0</v>
      </c>
      <c r="B4" s="31">
        <v>10</v>
      </c>
      <c r="C4" s="31">
        <f>B4</f>
        <v>10</v>
      </c>
      <c r="D4" s="13">
        <f t="shared" ref="D4:D21" si="0">C4/60</f>
        <v>0.16666666666666666</v>
      </c>
      <c r="Q4" s="46" t="e">
        <f>AVERAGE('Flow cytometer'!P4,'Flow cytometer'!L4,'Flow cytometer'!H4)*Calculation!K4/Calculation!M3</f>
        <v>#DIV/0!</v>
      </c>
      <c r="R4" s="46" t="e">
        <f>STDEV('Flow cytometer'!P4,'Flow cytometer'!L4,'Flow cytometer'!H4)*Calculation!K4/Calculation!M3</f>
        <v>#DIV/0!</v>
      </c>
      <c r="S4" s="47" t="e">
        <f t="shared" ref="S4:S19" si="1">LOG(Q4)</f>
        <v>#DIV/0!</v>
      </c>
    </row>
    <row r="5" spans="1:19">
      <c r="A5" s="40">
        <v>1</v>
      </c>
      <c r="B5" s="31">
        <v>110</v>
      </c>
      <c r="C5" s="31">
        <f>C4+B5</f>
        <v>120</v>
      </c>
      <c r="D5" s="13">
        <f t="shared" si="0"/>
        <v>2</v>
      </c>
      <c r="Q5" s="46" t="e">
        <f>AVERAGE('Flow cytometer'!P5,'Flow cytometer'!L5,'Flow cytometer'!H5)*Calculation!K5/Calculation!M4</f>
        <v>#DIV/0!</v>
      </c>
      <c r="R5" s="46" t="e">
        <f>STDEV('Flow cytometer'!P5,'Flow cytometer'!L5,'Flow cytometer'!H5)*Calculation!K5/Calculation!M4</f>
        <v>#DIV/0!</v>
      </c>
      <c r="S5" s="47" t="e">
        <f t="shared" si="1"/>
        <v>#DIV/0!</v>
      </c>
    </row>
    <row r="6" spans="1:19">
      <c r="A6" s="40">
        <v>2</v>
      </c>
      <c r="B6" s="31">
        <v>80</v>
      </c>
      <c r="C6" s="31">
        <f>C5+B6</f>
        <v>200</v>
      </c>
      <c r="D6" s="13">
        <f t="shared" si="0"/>
        <v>3.3333333333333335</v>
      </c>
      <c r="Q6" s="46" t="e">
        <f>AVERAGE('Flow cytometer'!P6,'Flow cytometer'!L6,'Flow cytometer'!H6)*Calculation!K6/Calculation!M5</f>
        <v>#DIV/0!</v>
      </c>
      <c r="R6" s="46" t="e">
        <f>STDEV('Flow cytometer'!P6,'Flow cytometer'!L6,'Flow cytometer'!H6)*Calculation!K6/Calculation!M5</f>
        <v>#DIV/0!</v>
      </c>
      <c r="S6" s="47" t="e">
        <f t="shared" si="1"/>
        <v>#DIV/0!</v>
      </c>
    </row>
    <row r="7" spans="1:19">
      <c r="A7" s="40">
        <v>3</v>
      </c>
      <c r="B7" s="31">
        <v>80</v>
      </c>
      <c r="C7" s="31">
        <f>C6+B7</f>
        <v>280</v>
      </c>
      <c r="D7" s="13">
        <f t="shared" si="0"/>
        <v>4.666666666666667</v>
      </c>
      <c r="Q7" s="46" t="e">
        <f>AVERAGE('Flow cytometer'!P7,'Flow cytometer'!L7,'Flow cytometer'!H7)*Calculation!K7/Calculation!M6</f>
        <v>#DIV/0!</v>
      </c>
      <c r="R7" s="46" t="e">
        <f>STDEV('Flow cytometer'!P7,'Flow cytometer'!L7,'Flow cytometer'!H7)*Calculation!K7/Calculation!M6</f>
        <v>#DIV/0!</v>
      </c>
      <c r="S7" s="47" t="e">
        <f t="shared" si="1"/>
        <v>#DIV/0!</v>
      </c>
    </row>
    <row r="8" spans="1:19">
      <c r="A8" s="40">
        <v>4</v>
      </c>
      <c r="B8" s="31">
        <v>80</v>
      </c>
      <c r="C8" s="31">
        <f t="shared" ref="C8:C18" si="2">C7+B8</f>
        <v>360</v>
      </c>
      <c r="D8" s="13">
        <f t="shared" si="0"/>
        <v>6</v>
      </c>
      <c r="Q8" s="46" t="e">
        <f>AVERAGE('Flow cytometer'!P8,'Flow cytometer'!L8,'Flow cytometer'!H8)*Calculation!K8/Calculation!M7</f>
        <v>#DIV/0!</v>
      </c>
      <c r="R8" s="46" t="e">
        <f>STDEV('Flow cytometer'!P8,'Flow cytometer'!L8,'Flow cytometer'!H8)*Calculation!K8/Calculation!M7</f>
        <v>#DIV/0!</v>
      </c>
      <c r="S8" s="47" t="e">
        <f t="shared" si="1"/>
        <v>#DIV/0!</v>
      </c>
    </row>
    <row r="9" spans="1:19">
      <c r="A9" s="40">
        <v>5</v>
      </c>
      <c r="B9" s="31">
        <v>80</v>
      </c>
      <c r="C9" s="31">
        <f t="shared" si="2"/>
        <v>440</v>
      </c>
      <c r="D9" s="13">
        <f t="shared" si="0"/>
        <v>7.333333333333333</v>
      </c>
      <c r="Q9" s="46" t="e">
        <f>AVERAGE('Flow cytometer'!P9,'Flow cytometer'!L9,'Flow cytometer'!H9)*Calculation!K9/Calculation!M8</f>
        <v>#DIV/0!</v>
      </c>
      <c r="R9" s="46" t="e">
        <f>STDEV('Flow cytometer'!P9,'Flow cytometer'!L9,'Flow cytometer'!H9)*Calculation!K9/Calculation!M8</f>
        <v>#DIV/0!</v>
      </c>
      <c r="S9" s="47" t="e">
        <f t="shared" si="1"/>
        <v>#DIV/0!</v>
      </c>
    </row>
    <row r="10" spans="1:19">
      <c r="A10" s="40">
        <v>6</v>
      </c>
      <c r="B10" s="31">
        <v>80</v>
      </c>
      <c r="C10" s="31">
        <f t="shared" si="2"/>
        <v>520</v>
      </c>
      <c r="D10" s="13">
        <f t="shared" si="0"/>
        <v>8.6666666666666661</v>
      </c>
      <c r="Q10" s="46" t="e">
        <f>AVERAGE('Flow cytometer'!P10,'Flow cytometer'!L10,'Flow cytometer'!H10)*Calculation!K10/Calculation!M9</f>
        <v>#DIV/0!</v>
      </c>
      <c r="R10" s="46" t="e">
        <f>STDEV('Flow cytometer'!P10,'Flow cytometer'!L10,'Flow cytometer'!H10)*Calculation!K10/Calculation!M9</f>
        <v>#DIV/0!</v>
      </c>
      <c r="S10" s="47" t="e">
        <f t="shared" si="1"/>
        <v>#DIV/0!</v>
      </c>
    </row>
    <row r="11" spans="1:19">
      <c r="A11" s="40">
        <v>7</v>
      </c>
      <c r="B11" s="31">
        <v>80</v>
      </c>
      <c r="C11" s="31">
        <f t="shared" si="2"/>
        <v>600</v>
      </c>
      <c r="D11" s="13">
        <f t="shared" si="0"/>
        <v>10</v>
      </c>
      <c r="Q11" s="46" t="e">
        <f>AVERAGE('Flow cytometer'!P11,'Flow cytometer'!L11,'Flow cytometer'!H11)*Calculation!K11/Calculation!M10</f>
        <v>#DIV/0!</v>
      </c>
      <c r="R11" s="46" t="e">
        <f>STDEV('Flow cytometer'!P11,'Flow cytometer'!L11,'Flow cytometer'!H11)*Calculation!K11/Calculation!M10</f>
        <v>#DIV/0!</v>
      </c>
      <c r="S11" s="47" t="e">
        <f t="shared" si="1"/>
        <v>#DIV/0!</v>
      </c>
    </row>
    <row r="12" spans="1:19">
      <c r="A12" s="40">
        <v>8</v>
      </c>
      <c r="B12" s="31">
        <v>80</v>
      </c>
      <c r="C12" s="31">
        <f t="shared" si="2"/>
        <v>680</v>
      </c>
      <c r="D12" s="13">
        <f t="shared" si="0"/>
        <v>11.333333333333334</v>
      </c>
      <c r="Q12" s="46" t="e">
        <f>AVERAGE('Flow cytometer'!P12,'Flow cytometer'!L12,'Flow cytometer'!H12)*Calculation!K12/Calculation!M11</f>
        <v>#DIV/0!</v>
      </c>
      <c r="R12" s="46" t="e">
        <f>STDEV('Flow cytometer'!P12,'Flow cytometer'!L12,'Flow cytometer'!H12)*Calculation!K12/Calculation!M11</f>
        <v>#DIV/0!</v>
      </c>
      <c r="S12" s="47" t="e">
        <f t="shared" si="1"/>
        <v>#DIV/0!</v>
      </c>
    </row>
    <row r="13" spans="1:19">
      <c r="A13" s="40">
        <v>9</v>
      </c>
      <c r="B13" s="31">
        <v>80</v>
      </c>
      <c r="C13" s="31">
        <f t="shared" si="2"/>
        <v>760</v>
      </c>
      <c r="D13" s="13">
        <f t="shared" si="0"/>
        <v>12.666666666666666</v>
      </c>
      <c r="Q13" s="46" t="e">
        <f>AVERAGE('Flow cytometer'!P13,'Flow cytometer'!L13,'Flow cytometer'!H13)*Calculation!K13/Calculation!M12</f>
        <v>#DIV/0!</v>
      </c>
      <c r="R13" s="46" t="e">
        <f>STDEV('Flow cytometer'!P13,'Flow cytometer'!L13,'Flow cytometer'!H13)*Calculation!K13/Calculation!M12</f>
        <v>#DIV/0!</v>
      </c>
      <c r="S13" s="47" t="e">
        <f t="shared" si="1"/>
        <v>#DIV/0!</v>
      </c>
    </row>
    <row r="14" spans="1:19">
      <c r="A14" s="40">
        <v>10</v>
      </c>
      <c r="B14" s="31">
        <v>80</v>
      </c>
      <c r="C14" s="31">
        <f t="shared" si="2"/>
        <v>840</v>
      </c>
      <c r="D14" s="13">
        <f t="shared" si="0"/>
        <v>14</v>
      </c>
      <c r="Q14" s="46" t="e">
        <f>AVERAGE('Flow cytometer'!P14,'Flow cytometer'!L14,'Flow cytometer'!H14)*Calculation!K14/Calculation!M13</f>
        <v>#DIV/0!</v>
      </c>
      <c r="R14" s="46" t="e">
        <f>STDEV('Flow cytometer'!P14,'Flow cytometer'!L14,'Flow cytometer'!H14)*Calculation!K14/Calculation!M13</f>
        <v>#DIV/0!</v>
      </c>
      <c r="S14" s="47" t="e">
        <f t="shared" si="1"/>
        <v>#DIV/0!</v>
      </c>
    </row>
    <row r="15" spans="1:19">
      <c r="A15" s="40">
        <v>11</v>
      </c>
      <c r="B15" s="31">
        <v>80</v>
      </c>
      <c r="C15" s="31">
        <f t="shared" si="2"/>
        <v>920</v>
      </c>
      <c r="D15" s="13">
        <f t="shared" si="0"/>
        <v>15.333333333333334</v>
      </c>
      <c r="Q15" s="46" t="e">
        <f>AVERAGE('Flow cytometer'!P15,'Flow cytometer'!L15,'Flow cytometer'!H15)*Calculation!K15/Calculation!M14</f>
        <v>#DIV/0!</v>
      </c>
      <c r="R15" s="46" t="e">
        <f>STDEV('Flow cytometer'!P15,'Flow cytometer'!L15,'Flow cytometer'!H15)*Calculation!K15/Calculation!M14</f>
        <v>#DIV/0!</v>
      </c>
      <c r="S15" s="47" t="e">
        <f t="shared" si="1"/>
        <v>#DIV/0!</v>
      </c>
    </row>
    <row r="16" spans="1:19">
      <c r="A16" s="40">
        <v>12</v>
      </c>
      <c r="B16" s="31">
        <v>80</v>
      </c>
      <c r="C16" s="31">
        <f t="shared" si="2"/>
        <v>1000</v>
      </c>
      <c r="D16" s="13">
        <f t="shared" si="0"/>
        <v>16.666666666666668</v>
      </c>
      <c r="Q16" s="46" t="e">
        <f>AVERAGE('Flow cytometer'!P16,'Flow cytometer'!L16,'Flow cytometer'!H16)*Calculation!K16/Calculation!M15</f>
        <v>#DIV/0!</v>
      </c>
      <c r="R16" s="46" t="e">
        <f>STDEV('Flow cytometer'!P16,'Flow cytometer'!L16,'Flow cytometer'!H16)*Calculation!K16/Calculation!M15</f>
        <v>#DIV/0!</v>
      </c>
      <c r="S16" s="47" t="e">
        <f t="shared" si="1"/>
        <v>#DIV/0!</v>
      </c>
    </row>
    <row r="17" spans="1:19">
      <c r="A17" s="40">
        <v>13</v>
      </c>
      <c r="B17" s="31">
        <v>80</v>
      </c>
      <c r="C17" s="31">
        <f t="shared" si="2"/>
        <v>1080</v>
      </c>
      <c r="D17" s="13">
        <f t="shared" si="0"/>
        <v>18</v>
      </c>
      <c r="Q17" s="46" t="e">
        <f>AVERAGE('Flow cytometer'!P17,'Flow cytometer'!L17,'Flow cytometer'!H17)*Calculation!K17/Calculation!M16</f>
        <v>#DIV/0!</v>
      </c>
      <c r="R17" s="46" t="e">
        <f>STDEV('Flow cytometer'!P17,'Flow cytometer'!L17,'Flow cytometer'!H17)*Calculation!K17/Calculation!M16</f>
        <v>#DIV/0!</v>
      </c>
      <c r="S17" s="47" t="e">
        <f t="shared" si="1"/>
        <v>#DIV/0!</v>
      </c>
    </row>
    <row r="18" spans="1:19">
      <c r="A18" s="40">
        <v>14</v>
      </c>
      <c r="B18" s="31">
        <v>80</v>
      </c>
      <c r="C18" s="31">
        <f t="shared" si="2"/>
        <v>1160</v>
      </c>
      <c r="D18" s="13">
        <f t="shared" si="0"/>
        <v>19.333333333333332</v>
      </c>
      <c r="Q18" s="46" t="e">
        <f>AVERAGE('Flow cytometer'!P18,'Flow cytometer'!L18,'Flow cytometer'!H18)*Calculation!K18/Calculation!M17</f>
        <v>#DIV/0!</v>
      </c>
      <c r="R18" s="46" t="e">
        <f>STDEV('Flow cytometer'!P18,'Flow cytometer'!L18,'Flow cytometer'!H18)*Calculation!K18/Calculation!M17</f>
        <v>#DIV/0!</v>
      </c>
      <c r="S18" s="47" t="e">
        <f t="shared" si="1"/>
        <v>#DIV/0!</v>
      </c>
    </row>
    <row r="19" spans="1:19">
      <c r="A19" s="40">
        <v>15</v>
      </c>
      <c r="B19" s="31">
        <v>290</v>
      </c>
      <c r="C19" s="31">
        <f>C18+B19</f>
        <v>1450</v>
      </c>
      <c r="D19" s="13">
        <f t="shared" si="0"/>
        <v>24.166666666666668</v>
      </c>
      <c r="Q19" s="46" t="e">
        <f>AVERAGE('Flow cytometer'!P19,'Flow cytometer'!L19,'Flow cytometer'!H19)*Calculation!K19/Calculation!M18</f>
        <v>#DIV/0!</v>
      </c>
      <c r="R19" s="46" t="e">
        <f>STDEV('Flow cytometer'!P19,'Flow cytometer'!L19,'Flow cytometer'!H19)*Calculation!K19/Calculation!M18</f>
        <v>#DIV/0!</v>
      </c>
      <c r="S19" s="47" t="e">
        <f t="shared" si="1"/>
        <v>#DIV/0!</v>
      </c>
    </row>
    <row r="20" spans="1:19">
      <c r="A20" s="40">
        <v>16</v>
      </c>
      <c r="B20" s="31">
        <v>360</v>
      </c>
      <c r="C20" s="31">
        <f>C19+B20</f>
        <v>1810</v>
      </c>
      <c r="D20" s="13">
        <f t="shared" si="0"/>
        <v>30.166666666666668</v>
      </c>
      <c r="Q20" s="46" t="e">
        <f>AVERAGE('Flow cytometer'!P20,'Flow cytometer'!L20,'Flow cytometer'!H20)*Calculation!K20/Calculation!M19</f>
        <v>#DIV/0!</v>
      </c>
      <c r="R20" s="46" t="e">
        <f>STDEV('Flow cytometer'!P20,'Flow cytometer'!L20,'Flow cytometer'!H20)*Calculation!K20/Calculation!M19</f>
        <v>#DIV/0!</v>
      </c>
      <c r="S20" s="47" t="e">
        <f t="shared" ref="S20:S21" si="3">LOG(Q20)</f>
        <v>#DIV/0!</v>
      </c>
    </row>
    <row r="21" spans="1:19">
      <c r="A21" s="40">
        <v>17</v>
      </c>
      <c r="B21" s="31">
        <v>1080</v>
      </c>
      <c r="C21" s="31">
        <f>C20+B21</f>
        <v>2890</v>
      </c>
      <c r="D21" s="13">
        <f t="shared" si="0"/>
        <v>48.166666666666664</v>
      </c>
      <c r="Q21" s="46" t="e">
        <f>AVERAGE('Flow cytometer'!P21,'Flow cytometer'!L21,'Flow cytometer'!H21)*Calculation!K21/Calculation!M20</f>
        <v>#DIV/0!</v>
      </c>
      <c r="R21" s="46" t="e">
        <f>STDEV('Flow cytometer'!P21,'Flow cytometer'!L21,'Flow cytometer'!H21)*Calculation!K21/Calculation!M20</f>
        <v>#DIV/0!</v>
      </c>
      <c r="S21" s="47" t="e">
        <f t="shared" si="3"/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21"/>
  <sheetViews>
    <sheetView workbookViewId="0">
      <selection activeCell="M26" sqref="M26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  <col min="21" max="23" width="14.83203125" customWidth="1"/>
    <col min="24" max="24" width="14.83203125" bestFit="1" customWidth="1"/>
  </cols>
  <sheetData>
    <row r="1" spans="1:24">
      <c r="A1" s="115" t="s">
        <v>4</v>
      </c>
      <c r="B1" s="115" t="s">
        <v>118</v>
      </c>
      <c r="C1" s="115" t="s">
        <v>118</v>
      </c>
      <c r="D1" s="115" t="s">
        <v>5</v>
      </c>
      <c r="E1" s="114" t="s">
        <v>120</v>
      </c>
      <c r="F1" s="114"/>
      <c r="G1" s="114"/>
      <c r="H1" s="114"/>
      <c r="I1" s="114" t="s">
        <v>121</v>
      </c>
      <c r="J1" s="114"/>
      <c r="K1" s="114"/>
      <c r="L1" s="114"/>
      <c r="M1" s="114" t="s">
        <v>122</v>
      </c>
      <c r="N1" s="114"/>
      <c r="O1" s="114"/>
      <c r="P1" s="114"/>
      <c r="Q1" s="24" t="s">
        <v>123</v>
      </c>
      <c r="R1" s="24" t="s">
        <v>123</v>
      </c>
      <c r="S1" s="24" t="s">
        <v>123</v>
      </c>
      <c r="T1" s="58" t="s">
        <v>123</v>
      </c>
      <c r="U1" s="67" t="s">
        <v>120</v>
      </c>
      <c r="V1" s="67" t="s">
        <v>121</v>
      </c>
      <c r="W1" s="67" t="s">
        <v>122</v>
      </c>
      <c r="X1" s="67" t="s">
        <v>123</v>
      </c>
    </row>
    <row r="2" spans="1:24">
      <c r="A2" s="116"/>
      <c r="B2" s="116"/>
      <c r="C2" s="116"/>
      <c r="D2" s="116"/>
      <c r="E2" s="23" t="s">
        <v>19</v>
      </c>
      <c r="F2" s="23" t="s">
        <v>68</v>
      </c>
      <c r="G2" s="23" t="s">
        <v>69</v>
      </c>
      <c r="H2" s="23" t="s">
        <v>70</v>
      </c>
      <c r="I2" s="23" t="s">
        <v>19</v>
      </c>
      <c r="J2" s="23" t="s">
        <v>68</v>
      </c>
      <c r="K2" s="23" t="s">
        <v>69</v>
      </c>
      <c r="L2" s="23" t="s">
        <v>70</v>
      </c>
      <c r="M2" s="23" t="s">
        <v>19</v>
      </c>
      <c r="N2" s="23" t="s">
        <v>68</v>
      </c>
      <c r="O2" s="23" t="s">
        <v>69</v>
      </c>
      <c r="P2" s="23" t="s">
        <v>71</v>
      </c>
      <c r="Q2" s="25" t="s">
        <v>70</v>
      </c>
      <c r="R2" s="25" t="s">
        <v>23</v>
      </c>
      <c r="S2" s="25" t="s">
        <v>72</v>
      </c>
      <c r="T2" s="59" t="s">
        <v>139</v>
      </c>
      <c r="U2" s="68" t="s">
        <v>151</v>
      </c>
      <c r="V2" s="68" t="s">
        <v>151</v>
      </c>
      <c r="W2" s="68" t="s">
        <v>151</v>
      </c>
      <c r="X2" s="68" t="s">
        <v>150</v>
      </c>
    </row>
    <row r="3" spans="1:24">
      <c r="A3" s="40" t="s">
        <v>6</v>
      </c>
      <c r="B3" s="31">
        <v>-10</v>
      </c>
      <c r="C3" s="31">
        <f>B3</f>
        <v>-10</v>
      </c>
      <c r="D3" s="13">
        <f>C3/60</f>
        <v>-0.16666666666666666</v>
      </c>
      <c r="E3" s="44" t="s">
        <v>102</v>
      </c>
      <c r="F3" s="44" t="s">
        <v>102</v>
      </c>
      <c r="G3" s="44" t="s">
        <v>102</v>
      </c>
      <c r="H3" s="45" t="s">
        <v>102</v>
      </c>
      <c r="I3" s="44" t="s">
        <v>102</v>
      </c>
      <c r="J3" s="44" t="s">
        <v>102</v>
      </c>
      <c r="K3" s="44" t="s">
        <v>102</v>
      </c>
      <c r="L3" s="45" t="s">
        <v>102</v>
      </c>
      <c r="M3" s="44" t="s">
        <v>102</v>
      </c>
      <c r="N3" s="44" t="s">
        <v>102</v>
      </c>
      <c r="O3" s="44" t="s">
        <v>102</v>
      </c>
      <c r="P3" s="45" t="s">
        <v>102</v>
      </c>
      <c r="Q3" s="121" t="s">
        <v>102</v>
      </c>
      <c r="R3" s="122"/>
      <c r="S3" s="123"/>
      <c r="T3" s="45" t="s">
        <v>102</v>
      </c>
      <c r="U3" s="45" t="s">
        <v>102</v>
      </c>
      <c r="V3" s="45" t="s">
        <v>102</v>
      </c>
      <c r="W3" s="45" t="s">
        <v>102</v>
      </c>
      <c r="X3" s="45" t="s">
        <v>102</v>
      </c>
    </row>
    <row r="4" spans="1:24">
      <c r="A4" s="40">
        <v>0</v>
      </c>
      <c r="B4" s="31">
        <v>10</v>
      </c>
      <c r="C4" s="31">
        <f>B4</f>
        <v>10</v>
      </c>
      <c r="D4" s="13">
        <f t="shared" ref="D4:D21" si="0">C4/60</f>
        <v>0.16666666666666666</v>
      </c>
      <c r="E4" s="31">
        <v>1</v>
      </c>
      <c r="F4" s="31">
        <v>5744</v>
      </c>
      <c r="G4" s="31">
        <v>7</v>
      </c>
      <c r="H4" s="45">
        <f>('Flow cytometer'!F4/'Flow cytometer'!G4)*POWER(10,'Flow cytometer'!E4+2)*10.2</f>
        <v>8369828.57142857</v>
      </c>
      <c r="I4" s="31">
        <v>1</v>
      </c>
      <c r="J4" s="31">
        <v>6681</v>
      </c>
      <c r="K4" s="31">
        <v>7</v>
      </c>
      <c r="L4" s="45">
        <f>('Flow cytometer'!J4/'Flow cytometer'!K4)*POWER(10,'Flow cytometer'!I4+2)*10.2</f>
        <v>9735171.4285714291</v>
      </c>
      <c r="M4" s="31">
        <v>1</v>
      </c>
      <c r="N4" s="31">
        <v>6808</v>
      </c>
      <c r="O4" s="31">
        <v>7</v>
      </c>
      <c r="P4" s="45">
        <f>('Flow cytometer'!N4/'Flow cytometer'!O4)*POWER(10,'Flow cytometer'!M4+2)*10.2</f>
        <v>9920228.5714285709</v>
      </c>
      <c r="Q4" s="48">
        <f>AVERAGE(H4,L4,P4)*Calculation!I4/Calculation!K3</f>
        <v>9341742.8571428563</v>
      </c>
      <c r="R4" s="49">
        <f>STDEV(H4,L4,P4)*Calculation!I4/Calculation!K3</f>
        <v>846773.03370634443</v>
      </c>
      <c r="S4" s="50">
        <f>LOG(Q4)</f>
        <v>6.9704279086313923</v>
      </c>
      <c r="T4" s="50">
        <f>LN(Q4)</f>
        <v>16.050003394204307</v>
      </c>
      <c r="U4" s="50">
        <f>LOG(H4)</f>
        <v>6.922716562981905</v>
      </c>
      <c r="V4" s="50">
        <f>LOG(L4)</f>
        <v>6.9883436035013613</v>
      </c>
      <c r="W4" s="50">
        <f>LOG(P4)</f>
        <v>6.996521678824192</v>
      </c>
      <c r="X4" s="50">
        <f xml:space="preserve"> STDEV(U4:W4)*Calculation!I4/Calculation!K3</f>
        <v>4.0457764989804815E-2</v>
      </c>
    </row>
    <row r="5" spans="1:24">
      <c r="A5" s="40">
        <v>1</v>
      </c>
      <c r="B5" s="31">
        <v>110</v>
      </c>
      <c r="C5" s="31">
        <f>C4+B5</f>
        <v>120</v>
      </c>
      <c r="D5" s="13">
        <f t="shared" si="0"/>
        <v>2</v>
      </c>
      <c r="E5" s="31">
        <v>1</v>
      </c>
      <c r="F5" s="31">
        <v>14762</v>
      </c>
      <c r="G5" s="31">
        <v>7</v>
      </c>
      <c r="H5" s="45">
        <f>('Flow cytometer'!F5/'Flow cytometer'!G5)*POWER(10,'Flow cytometer'!E5+2)*10.2</f>
        <v>21510342.857142854</v>
      </c>
      <c r="I5" s="31">
        <v>1</v>
      </c>
      <c r="J5" s="31">
        <v>15547</v>
      </c>
      <c r="K5" s="31">
        <v>7</v>
      </c>
      <c r="L5" s="45">
        <f>('Flow cytometer'!J5/'Flow cytometer'!K5)*POWER(10,'Flow cytometer'!I5+2)*10.2</f>
        <v>22654200</v>
      </c>
      <c r="M5" s="31">
        <v>1</v>
      </c>
      <c r="N5" s="31">
        <v>15657</v>
      </c>
      <c r="O5" s="31">
        <v>7</v>
      </c>
      <c r="P5" s="45">
        <f>('Flow cytometer'!N5/'Flow cytometer'!O5)*POWER(10,'Flow cytometer'!M5+2)*10.2</f>
        <v>22814485.714285716</v>
      </c>
      <c r="Q5" s="48">
        <f>AVERAGE(H5,L5,P5)*Calculation!I5/Calculation!K4</f>
        <v>22326342.857142854</v>
      </c>
      <c r="R5" s="49">
        <f>STDEV(H5,L5,P5)*Calculation!I5/Calculation!K4</f>
        <v>711206.63491774572</v>
      </c>
      <c r="S5" s="50">
        <f t="shared" ref="S5:S19" si="1">LOG(Q5)</f>
        <v>7.3488175897513175</v>
      </c>
      <c r="T5" s="50">
        <f t="shared" ref="T5:T19" si="2">LN(Q5)</f>
        <v>16.921277833293814</v>
      </c>
      <c r="U5" s="50">
        <f t="shared" ref="U5:U20" si="3">LOG(H5)</f>
        <v>7.3326473327388593</v>
      </c>
      <c r="V5" s="50">
        <f t="shared" ref="V5:V20" si="4">LOG(L5)</f>
        <v>7.3551487303103915</v>
      </c>
      <c r="W5" s="50">
        <f t="shared" ref="W5:W20" si="5">LOG(P5)</f>
        <v>7.3582106833227838</v>
      </c>
      <c r="X5" s="50">
        <f xml:space="preserve"> STDEV(U5:W5)*Calculation!I5/Calculation!K4</f>
        <v>1.3959305987995316E-2</v>
      </c>
    </row>
    <row r="6" spans="1:24">
      <c r="A6" s="40">
        <v>2</v>
      </c>
      <c r="B6" s="31">
        <v>80</v>
      </c>
      <c r="C6" s="31">
        <f>C5+B6</f>
        <v>200</v>
      </c>
      <c r="D6" s="13">
        <f t="shared" si="0"/>
        <v>3.3333333333333335</v>
      </c>
      <c r="E6" s="31">
        <v>1</v>
      </c>
      <c r="F6" s="31">
        <v>28234</v>
      </c>
      <c r="G6" s="31">
        <v>7</v>
      </c>
      <c r="H6" s="45">
        <f>('Flow cytometer'!F6/'Flow cytometer'!G6)*POWER(10,'Flow cytometer'!E6+2)*10.2</f>
        <v>41140971.428571425</v>
      </c>
      <c r="I6" s="31">
        <v>1</v>
      </c>
      <c r="J6" s="31">
        <v>29275</v>
      </c>
      <c r="K6" s="31">
        <v>7</v>
      </c>
      <c r="L6" s="45">
        <f>('Flow cytometer'!J6/'Flow cytometer'!K6)*POWER(10,'Flow cytometer'!I6+2)*10.2</f>
        <v>42657857.142857134</v>
      </c>
      <c r="M6" s="31">
        <v>1</v>
      </c>
      <c r="N6" s="31">
        <v>29973</v>
      </c>
      <c r="O6" s="31">
        <v>7</v>
      </c>
      <c r="P6" s="45">
        <f>('Flow cytometer'!N6/'Flow cytometer'!O6)*POWER(10,'Flow cytometer'!M6+2)*10.2</f>
        <v>43674942.857142851</v>
      </c>
      <c r="Q6" s="48">
        <f>AVERAGE(H6,L6,P6)*Calculation!I6/Calculation!K5</f>
        <v>42491257.142857142</v>
      </c>
      <c r="R6" s="49">
        <f>STDEV(H6,L6,P6)*Calculation!I6/Calculation!K5</f>
        <v>1275174.2901282464</v>
      </c>
      <c r="S6" s="50">
        <f t="shared" si="1"/>
        <v>7.6282995802805997</v>
      </c>
      <c r="T6" s="50">
        <f t="shared" si="2"/>
        <v>17.564808898446845</v>
      </c>
      <c r="U6" s="50">
        <f t="shared" si="3"/>
        <v>7.6142745421250462</v>
      </c>
      <c r="V6" s="50">
        <f t="shared" si="4"/>
        <v>7.6299990354920615</v>
      </c>
      <c r="W6" s="50">
        <f t="shared" si="5"/>
        <v>7.64023234543874</v>
      </c>
      <c r="X6" s="50">
        <f xml:space="preserve"> STDEV(U6:W6)*Calculation!I6/Calculation!K5</f>
        <v>1.3075344973055904E-2</v>
      </c>
    </row>
    <row r="7" spans="1:24">
      <c r="A7" s="40">
        <v>3</v>
      </c>
      <c r="B7" s="31">
        <v>80</v>
      </c>
      <c r="C7" s="31">
        <f>C6+B7</f>
        <v>280</v>
      </c>
      <c r="D7" s="13">
        <f t="shared" si="0"/>
        <v>4.666666666666667</v>
      </c>
      <c r="E7" s="31">
        <v>2</v>
      </c>
      <c r="F7" s="31">
        <v>3804</v>
      </c>
      <c r="G7" s="31">
        <v>7</v>
      </c>
      <c r="H7" s="45">
        <f>('Flow cytometer'!F7/'Flow cytometer'!G7)*POWER(10,'Flow cytometer'!E7+2)*10.2</f>
        <v>55429714.285714284</v>
      </c>
      <c r="I7" s="31">
        <v>2</v>
      </c>
      <c r="J7" s="31">
        <v>3922</v>
      </c>
      <c r="K7" s="31">
        <v>7</v>
      </c>
      <c r="L7" s="45">
        <f>('Flow cytometer'!J7/'Flow cytometer'!K7)*POWER(10,'Flow cytometer'!I7+2)*10.2</f>
        <v>57149142.857142858</v>
      </c>
      <c r="M7" s="31">
        <v>2</v>
      </c>
      <c r="N7" s="31">
        <v>4020</v>
      </c>
      <c r="O7" s="31">
        <v>7</v>
      </c>
      <c r="P7" s="45">
        <f>('Flow cytometer'!N7/'Flow cytometer'!O7)*POWER(10,'Flow cytometer'!M7+2)*10.2</f>
        <v>58577142.857142858</v>
      </c>
      <c r="Q7" s="48">
        <f>AVERAGE(H7,L7,P7)*Calculation!I7/Calculation!K6</f>
        <v>57052000</v>
      </c>
      <c r="R7" s="49">
        <f>STDEV(H7,L7,P7)*Calculation!I7/Calculation!K6</f>
        <v>1575961.3586892404</v>
      </c>
      <c r="S7" s="50">
        <f t="shared" si="1"/>
        <v>7.7562708735349366</v>
      </c>
      <c r="T7" s="50">
        <f t="shared" si="2"/>
        <v>17.85947369062545</v>
      </c>
      <c r="U7" s="50">
        <f t="shared" si="3"/>
        <v>7.7437426400130374</v>
      </c>
      <c r="V7" s="50">
        <f t="shared" si="4"/>
        <v>7.7570097210794255</v>
      </c>
      <c r="W7" s="50">
        <f t="shared" si="5"/>
        <v>7.7677281848321309</v>
      </c>
      <c r="X7" s="50">
        <f xml:space="preserve"> STDEV(U7:W7)*Calculation!I7/Calculation!K6</f>
        <v>1.2015318455405996E-2</v>
      </c>
    </row>
    <row r="8" spans="1:24">
      <c r="A8" s="40">
        <v>4</v>
      </c>
      <c r="B8" s="31">
        <v>80</v>
      </c>
      <c r="C8" s="31">
        <f t="shared" ref="C8:C18" si="6">C7+B8</f>
        <v>360</v>
      </c>
      <c r="D8" s="13">
        <f t="shared" si="0"/>
        <v>6</v>
      </c>
      <c r="E8" s="31">
        <v>2</v>
      </c>
      <c r="F8" s="31">
        <v>3429</v>
      </c>
      <c r="G8" s="31">
        <v>7</v>
      </c>
      <c r="H8" s="45">
        <f>('Flow cytometer'!F8/'Flow cytometer'!G8)*POWER(10,'Flow cytometer'!E8+2)*10.2</f>
        <v>49965428.571428567</v>
      </c>
      <c r="I8" s="31">
        <v>2</v>
      </c>
      <c r="J8" s="31">
        <v>3774</v>
      </c>
      <c r="K8" s="31">
        <v>7</v>
      </c>
      <c r="L8" s="45">
        <f>('Flow cytometer'!J8/'Flow cytometer'!K8)*POWER(10,'Flow cytometer'!I8+2)*10.2</f>
        <v>54992571.428571418</v>
      </c>
      <c r="M8" s="31">
        <v>2</v>
      </c>
      <c r="N8" s="31">
        <v>3822</v>
      </c>
      <c r="O8" s="31">
        <v>7</v>
      </c>
      <c r="P8" s="45">
        <f>('Flow cytometer'!N8/'Flow cytometer'!O8)*POWER(10,'Flow cytometer'!M8+2)*10.2</f>
        <v>55691999.999999993</v>
      </c>
      <c r="Q8" s="48">
        <f>AVERAGE(H8,L8,P8)*Calculation!I8/Calculation!K7</f>
        <v>53549999.999999985</v>
      </c>
      <c r="R8" s="49">
        <f>STDEV(H8,L8,P8)*Calculation!I8/Calculation!K7</f>
        <v>3123966.1212200425</v>
      </c>
      <c r="S8" s="50">
        <f t="shared" si="1"/>
        <v>7.7287594751678741</v>
      </c>
      <c r="T8" s="50">
        <f t="shared" si="2"/>
        <v>17.796126354858032</v>
      </c>
      <c r="U8" s="50">
        <f t="shared" si="3"/>
        <v>7.6986696168626052</v>
      </c>
      <c r="V8" s="50">
        <f t="shared" si="4"/>
        <v>7.7403040275765731</v>
      </c>
      <c r="W8" s="50">
        <f t="shared" si="5"/>
        <v>7.7457928144666548</v>
      </c>
      <c r="X8" s="50">
        <f xml:space="preserve"> STDEV(U8:W8)*Calculation!I8/Calculation!K7</f>
        <v>2.5768671836988426E-2</v>
      </c>
    </row>
    <row r="9" spans="1:24">
      <c r="A9" s="40">
        <v>5</v>
      </c>
      <c r="B9" s="31">
        <v>80</v>
      </c>
      <c r="C9" s="31">
        <f t="shared" si="6"/>
        <v>440</v>
      </c>
      <c r="D9" s="13">
        <f t="shared" si="0"/>
        <v>7.333333333333333</v>
      </c>
      <c r="E9" s="31">
        <v>2</v>
      </c>
      <c r="F9" s="31">
        <v>3692</v>
      </c>
      <c r="G9" s="31">
        <v>7</v>
      </c>
      <c r="H9" s="45">
        <f>('Flow cytometer'!F9/'Flow cytometer'!G9)*POWER(10,'Flow cytometer'!E9+2)*10.2</f>
        <v>53797714.285714284</v>
      </c>
      <c r="I9" s="31">
        <v>2</v>
      </c>
      <c r="J9" s="31">
        <v>3505</v>
      </c>
      <c r="K9" s="31">
        <v>7</v>
      </c>
      <c r="L9" s="45">
        <f>('Flow cytometer'!J9/'Flow cytometer'!K9)*POWER(10,'Flow cytometer'!I9+2)*10.2</f>
        <v>51072857.142857142</v>
      </c>
      <c r="M9" s="31">
        <v>2</v>
      </c>
      <c r="N9" s="31">
        <v>3692</v>
      </c>
      <c r="O9" s="31">
        <v>7</v>
      </c>
      <c r="P9" s="45">
        <f>('Flow cytometer'!N9/'Flow cytometer'!O9)*POWER(10,'Flow cytometer'!M9+2)*10.2</f>
        <v>53797714.285714284</v>
      </c>
      <c r="Q9" s="48">
        <f>AVERAGE(H9,L9,P9)*Calculation!I9/Calculation!K8</f>
        <v>52889428.571428575</v>
      </c>
      <c r="R9" s="49">
        <f>STDEV(H9,L9,P9)*Calculation!I9/Calculation!K8</f>
        <v>1573197.0049318452</v>
      </c>
      <c r="S9" s="50">
        <f t="shared" si="1"/>
        <v>7.7233688748349048</v>
      </c>
      <c r="T9" s="50">
        <f t="shared" si="2"/>
        <v>17.783714038889045</v>
      </c>
      <c r="U9" s="50">
        <f t="shared" si="3"/>
        <v>7.7307638241015351</v>
      </c>
      <c r="V9" s="50">
        <f t="shared" si="4"/>
        <v>7.7081901540503379</v>
      </c>
      <c r="W9" s="50">
        <f t="shared" si="5"/>
        <v>7.7307638241015351</v>
      </c>
      <c r="X9" s="50">
        <f xml:space="preserve"> STDEV(U9:W9)*Calculation!I9/Calculation!K8</f>
        <v>1.3032914480656467E-2</v>
      </c>
    </row>
    <row r="10" spans="1:24">
      <c r="A10" s="40">
        <v>6</v>
      </c>
      <c r="B10" s="31">
        <v>80</v>
      </c>
      <c r="C10" s="31">
        <f t="shared" si="6"/>
        <v>520</v>
      </c>
      <c r="D10" s="13">
        <f t="shared" si="0"/>
        <v>8.6666666666666661</v>
      </c>
      <c r="E10" s="31">
        <v>2</v>
      </c>
      <c r="F10" s="31">
        <v>5009</v>
      </c>
      <c r="G10" s="31">
        <v>7</v>
      </c>
      <c r="H10" s="45">
        <f>('Flow cytometer'!F10/'Flow cytometer'!G10)*POWER(10,'Flow cytometer'!E10+2)*10.2</f>
        <v>72988285.714285702</v>
      </c>
      <c r="I10" s="31">
        <v>2</v>
      </c>
      <c r="J10" s="31">
        <v>3883</v>
      </c>
      <c r="K10" s="31">
        <v>7</v>
      </c>
      <c r="L10" s="45">
        <f>('Flow cytometer'!J10/'Flow cytometer'!K10)*POWER(10,'Flow cytometer'!I10+2)*10.2</f>
        <v>56580857.142857134</v>
      </c>
      <c r="M10" s="31">
        <v>2</v>
      </c>
      <c r="N10" s="31">
        <v>4380</v>
      </c>
      <c r="O10" s="31">
        <v>7</v>
      </c>
      <c r="P10" s="45">
        <f>('Flow cytometer'!N10/'Flow cytometer'!O10)*POWER(10,'Flow cytometer'!M10+2)*10.2</f>
        <v>63822857.142857127</v>
      </c>
      <c r="Q10" s="48">
        <f>AVERAGE(H10,L10,P10)*Calculation!I10/Calculation!K9</f>
        <v>64463999.999999985</v>
      </c>
      <c r="R10" s="49">
        <f>STDEV(H10,L10,P10)*Calculation!I10/Calculation!K9</f>
        <v>8222482.9707382172</v>
      </c>
      <c r="S10" s="50">
        <f t="shared" si="1"/>
        <v>7.8093172500443027</v>
      </c>
      <c r="T10" s="50">
        <f t="shared" si="2"/>
        <v>17.981617486413267</v>
      </c>
      <c r="U10" s="50">
        <f t="shared" si="3"/>
        <v>7.8632531634371752</v>
      </c>
      <c r="V10" s="50">
        <f t="shared" si="4"/>
        <v>7.7526695222937079</v>
      </c>
      <c r="W10" s="50">
        <f t="shared" si="5"/>
        <v>7.8049762422517599</v>
      </c>
      <c r="X10" s="50">
        <f xml:space="preserve"> STDEV(U10:W10)*Calculation!I10/Calculation!K9</f>
        <v>5.5318674038351549E-2</v>
      </c>
    </row>
    <row r="11" spans="1:24">
      <c r="A11" s="40">
        <v>7</v>
      </c>
      <c r="B11" s="31">
        <v>80</v>
      </c>
      <c r="C11" s="31">
        <f t="shared" si="6"/>
        <v>600</v>
      </c>
      <c r="D11" s="13">
        <f t="shared" si="0"/>
        <v>10</v>
      </c>
      <c r="E11" s="31">
        <v>2</v>
      </c>
      <c r="F11" s="31">
        <v>4970</v>
      </c>
      <c r="G11" s="31">
        <v>7</v>
      </c>
      <c r="H11" s="45">
        <f>('Flow cytometer'!F11/'Flow cytometer'!G11)*POWER(10,'Flow cytometer'!E11+2)*10.2</f>
        <v>72420000</v>
      </c>
      <c r="I11" s="31">
        <v>2</v>
      </c>
      <c r="J11" s="31">
        <v>5237</v>
      </c>
      <c r="K11" s="31">
        <v>7</v>
      </c>
      <c r="L11" s="45">
        <f>('Flow cytometer'!J11/'Flow cytometer'!K11)*POWER(10,'Flow cytometer'!I11+2)*10.2</f>
        <v>76310571.428571418</v>
      </c>
      <c r="M11" s="31">
        <v>2</v>
      </c>
      <c r="N11" s="31">
        <v>5116</v>
      </c>
      <c r="O11" s="31">
        <v>7</v>
      </c>
      <c r="P11" s="45">
        <f>('Flow cytometer'!N11/'Flow cytometer'!O11)*POWER(10,'Flow cytometer'!M11+2)*10.2</f>
        <v>74547428.571428567</v>
      </c>
      <c r="Q11" s="48">
        <f>AVERAGE(H11,L11,P11)*Calculation!I11/Calculation!K10</f>
        <v>74425999.999999985</v>
      </c>
      <c r="R11" s="49">
        <f>STDEV(H11,L11,P11)*Calculation!I11/Calculation!K10</f>
        <v>1948126.0697586921</v>
      </c>
      <c r="S11" s="50">
        <f t="shared" si="1"/>
        <v>7.8717246786101871</v>
      </c>
      <c r="T11" s="50">
        <f t="shared" si="2"/>
        <v>18.125315901121162</v>
      </c>
      <c r="U11" s="50">
        <f t="shared" si="3"/>
        <v>7.8598585204809925</v>
      </c>
      <c r="V11" s="50">
        <f t="shared" si="4"/>
        <v>7.8825847056491467</v>
      </c>
      <c r="W11" s="50">
        <f t="shared" si="5"/>
        <v>7.8724326675542766</v>
      </c>
      <c r="X11" s="50">
        <f xml:space="preserve"> STDEV(U11:W11)*Calculation!I11/Calculation!K10</f>
        <v>1.1384584199679132E-2</v>
      </c>
    </row>
    <row r="12" spans="1:24">
      <c r="A12" s="40">
        <v>8</v>
      </c>
      <c r="B12" s="31">
        <v>80</v>
      </c>
      <c r="C12" s="31">
        <f t="shared" si="6"/>
        <v>680</v>
      </c>
      <c r="D12" s="13">
        <f t="shared" si="0"/>
        <v>11.333333333333334</v>
      </c>
      <c r="E12" s="31">
        <v>2</v>
      </c>
      <c r="F12" s="31">
        <v>5301</v>
      </c>
      <c r="G12" s="31">
        <v>7</v>
      </c>
      <c r="H12" s="45">
        <f>('Flow cytometer'!F12/'Flow cytometer'!G12)*POWER(10,'Flow cytometer'!E12+2)*10.2</f>
        <v>77243142.857142866</v>
      </c>
      <c r="I12" s="31">
        <v>2</v>
      </c>
      <c r="J12" s="31">
        <v>5385</v>
      </c>
      <c r="K12" s="31">
        <v>7</v>
      </c>
      <c r="L12" s="45">
        <f>('Flow cytometer'!J12/'Flow cytometer'!K12)*POWER(10,'Flow cytometer'!I12+2)*10.2</f>
        <v>78467142.857142866</v>
      </c>
      <c r="M12" s="31">
        <v>2</v>
      </c>
      <c r="N12" s="31">
        <v>5417</v>
      </c>
      <c r="O12" s="31">
        <v>7</v>
      </c>
      <c r="P12" s="45">
        <f>('Flow cytometer'!N12/'Flow cytometer'!O12)*POWER(10,'Flow cytometer'!M12+2)*10.2</f>
        <v>78933428.571428567</v>
      </c>
      <c r="Q12" s="48">
        <f>AVERAGE(H12,L12,P12)*Calculation!I12/Calculation!K11</f>
        <v>78214571.428571433</v>
      </c>
      <c r="R12" s="49">
        <f>STDEV(H12,L12,P12)*Calculation!I12/Calculation!K11</f>
        <v>872989.51533082104</v>
      </c>
      <c r="S12" s="50">
        <f t="shared" si="1"/>
        <v>7.8932876699588626</v>
      </c>
      <c r="T12" s="50">
        <f t="shared" si="2"/>
        <v>18.174966523560983</v>
      </c>
      <c r="U12" s="50">
        <f t="shared" si="3"/>
        <v>7.8878599359740873</v>
      </c>
      <c r="V12" s="50">
        <f t="shared" si="4"/>
        <v>7.8946878393816613</v>
      </c>
      <c r="W12" s="50">
        <f t="shared" si="5"/>
        <v>7.897260967334863</v>
      </c>
      <c r="X12" s="50">
        <f xml:space="preserve"> STDEV(U12:W12)*Calculation!I12/Calculation!K11</f>
        <v>4.8583372164592471E-3</v>
      </c>
    </row>
    <row r="13" spans="1:24">
      <c r="A13" s="40">
        <v>9</v>
      </c>
      <c r="B13" s="31">
        <v>80</v>
      </c>
      <c r="C13" s="31">
        <f t="shared" si="6"/>
        <v>760</v>
      </c>
      <c r="D13" s="13">
        <f t="shared" si="0"/>
        <v>12.666666666666666</v>
      </c>
      <c r="E13" s="31">
        <v>2</v>
      </c>
      <c r="F13" s="31">
        <v>6739</v>
      </c>
      <c r="G13" s="31">
        <v>7</v>
      </c>
      <c r="H13" s="45">
        <f>('Flow cytometer'!F13/'Flow cytometer'!G13)*POWER(10,'Flow cytometer'!E13+2)*10.2</f>
        <v>98196857.142857134</v>
      </c>
      <c r="I13" s="31">
        <v>2</v>
      </c>
      <c r="J13" s="31">
        <v>6822</v>
      </c>
      <c r="K13" s="31">
        <v>7</v>
      </c>
      <c r="L13" s="45">
        <f>('Flow cytometer'!J13/'Flow cytometer'!K13)*POWER(10,'Flow cytometer'!I13+2)*10.2</f>
        <v>99406285.714285702</v>
      </c>
      <c r="M13" s="31">
        <v>2</v>
      </c>
      <c r="N13" s="31">
        <v>7295</v>
      </c>
      <c r="O13" s="31">
        <v>7</v>
      </c>
      <c r="P13" s="45">
        <f>('Flow cytometer'!N13/'Flow cytometer'!O13)*POWER(10,'Flow cytometer'!M13+2)*10.2</f>
        <v>106298571.42857142</v>
      </c>
      <c r="Q13" s="48">
        <f>AVERAGE(H13,L13,P13)*Calculation!I13/Calculation!K12</f>
        <v>101300571.42857142</v>
      </c>
      <c r="R13" s="49">
        <f>STDEV(H13,L13,P13)*Calculation!I13/Calculation!K12</f>
        <v>4370432.743716226</v>
      </c>
      <c r="S13" s="50">
        <f t="shared" si="1"/>
        <v>8.0056118951882702</v>
      </c>
      <c r="T13" s="50">
        <f t="shared" si="2"/>
        <v>18.433602610156324</v>
      </c>
      <c r="U13" s="50">
        <f t="shared" si="3"/>
        <v>7.9920975881193632</v>
      </c>
      <c r="V13" s="50">
        <f t="shared" si="4"/>
        <v>7.9974138468190388</v>
      </c>
      <c r="W13" s="50">
        <f t="shared" si="5"/>
        <v>8.0265274279771308</v>
      </c>
      <c r="X13" s="50">
        <f xml:space="preserve"> STDEV(U13:W13)*Calculation!I13/Calculation!K12</f>
        <v>1.8534998817742118E-2</v>
      </c>
    </row>
    <row r="14" spans="1:24">
      <c r="A14" s="40">
        <v>10</v>
      </c>
      <c r="B14" s="31">
        <v>80</v>
      </c>
      <c r="C14" s="31">
        <f t="shared" si="6"/>
        <v>840</v>
      </c>
      <c r="D14" s="13">
        <f t="shared" si="0"/>
        <v>14</v>
      </c>
      <c r="E14" s="31">
        <v>2</v>
      </c>
      <c r="F14" s="31">
        <v>9139</v>
      </c>
      <c r="G14" s="31">
        <v>7</v>
      </c>
      <c r="H14" s="45">
        <f>('Flow cytometer'!F14/'Flow cytometer'!G14)*POWER(10,'Flow cytometer'!E14+2)*10.2</f>
        <v>133168285.71428572</v>
      </c>
      <c r="I14" s="31">
        <v>2</v>
      </c>
      <c r="J14" s="31">
        <v>11201</v>
      </c>
      <c r="K14" s="31">
        <v>7</v>
      </c>
      <c r="L14" s="45">
        <f>('Flow cytometer'!J14/'Flow cytometer'!K14)*POWER(10,'Flow cytometer'!I14+2)*10.2</f>
        <v>163214571.4285714</v>
      </c>
      <c r="M14" s="31">
        <v>2</v>
      </c>
      <c r="N14" s="31">
        <v>10117</v>
      </c>
      <c r="O14" s="31">
        <v>7</v>
      </c>
      <c r="P14" s="45">
        <f>('Flow cytometer'!N14/'Flow cytometer'!O14)*POWER(10,'Flow cytometer'!M14+2)*10.2</f>
        <v>147419142.85714284</v>
      </c>
      <c r="Q14" s="48">
        <f>AVERAGE(H14,L14,P14)*Calculation!I14/Calculation!K13</f>
        <v>148080324.43125618</v>
      </c>
      <c r="R14" s="49">
        <f>STDEV(H14,L14,P14)*Calculation!I14/Calculation!K13</f>
        <v>15044624.368528292</v>
      </c>
      <c r="S14" s="50">
        <f t="shared" si="1"/>
        <v>8.1704973572477506</v>
      </c>
      <c r="T14" s="50">
        <f t="shared" si="2"/>
        <v>18.813265417145917</v>
      </c>
      <c r="U14" s="50">
        <f t="shared" si="3"/>
        <v>8.1244008090743218</v>
      </c>
      <c r="V14" s="50">
        <f t="shared" si="4"/>
        <v>8.2127589289798877</v>
      </c>
      <c r="W14" s="50">
        <f t="shared" si="5"/>
        <v>8.1685538817416568</v>
      </c>
      <c r="X14" s="50">
        <f xml:space="preserve"> STDEV(U14:W14)*Calculation!I14/Calculation!K13</f>
        <v>4.4222760880834058E-2</v>
      </c>
    </row>
    <row r="15" spans="1:24">
      <c r="A15" s="40">
        <v>11</v>
      </c>
      <c r="B15" s="31">
        <v>80</v>
      </c>
      <c r="C15" s="31">
        <f t="shared" si="6"/>
        <v>920</v>
      </c>
      <c r="D15" s="13">
        <f t="shared" si="0"/>
        <v>15.333333333333334</v>
      </c>
      <c r="E15" s="31">
        <v>2</v>
      </c>
      <c r="F15" s="31">
        <v>15383</v>
      </c>
      <c r="G15" s="31">
        <v>7</v>
      </c>
      <c r="H15" s="45">
        <f>('Flow cytometer'!F15/'Flow cytometer'!G15)*POWER(10,'Flow cytometer'!E15+2)*10.2</f>
        <v>224152285.71428567</v>
      </c>
      <c r="I15" s="31">
        <v>2</v>
      </c>
      <c r="J15" s="31">
        <v>16573</v>
      </c>
      <c r="K15" s="31">
        <v>7</v>
      </c>
      <c r="L15" s="45">
        <f>('Flow cytometer'!J15/'Flow cytometer'!K15)*POWER(10,'Flow cytometer'!I15+2)*10.2</f>
        <v>241492285.71428567</v>
      </c>
      <c r="M15" s="31">
        <v>2</v>
      </c>
      <c r="N15" s="31">
        <v>16727</v>
      </c>
      <c r="O15" s="31">
        <v>7</v>
      </c>
      <c r="P15" s="45">
        <f>('Flow cytometer'!N15/'Flow cytometer'!O15)*POWER(10,'Flow cytometer'!M15+2)*10.2</f>
        <v>243736285.71428567</v>
      </c>
      <c r="Q15" s="48">
        <f>AVERAGE(H15,L15,P15)*Calculation!I15/Calculation!K14</f>
        <v>236938439.66989675</v>
      </c>
      <c r="R15" s="49">
        <f>STDEV(H15,L15,P15)*Calculation!I15/Calculation!K14</f>
        <v>10739603.469312234</v>
      </c>
      <c r="S15" s="50">
        <f t="shared" si="1"/>
        <v>8.3746355241346002</v>
      </c>
      <c r="T15" s="50">
        <f t="shared" si="2"/>
        <v>19.283310917130709</v>
      </c>
      <c r="U15" s="50">
        <f t="shared" si="3"/>
        <v>8.3505431717899885</v>
      </c>
      <c r="V15" s="50">
        <f t="shared" si="4"/>
        <v>8.38290326210522</v>
      </c>
      <c r="W15" s="50">
        <f t="shared" si="5"/>
        <v>8.3869201886529545</v>
      </c>
      <c r="X15" s="50">
        <f xml:space="preserve"> STDEV(U15:W15)*Calculation!I15/Calculation!K14</f>
        <v>1.998441181730138E-2</v>
      </c>
    </row>
    <row r="16" spans="1:24">
      <c r="A16" s="40">
        <v>12</v>
      </c>
      <c r="B16" s="31">
        <v>80</v>
      </c>
      <c r="C16" s="31">
        <f t="shared" si="6"/>
        <v>1000</v>
      </c>
      <c r="D16" s="13">
        <f t="shared" si="0"/>
        <v>16.666666666666668</v>
      </c>
      <c r="E16" s="31">
        <v>2</v>
      </c>
      <c r="F16" s="31">
        <v>23738</v>
      </c>
      <c r="G16" s="31">
        <v>7</v>
      </c>
      <c r="H16" s="45">
        <f>('Flow cytometer'!F16/'Flow cytometer'!G16)*POWER(10,'Flow cytometer'!E16+2)*10.2</f>
        <v>345896571.42857146</v>
      </c>
      <c r="I16" s="31">
        <v>2</v>
      </c>
      <c r="J16" s="31">
        <v>24517</v>
      </c>
      <c r="K16" s="31">
        <v>7</v>
      </c>
      <c r="L16" s="45">
        <f>('Flow cytometer'!J16/'Flow cytometer'!K16)*POWER(10,'Flow cytometer'!I16+2)*10.2</f>
        <v>357247714.28571427</v>
      </c>
      <c r="M16" s="31">
        <v>2</v>
      </c>
      <c r="N16" s="31">
        <v>26439</v>
      </c>
      <c r="O16" s="31">
        <v>7</v>
      </c>
      <c r="P16" s="45">
        <f>('Flow cytometer'!N16/'Flow cytometer'!O16)*POWER(10,'Flow cytometer'!M16+2)*10.2</f>
        <v>385254000</v>
      </c>
      <c r="Q16" s="48">
        <f>AVERAGE(H16,L16,P16)*Calculation!I16/Calculation!K15</f>
        <v>364319074.39526719</v>
      </c>
      <c r="R16" s="49">
        <f>STDEV(H16,L16,P16)*Calculation!I16/Calculation!K15</f>
        <v>20342392.518989414</v>
      </c>
      <c r="S16" s="50">
        <f t="shared" si="1"/>
        <v>8.5614819098852024</v>
      </c>
      <c r="T16" s="50">
        <f t="shared" si="2"/>
        <v>19.713540619639858</v>
      </c>
      <c r="U16" s="50">
        <f t="shared" si="3"/>
        <v>8.5389462572527783</v>
      </c>
      <c r="V16" s="50">
        <f t="shared" si="4"/>
        <v>8.5529694588030303</v>
      </c>
      <c r="W16" s="50">
        <f t="shared" si="5"/>
        <v>8.5857471565894432</v>
      </c>
      <c r="X16" s="50">
        <f xml:space="preserve"> STDEV(U16:W16)*Calculation!I16/Calculation!K15</f>
        <v>2.4119181367148131E-2</v>
      </c>
    </row>
    <row r="17" spans="1:24">
      <c r="A17" s="40">
        <v>13</v>
      </c>
      <c r="B17" s="31">
        <v>80</v>
      </c>
      <c r="C17" s="31">
        <f t="shared" si="6"/>
        <v>1080</v>
      </c>
      <c r="D17" s="13">
        <f t="shared" si="0"/>
        <v>18</v>
      </c>
      <c r="E17" s="31">
        <v>2</v>
      </c>
      <c r="F17" s="31">
        <v>33273</v>
      </c>
      <c r="G17" s="31">
        <v>7</v>
      </c>
      <c r="H17" s="45">
        <f>('Flow cytometer'!F17/'Flow cytometer'!G17)*POWER(10,'Flow cytometer'!E17+2)*10.2</f>
        <v>484835142.85714287</v>
      </c>
      <c r="I17" s="31">
        <v>2</v>
      </c>
      <c r="J17" s="31">
        <v>36258</v>
      </c>
      <c r="K17" s="31">
        <v>7</v>
      </c>
      <c r="L17" s="45">
        <f>('Flow cytometer'!J17/'Flow cytometer'!K17)*POWER(10,'Flow cytometer'!I17+2)*10.2</f>
        <v>528330857.14285702</v>
      </c>
      <c r="M17" s="31">
        <v>2</v>
      </c>
      <c r="N17" s="31">
        <v>40601</v>
      </c>
      <c r="O17" s="31">
        <v>7</v>
      </c>
      <c r="P17" s="45">
        <f>('Flow cytometer'!N17/'Flow cytometer'!O17)*POWER(10,'Flow cytometer'!M17+2)*10.2</f>
        <v>591614571.42857134</v>
      </c>
      <c r="Q17" s="48">
        <f>AVERAGE(H17,L17,P17)*Calculation!I17/Calculation!K16</f>
        <v>539600862.16698384</v>
      </c>
      <c r="R17" s="49">
        <f>STDEV(H17,L17,P17)*Calculation!I17/Calculation!K16</f>
        <v>54163595.063176595</v>
      </c>
      <c r="S17" s="50">
        <f t="shared" si="1"/>
        <v>8.7320726349102902</v>
      </c>
      <c r="T17" s="50">
        <f t="shared" si="2"/>
        <v>20.106340280085671</v>
      </c>
      <c r="U17" s="50">
        <f t="shared" si="3"/>
        <v>8.6855940917600929</v>
      </c>
      <c r="V17" s="50">
        <f t="shared" si="4"/>
        <v>8.7229059763797601</v>
      </c>
      <c r="W17" s="50">
        <f t="shared" si="5"/>
        <v>8.7720388621015424</v>
      </c>
      <c r="X17" s="50">
        <f xml:space="preserve"> STDEV(U17:W17)*Calculation!I17/Calculation!K16</f>
        <v>4.3735719782214362E-2</v>
      </c>
    </row>
    <row r="18" spans="1:24">
      <c r="A18" s="40">
        <v>14</v>
      </c>
      <c r="B18" s="31">
        <v>80</v>
      </c>
      <c r="C18" s="31">
        <f t="shared" si="6"/>
        <v>1160</v>
      </c>
      <c r="D18" s="13">
        <f t="shared" si="0"/>
        <v>19.333333333333332</v>
      </c>
      <c r="E18" s="31">
        <v>2</v>
      </c>
      <c r="F18" s="31">
        <v>38428</v>
      </c>
      <c r="G18" s="31">
        <v>7</v>
      </c>
      <c r="H18" s="45">
        <f>('Flow cytometer'!F18/'Flow cytometer'!G18)*POWER(10,'Flow cytometer'!E18+2)*10.2</f>
        <v>559950857.14285707</v>
      </c>
      <c r="I18" s="31">
        <v>2</v>
      </c>
      <c r="J18" s="31">
        <v>38779</v>
      </c>
      <c r="K18" s="31">
        <v>7</v>
      </c>
      <c r="L18" s="45">
        <f>('Flow cytometer'!J18/'Flow cytometer'!K18)*POWER(10,'Flow cytometer'!I18+2)*10.2</f>
        <v>565065428.57142854</v>
      </c>
      <c r="M18" s="31">
        <v>2</v>
      </c>
      <c r="N18" s="31">
        <v>41020</v>
      </c>
      <c r="O18" s="31">
        <v>7</v>
      </c>
      <c r="P18" s="45">
        <f>('Flow cytometer'!N18/'Flow cytometer'!O18)*POWER(10,'Flow cytometer'!M18+2)*10.2</f>
        <v>597720000</v>
      </c>
      <c r="Q18" s="48">
        <f>AVERAGE(H18,L18,P18)*Calculation!I18/Calculation!K17</f>
        <v>581321977.2669754</v>
      </c>
      <c r="R18" s="49">
        <f>STDEV(H18,L18,P18)*Calculation!I18/Calculation!K17</f>
        <v>20742286.186538126</v>
      </c>
      <c r="S18" s="50">
        <f t="shared" si="1"/>
        <v>8.7644167420607264</v>
      </c>
      <c r="T18" s="50">
        <f t="shared" si="2"/>
        <v>20.180815339056469</v>
      </c>
      <c r="U18" s="50">
        <f t="shared" si="3"/>
        <v>8.7481499137772865</v>
      </c>
      <c r="V18" s="50">
        <f t="shared" si="4"/>
        <v>8.75209873741656</v>
      </c>
      <c r="W18" s="50">
        <f t="shared" si="5"/>
        <v>8.7764977877800074</v>
      </c>
      <c r="X18" s="50">
        <f xml:space="preserve"> STDEV(U18:W18)*Calculation!I18/Calculation!K17</f>
        <v>1.5543413523377195E-2</v>
      </c>
    </row>
    <row r="19" spans="1:24">
      <c r="A19" s="40">
        <v>15</v>
      </c>
      <c r="B19" s="31">
        <v>290</v>
      </c>
      <c r="C19" s="31">
        <f>C18+B19</f>
        <v>1450</v>
      </c>
      <c r="D19" s="13">
        <f t="shared" si="0"/>
        <v>24.166666666666668</v>
      </c>
      <c r="E19" s="31">
        <v>2</v>
      </c>
      <c r="F19" s="31">
        <v>61072</v>
      </c>
      <c r="G19" s="31">
        <v>7</v>
      </c>
      <c r="H19" s="45">
        <f>('Flow cytometer'!F19/'Flow cytometer'!G19)*POWER(10,'Flow cytometer'!E19+2)*10.2</f>
        <v>889906285.71428573</v>
      </c>
      <c r="I19" s="31">
        <v>2</v>
      </c>
      <c r="J19" s="31">
        <v>61371</v>
      </c>
      <c r="K19" s="31">
        <v>7</v>
      </c>
      <c r="L19" s="45">
        <f>('Flow cytometer'!J19/'Flow cytometer'!K19)*POWER(10,'Flow cytometer'!I19+2)*10.2</f>
        <v>894263142.85714269</v>
      </c>
      <c r="M19" s="31">
        <v>2</v>
      </c>
      <c r="N19" s="31">
        <v>58624</v>
      </c>
      <c r="O19" s="31">
        <v>7</v>
      </c>
      <c r="P19" s="45">
        <f>('Flow cytometer'!N19/'Flow cytometer'!O19)*POWER(10,'Flow cytometer'!M19+2)*10.2</f>
        <v>854235428.57142854</v>
      </c>
      <c r="Q19" s="48">
        <f>AVERAGE(H19,L19,P19)*Calculation!I19/Calculation!K18</f>
        <v>903528529.39511645</v>
      </c>
      <c r="R19" s="49">
        <f>STDEV(H19,L19,P19)*Calculation!I19/Calculation!K18</f>
        <v>22561401.412480101</v>
      </c>
      <c r="S19" s="50">
        <f t="shared" si="1"/>
        <v>8.9559418701933051</v>
      </c>
      <c r="T19" s="50">
        <f t="shared" si="2"/>
        <v>20.621818244028319</v>
      </c>
      <c r="U19" s="50">
        <f t="shared" si="3"/>
        <v>8.9493442743526845</v>
      </c>
      <c r="V19" s="50">
        <f t="shared" si="4"/>
        <v>8.9514653316316188</v>
      </c>
      <c r="W19" s="50">
        <f t="shared" si="5"/>
        <v>8.9315775793993986</v>
      </c>
      <c r="X19" s="50">
        <f xml:space="preserve"> STDEV(U19:W19)*Calculation!I19/Calculation!K18</f>
        <v>1.1220303357576573E-2</v>
      </c>
    </row>
    <row r="20" spans="1:24">
      <c r="A20" s="40">
        <v>16</v>
      </c>
      <c r="B20" s="31">
        <v>360</v>
      </c>
      <c r="C20" s="31">
        <f>C19+B20</f>
        <v>1810</v>
      </c>
      <c r="D20" s="13">
        <f t="shared" si="0"/>
        <v>30.166666666666668</v>
      </c>
      <c r="E20" s="31">
        <v>2</v>
      </c>
      <c r="F20" s="31">
        <v>62984</v>
      </c>
      <c r="G20" s="31">
        <v>7</v>
      </c>
      <c r="H20" s="45">
        <f>('Flow cytometer'!F20/'Flow cytometer'!G20)*POWER(10,'Flow cytometer'!E20+2)*10.2</f>
        <v>917766857.14285719</v>
      </c>
      <c r="I20" s="31">
        <v>2</v>
      </c>
      <c r="J20" s="31">
        <v>68069</v>
      </c>
      <c r="K20" s="31">
        <v>7</v>
      </c>
      <c r="L20" s="45">
        <f>('Flow cytometer'!J20/'Flow cytometer'!K20)*POWER(10,'Flow cytometer'!I20+2)*10.2</f>
        <v>991862571.42857134</v>
      </c>
      <c r="M20" s="31">
        <v>2</v>
      </c>
      <c r="N20" s="31">
        <v>66231</v>
      </c>
      <c r="O20" s="31">
        <v>7</v>
      </c>
      <c r="P20" s="45">
        <f>('Flow cytometer'!N20/'Flow cytometer'!O20)*POWER(10,'Flow cytometer'!M20+2)*10.2</f>
        <v>965080285.71428573</v>
      </c>
      <c r="Q20" s="48">
        <f>AVERAGE(H20,L20,P20)*Calculation!I20/Calculation!K19</f>
        <v>985740284.89980018</v>
      </c>
      <c r="R20" s="49">
        <f>STDEV(H20,L20,P20)*Calculation!I20/Calculation!K19</f>
        <v>38595827.02212809</v>
      </c>
      <c r="S20" s="50">
        <f t="shared" ref="S20:S21" si="7">LOG(Q20)</f>
        <v>8.9937625055168056</v>
      </c>
      <c r="T20" s="50">
        <f t="shared" ref="T20:T21" si="8">LN(Q20)</f>
        <v>20.708903475131777</v>
      </c>
      <c r="U20" s="50">
        <f t="shared" si="3"/>
        <v>8.9627323701816231</v>
      </c>
      <c r="V20" s="50">
        <f t="shared" si="4"/>
        <v>8.9964515021896023</v>
      </c>
      <c r="W20" s="50">
        <f t="shared" si="5"/>
        <v>8.984563444113034</v>
      </c>
      <c r="X20" s="50">
        <f xml:space="preserve"> STDEV(U20:W20)*Calculation!I20/Calculation!K19</f>
        <v>1.7593025032315475E-2</v>
      </c>
    </row>
    <row r="21" spans="1:24">
      <c r="A21" s="40">
        <v>17</v>
      </c>
      <c r="B21" s="31">
        <v>1080</v>
      </c>
      <c r="C21" s="31">
        <f>C20+B21</f>
        <v>2890</v>
      </c>
      <c r="D21" s="13">
        <f t="shared" si="0"/>
        <v>48.166666666666664</v>
      </c>
      <c r="E21" s="31">
        <v>2</v>
      </c>
      <c r="F21" s="31">
        <v>50073</v>
      </c>
      <c r="G21" s="31">
        <v>7</v>
      </c>
      <c r="H21" s="45">
        <f>('Flow cytometer'!F21/'Flow cytometer'!G21)*POWER(10,'Flow cytometer'!E21+2)*10.2</f>
        <v>729635142.85714293</v>
      </c>
      <c r="I21" s="31">
        <v>2</v>
      </c>
      <c r="J21" s="31">
        <v>51165</v>
      </c>
      <c r="K21" s="31">
        <v>7</v>
      </c>
      <c r="L21" s="45">
        <f>('Flow cytometer'!J21/'Flow cytometer'!K21)*POWER(10,'Flow cytometer'!I21+2)*10.2</f>
        <v>745547142.85714293</v>
      </c>
      <c r="M21" s="31">
        <v>2</v>
      </c>
      <c r="N21" s="31">
        <v>69158</v>
      </c>
      <c r="O21" s="31">
        <v>7</v>
      </c>
      <c r="P21" s="45">
        <f>('Flow cytometer'!N21/'Flow cytometer'!O21)*POWER(10,'Flow cytometer'!M21+2)*10.2</f>
        <v>1007730857.1428572</v>
      </c>
      <c r="Q21" s="48">
        <f>AVERAGE(H21,L21,P21)*Calculation!I21/Calculation!K20</f>
        <v>851392923.83460593</v>
      </c>
      <c r="R21" s="49">
        <f>STDEV(H21,L21,P21)*Calculation!I21/Calculation!K20</f>
        <v>160650429.28238124</v>
      </c>
      <c r="S21" s="50">
        <f t="shared" si="7"/>
        <v>8.930130036312864</v>
      </c>
      <c r="T21" s="50">
        <f t="shared" si="8"/>
        <v>20.562384300112377</v>
      </c>
      <c r="U21" s="50">
        <f>LOG(H21)</f>
        <v>8.8631057436062353</v>
      </c>
      <c r="V21" s="50">
        <f>LOG(L21)</f>
        <v>8.8724751102107398</v>
      </c>
      <c r="W21" s="50">
        <f>LOG(P21)</f>
        <v>9.0033445570446986</v>
      </c>
      <c r="X21" s="50">
        <f xml:space="preserve"> STDEV(U21:W21)*Calculation!I21/Calculation!K20</f>
        <v>8.0652634035289383E-2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13" workbookViewId="0">
      <selection activeCell="D7" sqref="D7"/>
    </sheetView>
  </sheetViews>
  <sheetFormatPr baseColWidth="10" defaultRowHeight="14" x14ac:dyDescent="0"/>
  <cols>
    <col min="3" max="5" width="11" bestFit="1" customWidth="1"/>
  </cols>
  <sheetData>
    <row r="1" spans="1:22">
      <c r="A1" s="72"/>
      <c r="B1" s="129" t="s">
        <v>4</v>
      </c>
      <c r="C1" s="131" t="s">
        <v>182</v>
      </c>
      <c r="D1" s="132" t="s">
        <v>18</v>
      </c>
      <c r="E1" s="132"/>
      <c r="F1" s="132"/>
      <c r="G1" s="132"/>
      <c r="H1" s="132" t="s">
        <v>20</v>
      </c>
      <c r="I1" s="132"/>
      <c r="J1" s="132"/>
      <c r="K1" s="132"/>
      <c r="L1" s="132" t="s">
        <v>21</v>
      </c>
      <c r="M1" s="132"/>
      <c r="N1" s="132"/>
      <c r="O1" s="132"/>
      <c r="P1" s="103" t="s">
        <v>22</v>
      </c>
      <c r="Q1" s="103" t="s">
        <v>22</v>
      </c>
      <c r="R1" s="103" t="s">
        <v>22</v>
      </c>
      <c r="S1" s="124" t="s">
        <v>234</v>
      </c>
      <c r="T1" s="72"/>
      <c r="U1" s="72"/>
      <c r="V1" s="72"/>
    </row>
    <row r="2" spans="1:22">
      <c r="A2" s="72"/>
      <c r="B2" s="130"/>
      <c r="C2" s="130"/>
      <c r="D2" s="105" t="s">
        <v>19</v>
      </c>
      <c r="E2" s="105" t="s">
        <v>68</v>
      </c>
      <c r="F2" s="105" t="s">
        <v>69</v>
      </c>
      <c r="G2" s="105" t="s">
        <v>70</v>
      </c>
      <c r="H2" s="105" t="s">
        <v>19</v>
      </c>
      <c r="I2" s="105" t="s">
        <v>68</v>
      </c>
      <c r="J2" s="105" t="s">
        <v>69</v>
      </c>
      <c r="K2" s="105" t="s">
        <v>70</v>
      </c>
      <c r="L2" s="105" t="s">
        <v>19</v>
      </c>
      <c r="M2" s="105" t="s">
        <v>68</v>
      </c>
      <c r="N2" s="105" t="s">
        <v>69</v>
      </c>
      <c r="O2" s="105" t="s">
        <v>71</v>
      </c>
      <c r="P2" s="104" t="s">
        <v>70</v>
      </c>
      <c r="Q2" s="104" t="s">
        <v>23</v>
      </c>
      <c r="R2" s="104" t="s">
        <v>72</v>
      </c>
      <c r="S2" s="125"/>
      <c r="T2" s="72"/>
      <c r="U2" s="72"/>
      <c r="V2" s="72"/>
    </row>
    <row r="3" spans="1:22">
      <c r="A3" s="72"/>
      <c r="B3" s="73"/>
      <c r="C3" s="73"/>
      <c r="D3" s="74"/>
      <c r="E3" s="74"/>
      <c r="F3" s="74"/>
      <c r="G3" s="75"/>
      <c r="H3" s="74"/>
      <c r="I3" s="74"/>
      <c r="J3" s="74"/>
      <c r="K3" s="75"/>
      <c r="L3" s="74"/>
      <c r="M3" s="74"/>
      <c r="N3" s="74"/>
      <c r="O3" s="75"/>
      <c r="P3" s="126"/>
      <c r="Q3" s="127"/>
      <c r="R3" s="128"/>
      <c r="S3" s="72"/>
      <c r="T3" s="72"/>
      <c r="U3" s="72"/>
      <c r="V3" s="72"/>
    </row>
    <row r="4" spans="1:22">
      <c r="A4" s="72"/>
      <c r="B4" s="76" t="s">
        <v>183</v>
      </c>
      <c r="C4" s="77">
        <v>500</v>
      </c>
      <c r="D4" s="77">
        <v>2</v>
      </c>
      <c r="E4" s="77">
        <v>26960</v>
      </c>
      <c r="F4" s="77">
        <v>7</v>
      </c>
      <c r="G4" s="75">
        <f>(E4/F4)*(10.2)*POWER(10,D4+2)</f>
        <v>392845714.28571427</v>
      </c>
      <c r="H4" s="77">
        <v>2</v>
      </c>
      <c r="I4" s="77">
        <v>28998</v>
      </c>
      <c r="J4" s="77">
        <v>7</v>
      </c>
      <c r="K4" s="75">
        <f t="shared" ref="K4:K19" si="0">(I4/J4)*(10.2)*POWER(10,H4+2)</f>
        <v>422542285.71428567</v>
      </c>
      <c r="L4" s="77">
        <v>2</v>
      </c>
      <c r="M4" s="77">
        <v>29053</v>
      </c>
      <c r="N4" s="77">
        <v>7</v>
      </c>
      <c r="O4" s="75">
        <f>(M4/N4)*(10.2)*POWER(10,L4+2)</f>
        <v>423343714.28571433</v>
      </c>
      <c r="P4" s="78">
        <f t="shared" ref="P4:P19" si="1">AVERAGE(O4,K4,G4)</f>
        <v>412910571.4285714</v>
      </c>
      <c r="Q4" s="78">
        <f t="shared" ref="Q4:Q19" si="2">STDEV(O4,K4,G4)</f>
        <v>17381295.724462688</v>
      </c>
      <c r="R4" s="79">
        <f t="shared" ref="R4:R19" si="3">LOG(P4)</f>
        <v>8.6158560019212569</v>
      </c>
      <c r="S4" s="72"/>
      <c r="T4" s="72"/>
      <c r="U4" s="72"/>
      <c r="V4" s="72"/>
    </row>
    <row r="5" spans="1:22">
      <c r="A5" s="72"/>
      <c r="B5" s="76" t="s">
        <v>184</v>
      </c>
      <c r="C5" s="77">
        <v>500</v>
      </c>
      <c r="D5" s="77">
        <v>1</v>
      </c>
      <c r="E5" s="77">
        <v>25770</v>
      </c>
      <c r="F5" s="77">
        <v>7</v>
      </c>
      <c r="G5" s="75">
        <f>(E5/F5)*(10.2)*POWER(10,D5+2)</f>
        <v>37550571.428571425</v>
      </c>
      <c r="H5" s="77">
        <v>1</v>
      </c>
      <c r="I5" s="77">
        <v>24760</v>
      </c>
      <c r="J5" s="77">
        <v>7</v>
      </c>
      <c r="K5" s="75">
        <f t="shared" si="0"/>
        <v>36078857.142857142</v>
      </c>
      <c r="L5" s="77">
        <v>1</v>
      </c>
      <c r="M5" s="77">
        <v>27526</v>
      </c>
      <c r="N5" s="77">
        <v>7</v>
      </c>
      <c r="O5" s="75">
        <f>(M5/N5)*(10.2)*POWER(10,L5+2)</f>
        <v>40109314.285714284</v>
      </c>
      <c r="P5" s="78">
        <f t="shared" si="1"/>
        <v>37912914.285714291</v>
      </c>
      <c r="Q5" s="78">
        <f t="shared" si="2"/>
        <v>2039513.5338344474</v>
      </c>
      <c r="R5" s="79">
        <f t="shared" si="3"/>
        <v>7.5787871690098934</v>
      </c>
      <c r="S5" s="72"/>
      <c r="T5" s="72"/>
      <c r="U5" s="72"/>
      <c r="V5" s="72"/>
    </row>
    <row r="6" spans="1:22">
      <c r="A6" s="72"/>
      <c r="B6" s="76" t="s">
        <v>185</v>
      </c>
      <c r="C6" s="77">
        <v>500</v>
      </c>
      <c r="D6" s="77">
        <v>0</v>
      </c>
      <c r="E6" s="77">
        <v>2493</v>
      </c>
      <c r="F6" s="77">
        <v>7</v>
      </c>
      <c r="G6" s="75">
        <f>(E6/F6)*(10.2)*POWER(10,D6+2)</f>
        <v>363265.71428571426</v>
      </c>
      <c r="H6" s="77">
        <v>0</v>
      </c>
      <c r="I6" s="77">
        <v>2459</v>
      </c>
      <c r="J6" s="77">
        <v>7</v>
      </c>
      <c r="K6" s="75">
        <f t="shared" si="0"/>
        <v>358311.42857142852</v>
      </c>
      <c r="L6" s="77">
        <v>0</v>
      </c>
      <c r="M6" s="77">
        <v>2550</v>
      </c>
      <c r="N6" s="77">
        <v>7</v>
      </c>
      <c r="O6" s="75">
        <f>(M6/N6)*(10.2)*POWER(10,L6+2)</f>
        <v>371571.42857142852</v>
      </c>
      <c r="P6" s="78">
        <f t="shared" si="1"/>
        <v>364382.8571428571</v>
      </c>
      <c r="Q6" s="78">
        <f t="shared" si="2"/>
        <v>6700.2168712996863</v>
      </c>
      <c r="R6" s="79">
        <f t="shared" si="3"/>
        <v>5.5615579368427026</v>
      </c>
      <c r="S6" s="85" t="s">
        <v>133</v>
      </c>
      <c r="T6" s="72"/>
      <c r="U6" s="72"/>
      <c r="V6" s="72"/>
    </row>
    <row r="7" spans="1:22">
      <c r="A7" s="72"/>
      <c r="B7" s="76" t="s">
        <v>186</v>
      </c>
      <c r="C7" s="77">
        <v>500</v>
      </c>
      <c r="D7" s="77">
        <f>LOG(705/250)</f>
        <v>0.45024910831936105</v>
      </c>
      <c r="E7" s="77">
        <v>946</v>
      </c>
      <c r="F7" s="77">
        <v>7</v>
      </c>
      <c r="G7" s="75">
        <f>(E7/F7)*(1)*POWER(10,D7+2)</f>
        <v>38110.285714285717</v>
      </c>
      <c r="H7" s="77">
        <f>LOG(705/250)</f>
        <v>0.45024910831936105</v>
      </c>
      <c r="I7" s="77">
        <v>885</v>
      </c>
      <c r="J7" s="77">
        <v>7</v>
      </c>
      <c r="K7" s="75">
        <f t="shared" si="0"/>
        <v>363659.1428571429</v>
      </c>
      <c r="L7" s="77">
        <f>LOG(705/250)</f>
        <v>0.45024910831936105</v>
      </c>
      <c r="M7" s="77">
        <v>947</v>
      </c>
      <c r="N7" s="77">
        <v>7</v>
      </c>
      <c r="O7" s="75">
        <f>(M7/N7)*(1)*POWER(10,L7+2)</f>
        <v>38150.571428571435</v>
      </c>
      <c r="P7" s="78">
        <f t="shared" si="1"/>
        <v>146640.00000000003</v>
      </c>
      <c r="Q7" s="78">
        <f t="shared" si="2"/>
        <v>187944.09190121258</v>
      </c>
      <c r="R7" s="79">
        <f t="shared" si="3"/>
        <v>5.1662524519541604</v>
      </c>
      <c r="S7" s="72"/>
      <c r="T7" s="72"/>
      <c r="U7" s="72"/>
      <c r="V7" s="72"/>
    </row>
    <row r="8" spans="1:22">
      <c r="A8" s="72"/>
      <c r="B8" s="76" t="s">
        <v>187</v>
      </c>
      <c r="C8" s="77">
        <v>500</v>
      </c>
      <c r="D8" s="77">
        <f>LOG(705/250)</f>
        <v>0.45024910831936105</v>
      </c>
      <c r="E8" s="77">
        <v>1248</v>
      </c>
      <c r="F8" s="77">
        <v>70</v>
      </c>
      <c r="G8" s="75">
        <f>(E8/F8)*(1)*POWER(10,D8+2)</f>
        <v>5027.6571428571442</v>
      </c>
      <c r="H8" s="77">
        <f>LOG(705/250)</f>
        <v>0.45024910831936105</v>
      </c>
      <c r="I8" s="77">
        <v>1303</v>
      </c>
      <c r="J8" s="77">
        <v>70</v>
      </c>
      <c r="K8" s="75">
        <f t="shared" si="0"/>
        <v>53542.131428571432</v>
      </c>
      <c r="L8" s="77">
        <f>LOG(705/250)</f>
        <v>0.45024910831936105</v>
      </c>
      <c r="M8" s="77">
        <v>1278</v>
      </c>
      <c r="N8" s="77">
        <v>70</v>
      </c>
      <c r="O8" s="75">
        <f>(M8/N8)*(1)*POWER(10,L8+2)</f>
        <v>5148.5142857142864</v>
      </c>
      <c r="P8" s="78">
        <f t="shared" si="1"/>
        <v>21239.434285714287</v>
      </c>
      <c r="Q8" s="78">
        <f t="shared" si="2"/>
        <v>27975.021602129429</v>
      </c>
      <c r="R8" s="79">
        <f t="shared" si="3"/>
        <v>4.3271429450900092</v>
      </c>
      <c r="S8" s="72"/>
      <c r="T8" s="72"/>
      <c r="U8" s="72"/>
      <c r="V8" s="72"/>
    </row>
    <row r="9" spans="1:22">
      <c r="A9" s="72"/>
      <c r="B9" s="76" t="s">
        <v>188</v>
      </c>
      <c r="C9" s="77">
        <v>900</v>
      </c>
      <c r="D9" s="77">
        <v>2</v>
      </c>
      <c r="E9" s="77">
        <v>26822</v>
      </c>
      <c r="F9" s="77">
        <v>7</v>
      </c>
      <c r="G9" s="75">
        <f t="shared" ref="G9:G19" si="4">(E9/F9)*(10.2)*POWER(10,D9+2)</f>
        <v>390834857.14285713</v>
      </c>
      <c r="H9" s="77">
        <v>2</v>
      </c>
      <c r="I9" s="77">
        <v>25452</v>
      </c>
      <c r="J9" s="77">
        <v>7</v>
      </c>
      <c r="K9" s="75">
        <f t="shared" si="0"/>
        <v>370872000</v>
      </c>
      <c r="L9" s="77">
        <v>2</v>
      </c>
      <c r="M9" s="77">
        <v>29126</v>
      </c>
      <c r="N9" s="77">
        <v>7</v>
      </c>
      <c r="O9" s="75">
        <f t="shared" ref="O9:O19" si="5">(M9/N9)*(10.2)*POWER(10,L9+2)</f>
        <v>424407428.57142854</v>
      </c>
      <c r="P9" s="78">
        <f t="shared" si="1"/>
        <v>395371428.57142854</v>
      </c>
      <c r="Q9" s="78">
        <f t="shared" si="2"/>
        <v>27054498.485954784</v>
      </c>
      <c r="R9" s="79">
        <f t="shared" si="3"/>
        <v>8.5970052819172</v>
      </c>
      <c r="S9" s="72"/>
      <c r="T9" s="72"/>
      <c r="U9" s="72"/>
      <c r="V9" s="72"/>
    </row>
    <row r="10" spans="1:22">
      <c r="A10" s="72"/>
      <c r="B10" s="76" t="s">
        <v>189</v>
      </c>
      <c r="C10" s="77">
        <v>900</v>
      </c>
      <c r="D10" s="77">
        <v>1</v>
      </c>
      <c r="E10" s="77">
        <v>11669</v>
      </c>
      <c r="F10" s="77">
        <v>7</v>
      </c>
      <c r="G10" s="75">
        <f t="shared" si="4"/>
        <v>17003399.999999996</v>
      </c>
      <c r="H10" s="77">
        <v>1</v>
      </c>
      <c r="I10" s="77">
        <v>13970</v>
      </c>
      <c r="J10" s="77">
        <v>20</v>
      </c>
      <c r="K10" s="75">
        <f t="shared" si="0"/>
        <v>7124700</v>
      </c>
      <c r="L10" s="77">
        <v>1</v>
      </c>
      <c r="M10" s="77">
        <v>12995</v>
      </c>
      <c r="N10" s="77">
        <v>7</v>
      </c>
      <c r="O10" s="75">
        <f t="shared" si="5"/>
        <v>18935571.428571429</v>
      </c>
      <c r="P10" s="78">
        <f t="shared" si="1"/>
        <v>14354557.142857142</v>
      </c>
      <c r="Q10" s="78">
        <f t="shared" si="2"/>
        <v>6335333.2459262749</v>
      </c>
      <c r="R10" s="79">
        <f t="shared" si="3"/>
        <v>7.1569897984779303</v>
      </c>
      <c r="S10" s="85" t="s">
        <v>133</v>
      </c>
      <c r="T10" s="72"/>
      <c r="U10" s="72"/>
      <c r="V10" s="72"/>
    </row>
    <row r="11" spans="1:22">
      <c r="A11" s="72"/>
      <c r="B11" s="76" t="s">
        <v>190</v>
      </c>
      <c r="C11" s="77">
        <v>900</v>
      </c>
      <c r="D11" s="77">
        <v>1</v>
      </c>
      <c r="E11" s="77">
        <v>6123</v>
      </c>
      <c r="F11" s="77">
        <v>7</v>
      </c>
      <c r="G11" s="75">
        <f t="shared" si="4"/>
        <v>8922085.7142857127</v>
      </c>
      <c r="H11" s="77">
        <v>1</v>
      </c>
      <c r="I11" s="77">
        <v>6639</v>
      </c>
      <c r="J11" s="77">
        <v>7</v>
      </c>
      <c r="K11" s="75">
        <f t="shared" si="0"/>
        <v>9673971.4285714272</v>
      </c>
      <c r="L11" s="77">
        <v>1</v>
      </c>
      <c r="M11" s="77">
        <v>7021</v>
      </c>
      <c r="N11" s="77">
        <v>7</v>
      </c>
      <c r="O11" s="75">
        <f t="shared" si="5"/>
        <v>10230599.999999998</v>
      </c>
      <c r="P11" s="78">
        <f t="shared" si="1"/>
        <v>9608885.7142857127</v>
      </c>
      <c r="Q11" s="78">
        <f t="shared" si="2"/>
        <v>656680.68468065432</v>
      </c>
      <c r="R11" s="79">
        <f t="shared" si="3"/>
        <v>6.9826730280228597</v>
      </c>
      <c r="S11" s="85" t="s">
        <v>133</v>
      </c>
      <c r="T11" s="72"/>
      <c r="U11" s="72"/>
      <c r="V11" s="72"/>
    </row>
    <row r="12" spans="1:22">
      <c r="A12" s="72"/>
      <c r="B12" s="76" t="s">
        <v>191</v>
      </c>
      <c r="C12" s="77">
        <v>900</v>
      </c>
      <c r="D12" s="77">
        <v>1</v>
      </c>
      <c r="E12" s="77">
        <v>29009</v>
      </c>
      <c r="F12" s="77">
        <v>7</v>
      </c>
      <c r="G12" s="75">
        <f t="shared" si="4"/>
        <v>42270257.142857142</v>
      </c>
      <c r="H12" s="77">
        <v>1</v>
      </c>
      <c r="I12" s="77">
        <v>29016</v>
      </c>
      <c r="J12" s="77">
        <v>7</v>
      </c>
      <c r="K12" s="75">
        <f t="shared" si="0"/>
        <v>42280457.142857134</v>
      </c>
      <c r="L12" s="77">
        <v>1</v>
      </c>
      <c r="M12" s="77">
        <v>31568</v>
      </c>
      <c r="N12" s="77">
        <v>7</v>
      </c>
      <c r="O12" s="75">
        <f t="shared" si="5"/>
        <v>45999085.714285709</v>
      </c>
      <c r="P12" s="78">
        <f t="shared" si="1"/>
        <v>43516599.999999993</v>
      </c>
      <c r="Q12" s="78">
        <f t="shared" si="2"/>
        <v>2149901.7422255576</v>
      </c>
      <c r="R12" s="79">
        <f t="shared" si="3"/>
        <v>7.6386549561082937</v>
      </c>
      <c r="S12" s="72"/>
      <c r="T12" s="72"/>
      <c r="U12" s="72"/>
      <c r="V12" s="72"/>
    </row>
    <row r="13" spans="1:22">
      <c r="A13" s="72"/>
      <c r="B13" s="76" t="s">
        <v>192</v>
      </c>
      <c r="C13" s="77">
        <v>900</v>
      </c>
      <c r="D13" s="77">
        <v>1</v>
      </c>
      <c r="E13" s="77">
        <v>13542</v>
      </c>
      <c r="F13" s="77">
        <v>7</v>
      </c>
      <c r="G13" s="75">
        <f t="shared" si="4"/>
        <v>19732628.571428571</v>
      </c>
      <c r="H13" s="77">
        <v>1</v>
      </c>
      <c r="I13" s="77">
        <v>14070</v>
      </c>
      <c r="J13" s="77">
        <v>7</v>
      </c>
      <c r="K13" s="75">
        <f t="shared" si="0"/>
        <v>20502000</v>
      </c>
      <c r="L13" s="77">
        <v>1</v>
      </c>
      <c r="M13" s="77">
        <v>15197</v>
      </c>
      <c r="N13" s="77">
        <v>7</v>
      </c>
      <c r="O13" s="75">
        <f t="shared" si="5"/>
        <v>22144199.999999996</v>
      </c>
      <c r="P13" s="78">
        <f t="shared" si="1"/>
        <v>20792942.857142854</v>
      </c>
      <c r="Q13" s="78">
        <f t="shared" si="2"/>
        <v>1231829.938898768</v>
      </c>
      <c r="R13" s="79">
        <f t="shared" si="3"/>
        <v>7.3179159600467427</v>
      </c>
      <c r="S13" s="72"/>
      <c r="T13" s="72"/>
      <c r="U13" s="72"/>
      <c r="V13" s="72"/>
    </row>
    <row r="14" spans="1:22">
      <c r="A14" s="72"/>
      <c r="B14" s="76" t="s">
        <v>193</v>
      </c>
      <c r="C14" s="77">
        <v>900</v>
      </c>
      <c r="D14" s="77">
        <v>1</v>
      </c>
      <c r="E14" s="77">
        <v>6282</v>
      </c>
      <c r="F14" s="77">
        <v>7</v>
      </c>
      <c r="G14" s="75">
        <f t="shared" si="4"/>
        <v>9153771.4285714291</v>
      </c>
      <c r="H14" s="77">
        <v>1</v>
      </c>
      <c r="I14" s="77">
        <v>6343</v>
      </c>
      <c r="J14" s="77">
        <v>7</v>
      </c>
      <c r="K14" s="75">
        <f t="shared" si="0"/>
        <v>9242657.1428571418</v>
      </c>
      <c r="L14" s="77">
        <v>1</v>
      </c>
      <c r="M14" s="77">
        <v>7014</v>
      </c>
      <c r="N14" s="77">
        <v>7</v>
      </c>
      <c r="O14" s="75">
        <f t="shared" si="5"/>
        <v>10220400</v>
      </c>
      <c r="P14" s="78">
        <f t="shared" si="1"/>
        <v>9538942.8571428563</v>
      </c>
      <c r="Q14" s="78">
        <f t="shared" si="2"/>
        <v>591830.25075969705</v>
      </c>
      <c r="R14" s="79">
        <f t="shared" si="3"/>
        <v>6.9795002471622967</v>
      </c>
      <c r="S14" s="72"/>
      <c r="T14" s="72"/>
      <c r="U14" s="72"/>
      <c r="V14" s="72"/>
    </row>
    <row r="15" spans="1:22">
      <c r="A15" s="72"/>
      <c r="B15" s="76" t="s">
        <v>194</v>
      </c>
      <c r="C15" s="77">
        <v>900</v>
      </c>
      <c r="D15" s="77">
        <v>1</v>
      </c>
      <c r="E15" s="77">
        <v>3249</v>
      </c>
      <c r="F15" s="77">
        <v>7</v>
      </c>
      <c r="G15" s="75">
        <f t="shared" si="4"/>
        <v>4734257.1428571427</v>
      </c>
      <c r="H15" s="77">
        <v>1</v>
      </c>
      <c r="I15" s="77">
        <v>3902</v>
      </c>
      <c r="J15" s="77">
        <v>7</v>
      </c>
      <c r="K15" s="75">
        <f t="shared" si="0"/>
        <v>5685771.4285714282</v>
      </c>
      <c r="L15" s="77">
        <v>1</v>
      </c>
      <c r="M15" s="77">
        <v>3833</v>
      </c>
      <c r="N15" s="77">
        <v>7</v>
      </c>
      <c r="O15" s="75">
        <f t="shared" si="5"/>
        <v>5585228.5714285709</v>
      </c>
      <c r="P15" s="78">
        <f t="shared" si="1"/>
        <v>5335085.7142857136</v>
      </c>
      <c r="Q15" s="78">
        <f t="shared" si="2"/>
        <v>522755.62714741344</v>
      </c>
      <c r="R15" s="79">
        <f t="shared" si="3"/>
        <v>6.7271414012566968</v>
      </c>
      <c r="S15" s="72"/>
      <c r="T15" s="72"/>
      <c r="U15" s="72"/>
      <c r="V15" s="72"/>
    </row>
    <row r="16" spans="1:22">
      <c r="A16" s="72"/>
      <c r="B16" s="76" t="s">
        <v>195</v>
      </c>
      <c r="C16" s="77">
        <v>900</v>
      </c>
      <c r="D16" s="77">
        <v>0</v>
      </c>
      <c r="E16" s="77">
        <v>12331</v>
      </c>
      <c r="F16" s="77">
        <v>7</v>
      </c>
      <c r="G16" s="75">
        <f t="shared" si="4"/>
        <v>1796802.857142857</v>
      </c>
      <c r="H16" s="77">
        <v>0</v>
      </c>
      <c r="I16" s="77">
        <v>13246</v>
      </c>
      <c r="J16" s="77">
        <v>7</v>
      </c>
      <c r="K16" s="75">
        <f t="shared" si="0"/>
        <v>1930131.4285714284</v>
      </c>
      <c r="L16" s="77">
        <v>0</v>
      </c>
      <c r="M16" s="77">
        <v>11745</v>
      </c>
      <c r="N16" s="77">
        <v>7</v>
      </c>
      <c r="O16" s="75">
        <f t="shared" si="5"/>
        <v>1711414.2857142854</v>
      </c>
      <c r="P16" s="78">
        <f t="shared" si="1"/>
        <v>1812782.857142857</v>
      </c>
      <c r="Q16" s="78">
        <f t="shared" si="2"/>
        <v>110230.74636823416</v>
      </c>
      <c r="R16" s="79">
        <f t="shared" si="3"/>
        <v>6.2583457855668376</v>
      </c>
      <c r="S16" s="72"/>
      <c r="T16" s="72"/>
      <c r="U16" s="72"/>
      <c r="V16" s="72"/>
    </row>
    <row r="17" spans="1:22">
      <c r="A17" s="72"/>
      <c r="B17" s="76" t="s">
        <v>196</v>
      </c>
      <c r="C17" s="77">
        <v>900</v>
      </c>
      <c r="D17" s="77">
        <v>0</v>
      </c>
      <c r="E17" s="77">
        <v>6389</v>
      </c>
      <c r="F17" s="77">
        <v>7</v>
      </c>
      <c r="G17" s="75">
        <f t="shared" si="4"/>
        <v>930968.57142857136</v>
      </c>
      <c r="H17" s="77">
        <v>0</v>
      </c>
      <c r="I17" s="77">
        <v>4586</v>
      </c>
      <c r="J17" s="77">
        <v>7</v>
      </c>
      <c r="K17" s="75">
        <f t="shared" si="0"/>
        <v>668245.7142857142</v>
      </c>
      <c r="L17" s="77">
        <v>0</v>
      </c>
      <c r="M17" s="77">
        <v>5332</v>
      </c>
      <c r="N17" s="77">
        <v>7</v>
      </c>
      <c r="O17" s="75">
        <f t="shared" si="5"/>
        <v>776948.57142857136</v>
      </c>
      <c r="P17" s="78">
        <f t="shared" si="1"/>
        <v>792054.28571428556</v>
      </c>
      <c r="Q17" s="78">
        <f t="shared" si="2"/>
        <v>132011.21872548491</v>
      </c>
      <c r="R17" s="79">
        <f t="shared" si="3"/>
        <v>5.8987549482286576</v>
      </c>
      <c r="S17" s="72"/>
      <c r="T17" s="72"/>
      <c r="U17" s="72"/>
      <c r="V17" s="72"/>
    </row>
    <row r="18" spans="1:22">
      <c r="A18" s="72"/>
      <c r="B18" s="76" t="s">
        <v>197</v>
      </c>
      <c r="C18" s="77">
        <v>900</v>
      </c>
      <c r="D18" s="77">
        <v>0</v>
      </c>
      <c r="E18" s="77">
        <v>2453</v>
      </c>
      <c r="F18" s="77">
        <v>7</v>
      </c>
      <c r="G18" s="75">
        <f t="shared" si="4"/>
        <v>357437.14285714284</v>
      </c>
      <c r="H18" s="77">
        <v>0</v>
      </c>
      <c r="I18" s="77">
        <v>2433</v>
      </c>
      <c r="J18" s="77">
        <v>7</v>
      </c>
      <c r="K18" s="75">
        <f t="shared" si="0"/>
        <v>354522.8571428571</v>
      </c>
      <c r="L18" s="77">
        <v>0</v>
      </c>
      <c r="M18" s="77">
        <v>1833</v>
      </c>
      <c r="N18" s="77">
        <v>7</v>
      </c>
      <c r="O18" s="75">
        <f t="shared" si="5"/>
        <v>267094.28571428568</v>
      </c>
      <c r="P18" s="78">
        <f t="shared" si="1"/>
        <v>326351.42857142852</v>
      </c>
      <c r="Q18" s="78">
        <f t="shared" si="2"/>
        <v>51338.874159841398</v>
      </c>
      <c r="R18" s="79">
        <f t="shared" si="3"/>
        <v>5.5136855181177333</v>
      </c>
      <c r="S18" s="72"/>
      <c r="T18" s="72"/>
      <c r="U18" s="72"/>
      <c r="V18" s="72"/>
    </row>
    <row r="19" spans="1:22">
      <c r="A19" s="72"/>
      <c r="B19" s="76" t="s">
        <v>198</v>
      </c>
      <c r="C19" s="77">
        <v>900</v>
      </c>
      <c r="D19" s="77">
        <v>0</v>
      </c>
      <c r="E19" s="77">
        <v>2574</v>
      </c>
      <c r="F19" s="77">
        <v>14</v>
      </c>
      <c r="G19" s="75">
        <f t="shared" si="4"/>
        <v>187534.28571428571</v>
      </c>
      <c r="H19" s="77">
        <v>0</v>
      </c>
      <c r="I19" s="77">
        <v>1997</v>
      </c>
      <c r="J19" s="77">
        <v>14</v>
      </c>
      <c r="K19" s="75">
        <f t="shared" si="0"/>
        <v>145495.71428571429</v>
      </c>
      <c r="L19" s="77">
        <v>0</v>
      </c>
      <c r="M19" s="77">
        <v>1974</v>
      </c>
      <c r="N19" s="77">
        <v>14</v>
      </c>
      <c r="O19" s="75">
        <f t="shared" si="5"/>
        <v>143819.99999999997</v>
      </c>
      <c r="P19" s="78">
        <f t="shared" si="1"/>
        <v>158950</v>
      </c>
      <c r="Q19" s="78">
        <f t="shared" si="2"/>
        <v>24768.892727345858</v>
      </c>
      <c r="R19" s="79">
        <f t="shared" si="3"/>
        <v>5.2012605322507914</v>
      </c>
      <c r="S19" s="72"/>
      <c r="T19" s="72"/>
      <c r="U19" s="72"/>
      <c r="V19" s="72"/>
    </row>
    <row r="20" spans="1:22" ht="15" thickBot="1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</row>
    <row r="21" spans="1:22" ht="43" thickBot="1">
      <c r="A21" s="72"/>
      <c r="B21" s="80" t="s">
        <v>4</v>
      </c>
      <c r="C21" s="80" t="s">
        <v>199</v>
      </c>
      <c r="D21" s="80" t="s">
        <v>200</v>
      </c>
      <c r="E21" s="80" t="s">
        <v>260</v>
      </c>
      <c r="F21" s="80" t="s">
        <v>261</v>
      </c>
      <c r="G21" s="81" t="s">
        <v>262</v>
      </c>
      <c r="H21" s="82" t="s">
        <v>201</v>
      </c>
      <c r="I21" s="82" t="s">
        <v>224</v>
      </c>
      <c r="J21" s="82" t="s">
        <v>225</v>
      </c>
      <c r="K21" s="82" t="s">
        <v>226</v>
      </c>
      <c r="L21" s="82" t="s">
        <v>227</v>
      </c>
      <c r="M21" s="85" t="s">
        <v>233</v>
      </c>
      <c r="N21" s="72"/>
      <c r="O21" s="72"/>
      <c r="P21" s="72"/>
      <c r="Q21" s="72"/>
      <c r="R21" s="72"/>
      <c r="S21" s="72"/>
      <c r="T21" s="72"/>
      <c r="U21" s="72"/>
      <c r="V21" s="72"/>
    </row>
    <row r="22" spans="1:22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</row>
    <row r="23" spans="1:22">
      <c r="A23" s="72"/>
      <c r="B23" s="76" t="s">
        <v>183</v>
      </c>
      <c r="C23" s="89">
        <v>13.733217239379883</v>
      </c>
      <c r="D23" s="89">
        <v>13.964070320129395</v>
      </c>
      <c r="E23" s="89">
        <v>13.836982727050781</v>
      </c>
      <c r="F23" s="87">
        <f t="shared" ref="F23:F38" si="6">AVERAGE(C23:E23)</f>
        <v>13.844756762186686</v>
      </c>
      <c r="G23" s="72">
        <f>150/100*180/4*1000/900</f>
        <v>75</v>
      </c>
      <c r="H23" s="90">
        <f t="shared" ref="H23:H37" si="7">LOG(G23)/LOG(2)</f>
        <v>6.2288186904958813</v>
      </c>
      <c r="I23" s="89">
        <f t="shared" ref="I23:I38" si="8">C23-H23</f>
        <v>7.5043985488840015</v>
      </c>
      <c r="J23" s="89">
        <f t="shared" ref="J23:J38" si="9">D23-H23</f>
        <v>7.7352516296335132</v>
      </c>
      <c r="K23" s="89">
        <f t="shared" ref="K23:K38" si="10">E23-H23</f>
        <v>7.6081640365548999</v>
      </c>
      <c r="L23" s="87">
        <f t="shared" ref="L23:L38" si="11">AVERAGE(I23:K23)</f>
        <v>7.6159380716908052</v>
      </c>
      <c r="M23" s="72"/>
      <c r="N23" s="72"/>
      <c r="O23" s="72"/>
      <c r="P23" s="72"/>
      <c r="Q23" s="72"/>
      <c r="R23" s="72"/>
      <c r="S23" s="72"/>
      <c r="T23" s="72"/>
      <c r="U23" s="72"/>
      <c r="V23" s="72"/>
    </row>
    <row r="24" spans="1:22">
      <c r="A24" s="72"/>
      <c r="B24" s="76" t="s">
        <v>184</v>
      </c>
      <c r="C24" s="89">
        <v>17.19072151184082</v>
      </c>
      <c r="D24" s="89">
        <v>17.22271728515625</v>
      </c>
      <c r="E24" s="89">
        <v>17.264667510986328</v>
      </c>
      <c r="F24" s="87">
        <f t="shared" si="6"/>
        <v>17.226035435994465</v>
      </c>
      <c r="G24" s="72">
        <f>150/100*180/4*1000/900</f>
        <v>75</v>
      </c>
      <c r="H24" s="90">
        <f t="shared" si="7"/>
        <v>6.2288186904958813</v>
      </c>
      <c r="I24" s="89">
        <f t="shared" si="8"/>
        <v>10.961902821344939</v>
      </c>
      <c r="J24" s="89">
        <f t="shared" si="9"/>
        <v>10.993898594660369</v>
      </c>
      <c r="K24" s="89">
        <f t="shared" si="10"/>
        <v>11.035848820490447</v>
      </c>
      <c r="L24" s="87">
        <f t="shared" si="11"/>
        <v>10.997216745498585</v>
      </c>
      <c r="M24" s="72"/>
      <c r="N24" s="72"/>
      <c r="O24" s="72"/>
      <c r="P24" s="72"/>
      <c r="Q24" s="72"/>
      <c r="R24" s="72"/>
      <c r="S24" s="72"/>
      <c r="T24" s="72"/>
      <c r="U24" s="72"/>
      <c r="V24" s="72"/>
    </row>
    <row r="25" spans="1:22">
      <c r="A25" s="72"/>
      <c r="B25" s="76" t="s">
        <v>185</v>
      </c>
      <c r="C25" s="89">
        <v>20.897546768188477</v>
      </c>
      <c r="D25" s="89">
        <v>20.622665405273438</v>
      </c>
      <c r="E25" s="89">
        <v>20.75037956237793</v>
      </c>
      <c r="F25" s="87">
        <f t="shared" si="6"/>
        <v>20.756863911946613</v>
      </c>
      <c r="G25" s="72">
        <f>150/100*180/4*1000/900</f>
        <v>75</v>
      </c>
      <c r="H25" s="90">
        <f t="shared" si="7"/>
        <v>6.2288186904958813</v>
      </c>
      <c r="I25" s="89">
        <f t="shared" si="8"/>
        <v>14.668728077692595</v>
      </c>
      <c r="J25" s="89">
        <f t="shared" si="9"/>
        <v>14.393846714777556</v>
      </c>
      <c r="K25" s="89">
        <f t="shared" si="10"/>
        <v>14.521560871882048</v>
      </c>
      <c r="L25" s="87">
        <f t="shared" si="11"/>
        <v>14.528045221450734</v>
      </c>
      <c r="M25" s="85" t="s">
        <v>133</v>
      </c>
      <c r="N25" s="72"/>
      <c r="O25" s="72"/>
      <c r="P25" s="72"/>
      <c r="Q25" s="72"/>
      <c r="R25" s="72"/>
      <c r="S25" s="72"/>
      <c r="T25" s="72"/>
      <c r="U25" s="72"/>
      <c r="V25" s="72"/>
    </row>
    <row r="26" spans="1:22">
      <c r="A26" s="72"/>
      <c r="B26" s="76" t="s">
        <v>186</v>
      </c>
      <c r="C26" s="89">
        <v>25.132444381713867</v>
      </c>
      <c r="D26" s="89">
        <v>25.147838592529297</v>
      </c>
      <c r="E26" s="89">
        <v>25.181661605834961</v>
      </c>
      <c r="F26" s="87">
        <f t="shared" si="6"/>
        <v>25.153981526692707</v>
      </c>
      <c r="G26" s="72">
        <f>150/100*180/4*1000/900</f>
        <v>75</v>
      </c>
      <c r="H26" s="90">
        <f t="shared" si="7"/>
        <v>6.2288186904958813</v>
      </c>
      <c r="I26" s="89">
        <f t="shared" si="8"/>
        <v>18.903625691217986</v>
      </c>
      <c r="J26" s="89">
        <f t="shared" si="9"/>
        <v>18.919019902033416</v>
      </c>
      <c r="K26" s="89">
        <f t="shared" si="10"/>
        <v>18.95284291533908</v>
      </c>
      <c r="L26" s="87">
        <f t="shared" si="11"/>
        <v>18.925162836196829</v>
      </c>
      <c r="M26" s="72"/>
      <c r="N26" s="72"/>
      <c r="O26" s="72"/>
      <c r="P26" s="72"/>
      <c r="Q26" s="72"/>
      <c r="R26" s="72"/>
      <c r="S26" s="72"/>
      <c r="T26" s="72"/>
      <c r="U26" s="72"/>
      <c r="V26" s="72"/>
    </row>
    <row r="27" spans="1:22">
      <c r="A27" s="72"/>
      <c r="B27" s="76" t="s">
        <v>187</v>
      </c>
      <c r="C27" s="89">
        <v>28.415132522583008</v>
      </c>
      <c r="D27" s="89">
        <v>28.359806060791016</v>
      </c>
      <c r="E27" s="89">
        <v>28.363668441772461</v>
      </c>
      <c r="F27" s="87">
        <f t="shared" si="6"/>
        <v>28.379535675048828</v>
      </c>
      <c r="G27" s="72">
        <f>150/100*180/4*1000/900</f>
        <v>75</v>
      </c>
      <c r="H27" s="90">
        <f t="shared" si="7"/>
        <v>6.2288186904958813</v>
      </c>
      <c r="I27" s="89">
        <f t="shared" si="8"/>
        <v>22.186313832087126</v>
      </c>
      <c r="J27" s="89">
        <f t="shared" si="9"/>
        <v>22.130987370295134</v>
      </c>
      <c r="K27" s="89">
        <f t="shared" si="10"/>
        <v>22.13484975127658</v>
      </c>
      <c r="L27" s="87">
        <f t="shared" si="11"/>
        <v>22.150716984552947</v>
      </c>
      <c r="M27" s="72"/>
      <c r="N27" s="72"/>
      <c r="O27" s="72"/>
      <c r="P27" s="72"/>
      <c r="Q27" s="72"/>
      <c r="R27" s="72"/>
      <c r="S27" s="72"/>
      <c r="T27" s="72"/>
      <c r="U27" s="72"/>
      <c r="V27" s="72"/>
    </row>
    <row r="28" spans="1:22">
      <c r="A28" s="72"/>
      <c r="B28" s="76" t="s">
        <v>188</v>
      </c>
      <c r="C28" s="89">
        <v>14.936457633972168</v>
      </c>
      <c r="D28" s="89">
        <v>14.999619483947754</v>
      </c>
      <c r="E28" s="89">
        <v>15.074687957763672</v>
      </c>
      <c r="F28" s="87">
        <f t="shared" si="6"/>
        <v>15.003588358561197</v>
      </c>
      <c r="G28" s="72">
        <f t="shared" ref="G28:G37" si="12">150/100*180/4*1000/500</f>
        <v>135</v>
      </c>
      <c r="H28" s="90">
        <f t="shared" si="7"/>
        <v>7.0768155970508309</v>
      </c>
      <c r="I28" s="89">
        <f t="shared" si="8"/>
        <v>7.8596420369213371</v>
      </c>
      <c r="J28" s="89">
        <f t="shared" si="9"/>
        <v>7.9228038868969231</v>
      </c>
      <c r="K28" s="89">
        <f t="shared" si="10"/>
        <v>7.997872360712841</v>
      </c>
      <c r="L28" s="87">
        <f t="shared" si="11"/>
        <v>7.9267727615103674</v>
      </c>
      <c r="M28" s="72"/>
      <c r="N28" s="72"/>
      <c r="O28" s="72"/>
      <c r="P28" s="72"/>
      <c r="Q28" s="72"/>
      <c r="R28" s="72"/>
      <c r="S28" s="72"/>
      <c r="T28" s="72"/>
      <c r="U28" s="72"/>
      <c r="V28" s="72"/>
    </row>
    <row r="29" spans="1:22">
      <c r="A29" s="72"/>
      <c r="B29" s="76" t="s">
        <v>189</v>
      </c>
      <c r="C29" s="89">
        <v>16.18989372253418</v>
      </c>
      <c r="D29" s="89">
        <v>15.8782958984375</v>
      </c>
      <c r="E29" s="89">
        <v>15.960098266601562</v>
      </c>
      <c r="F29" s="87">
        <f t="shared" si="6"/>
        <v>16.009429295857746</v>
      </c>
      <c r="G29" s="72">
        <f t="shared" si="12"/>
        <v>135</v>
      </c>
      <c r="H29" s="90">
        <f t="shared" si="7"/>
        <v>7.0768155970508309</v>
      </c>
      <c r="I29" s="89">
        <f t="shared" si="8"/>
        <v>9.1130781254833479</v>
      </c>
      <c r="J29" s="89">
        <f t="shared" si="9"/>
        <v>8.8014803013866683</v>
      </c>
      <c r="K29" s="89">
        <f t="shared" si="10"/>
        <v>8.8832826695507308</v>
      </c>
      <c r="L29" s="87">
        <f t="shared" si="11"/>
        <v>8.9326136988069162</v>
      </c>
      <c r="M29" s="85" t="s">
        <v>133</v>
      </c>
      <c r="N29" s="72"/>
      <c r="O29" s="72"/>
      <c r="P29" s="72"/>
      <c r="Q29" s="72"/>
      <c r="R29" s="72"/>
      <c r="S29" s="72"/>
      <c r="T29" s="72"/>
      <c r="U29" s="72"/>
      <c r="V29" s="72"/>
    </row>
    <row r="30" spans="1:22">
      <c r="A30" s="72"/>
      <c r="B30" s="76" t="s">
        <v>190</v>
      </c>
      <c r="C30" s="89">
        <v>16.854721069335938</v>
      </c>
      <c r="D30" s="89">
        <v>16.93126106262207</v>
      </c>
      <c r="E30" s="89">
        <v>17.05010986328125</v>
      </c>
      <c r="F30" s="87">
        <f t="shared" si="6"/>
        <v>16.945363998413086</v>
      </c>
      <c r="G30" s="72">
        <f t="shared" si="12"/>
        <v>135</v>
      </c>
      <c r="H30" s="90">
        <f t="shared" si="7"/>
        <v>7.0768155970508309</v>
      </c>
      <c r="I30" s="89">
        <f t="shared" si="8"/>
        <v>9.7779054722851058</v>
      </c>
      <c r="J30" s="89">
        <f t="shared" si="9"/>
        <v>9.8544454655712386</v>
      </c>
      <c r="K30" s="89">
        <f t="shared" si="10"/>
        <v>9.9732942662304183</v>
      </c>
      <c r="L30" s="87">
        <f t="shared" si="11"/>
        <v>9.8685484013622542</v>
      </c>
      <c r="M30" s="85" t="s">
        <v>133</v>
      </c>
      <c r="N30" s="72"/>
      <c r="O30" s="72"/>
      <c r="P30" s="72"/>
      <c r="Q30" s="72"/>
      <c r="R30" s="72"/>
      <c r="S30" s="72"/>
      <c r="T30" s="72"/>
      <c r="U30" s="72"/>
      <c r="V30" s="72"/>
    </row>
    <row r="31" spans="1:22">
      <c r="A31" s="72"/>
      <c r="B31" s="76" t="s">
        <v>191</v>
      </c>
      <c r="C31" s="89">
        <v>18.072385787963867</v>
      </c>
      <c r="D31" s="89">
        <v>18.182058334350586</v>
      </c>
      <c r="E31" s="89">
        <v>18.225353240966797</v>
      </c>
      <c r="F31" s="87">
        <f t="shared" si="6"/>
        <v>18.159932454427082</v>
      </c>
      <c r="G31" s="72">
        <f t="shared" si="12"/>
        <v>135</v>
      </c>
      <c r="H31" s="90">
        <f t="shared" si="7"/>
        <v>7.0768155970508309</v>
      </c>
      <c r="I31" s="89">
        <f t="shared" si="8"/>
        <v>10.995570190913035</v>
      </c>
      <c r="J31" s="89">
        <f t="shared" si="9"/>
        <v>11.105242737299754</v>
      </c>
      <c r="K31" s="89">
        <f t="shared" si="10"/>
        <v>11.148537643915965</v>
      </c>
      <c r="L31" s="87">
        <f t="shared" si="11"/>
        <v>11.083116857376252</v>
      </c>
      <c r="M31" s="72"/>
      <c r="N31" s="72"/>
      <c r="O31" s="72"/>
      <c r="P31" s="72"/>
      <c r="Q31" s="72"/>
      <c r="R31" s="72"/>
      <c r="S31" s="72"/>
      <c r="T31" s="72"/>
      <c r="U31" s="72"/>
      <c r="V31" s="72"/>
    </row>
    <row r="32" spans="1:22">
      <c r="A32" s="72"/>
      <c r="B32" s="76" t="s">
        <v>192</v>
      </c>
      <c r="C32" s="89">
        <v>20.280126571655273</v>
      </c>
      <c r="D32" s="89">
        <v>20.968669891357422</v>
      </c>
      <c r="E32" s="89">
        <v>20.306863784790039</v>
      </c>
      <c r="F32" s="87">
        <f t="shared" si="6"/>
        <v>20.518553415934246</v>
      </c>
      <c r="G32" s="72">
        <f t="shared" si="12"/>
        <v>135</v>
      </c>
      <c r="H32" s="90">
        <f t="shared" si="7"/>
        <v>7.0768155970508309</v>
      </c>
      <c r="I32" s="89">
        <f t="shared" si="8"/>
        <v>13.203310974604442</v>
      </c>
      <c r="J32" s="89">
        <f t="shared" si="9"/>
        <v>13.89185429430659</v>
      </c>
      <c r="K32" s="89">
        <f t="shared" si="10"/>
        <v>13.230048187739207</v>
      </c>
      <c r="L32" s="87">
        <f t="shared" si="11"/>
        <v>13.441737818883412</v>
      </c>
      <c r="M32" s="72"/>
      <c r="N32" s="72"/>
      <c r="O32" s="72"/>
      <c r="P32" s="72"/>
      <c r="Q32" s="72"/>
      <c r="R32" s="72"/>
      <c r="S32" s="72"/>
      <c r="T32" s="72"/>
      <c r="U32" s="72"/>
      <c r="V32" s="72"/>
    </row>
    <row r="33" spans="1:22">
      <c r="A33" s="72"/>
      <c r="B33" s="76" t="s">
        <v>193</v>
      </c>
      <c r="C33" s="89">
        <v>21.049312591552734</v>
      </c>
      <c r="D33" s="89">
        <v>21.128349304199219</v>
      </c>
      <c r="E33" s="89">
        <v>21.15723991394043</v>
      </c>
      <c r="F33" s="87">
        <f t="shared" si="6"/>
        <v>21.111633936564129</v>
      </c>
      <c r="G33" s="72">
        <f t="shared" si="12"/>
        <v>135</v>
      </c>
      <c r="H33" s="90">
        <f t="shared" si="7"/>
        <v>7.0768155970508309</v>
      </c>
      <c r="I33" s="89">
        <f t="shared" si="8"/>
        <v>13.972496994501903</v>
      </c>
      <c r="J33" s="89">
        <f t="shared" si="9"/>
        <v>14.051533707148387</v>
      </c>
      <c r="K33" s="89">
        <f t="shared" si="10"/>
        <v>14.080424316889598</v>
      </c>
      <c r="L33" s="87">
        <f t="shared" si="11"/>
        <v>14.034818339513295</v>
      </c>
      <c r="M33" s="72"/>
      <c r="N33" s="72"/>
      <c r="O33" s="72"/>
      <c r="P33" s="72"/>
      <c r="Q33" s="72"/>
      <c r="R33" s="72"/>
      <c r="S33" s="72"/>
      <c r="T33" s="72"/>
      <c r="U33" s="72"/>
      <c r="V33" s="72"/>
    </row>
    <row r="34" spans="1:22">
      <c r="A34" s="72"/>
      <c r="B34" s="76" t="s">
        <v>194</v>
      </c>
      <c r="C34" s="89">
        <v>21.142179489135742</v>
      </c>
      <c r="D34" s="89">
        <v>21.006193161010742</v>
      </c>
      <c r="E34" s="89">
        <v>21.079441070556641</v>
      </c>
      <c r="F34" s="87">
        <f t="shared" si="6"/>
        <v>21.075937906901043</v>
      </c>
      <c r="G34" s="72">
        <f t="shared" si="12"/>
        <v>135</v>
      </c>
      <c r="H34" s="90">
        <f t="shared" si="7"/>
        <v>7.0768155970508309</v>
      </c>
      <c r="I34" s="89">
        <f t="shared" si="8"/>
        <v>14.06536389208491</v>
      </c>
      <c r="J34" s="89">
        <f t="shared" si="9"/>
        <v>13.92937756395991</v>
      </c>
      <c r="K34" s="89">
        <f t="shared" si="10"/>
        <v>14.002625473505809</v>
      </c>
      <c r="L34" s="87">
        <f t="shared" si="11"/>
        <v>13.999122309850209</v>
      </c>
      <c r="M34" s="72"/>
      <c r="N34" s="72"/>
      <c r="O34" s="72"/>
      <c r="P34" s="72"/>
      <c r="Q34" s="72"/>
      <c r="R34" s="72"/>
      <c r="S34" s="72"/>
      <c r="T34" s="72"/>
      <c r="U34" s="72"/>
      <c r="V34" s="72"/>
    </row>
    <row r="35" spans="1:22">
      <c r="A35" s="72"/>
      <c r="B35" s="76" t="s">
        <v>195</v>
      </c>
      <c r="C35" s="89">
        <v>22.919816970825195</v>
      </c>
      <c r="D35" s="89">
        <v>22.845848083496094</v>
      </c>
      <c r="E35" s="89">
        <v>22.840835571289062</v>
      </c>
      <c r="F35" s="87">
        <f t="shared" si="6"/>
        <v>22.868833541870117</v>
      </c>
      <c r="G35" s="72">
        <f t="shared" si="12"/>
        <v>135</v>
      </c>
      <c r="H35" s="90">
        <f t="shared" si="7"/>
        <v>7.0768155970508309</v>
      </c>
      <c r="I35" s="89">
        <f t="shared" si="8"/>
        <v>15.843001373774364</v>
      </c>
      <c r="J35" s="89">
        <f t="shared" si="9"/>
        <v>15.769032486445262</v>
      </c>
      <c r="K35" s="89">
        <f t="shared" si="10"/>
        <v>15.764019974238231</v>
      </c>
      <c r="L35" s="87">
        <f t="shared" si="11"/>
        <v>15.792017944819285</v>
      </c>
      <c r="M35" s="72"/>
      <c r="N35" s="72"/>
      <c r="O35" s="72"/>
      <c r="P35" s="72"/>
      <c r="Q35" s="72"/>
      <c r="R35" s="72"/>
      <c r="S35" s="72"/>
      <c r="T35" s="72"/>
      <c r="U35" s="72"/>
      <c r="V35" s="72"/>
    </row>
    <row r="36" spans="1:22">
      <c r="A36" s="72"/>
      <c r="B36" s="76" t="s">
        <v>196</v>
      </c>
      <c r="C36" s="89">
        <v>23.948450088500977</v>
      </c>
      <c r="D36" s="89">
        <v>24.184415817260742</v>
      </c>
      <c r="E36" s="89">
        <v>24.005857467651367</v>
      </c>
      <c r="F36" s="87">
        <f t="shared" si="6"/>
        <v>24.046241124471027</v>
      </c>
      <c r="G36" s="72">
        <f t="shared" si="12"/>
        <v>135</v>
      </c>
      <c r="H36" s="90">
        <f t="shared" si="7"/>
        <v>7.0768155970508309</v>
      </c>
      <c r="I36" s="89">
        <f t="shared" si="8"/>
        <v>16.871634491450145</v>
      </c>
      <c r="J36" s="89">
        <f t="shared" si="9"/>
        <v>17.10760022020991</v>
      </c>
      <c r="K36" s="89">
        <f t="shared" si="10"/>
        <v>16.929041870600535</v>
      </c>
      <c r="L36" s="87">
        <f t="shared" si="11"/>
        <v>16.969425527420196</v>
      </c>
      <c r="M36" s="72"/>
      <c r="N36" s="72"/>
      <c r="O36" s="72"/>
      <c r="P36" s="72"/>
      <c r="Q36" s="72"/>
      <c r="R36" s="72"/>
      <c r="S36" s="72"/>
      <c r="T36" s="72"/>
      <c r="U36" s="72"/>
      <c r="V36" s="72"/>
    </row>
    <row r="37" spans="1:22">
      <c r="A37" s="72"/>
      <c r="B37" s="76" t="s">
        <v>197</v>
      </c>
      <c r="C37" s="89">
        <v>24.632528305053711</v>
      </c>
      <c r="D37" s="89">
        <v>24.451812744140625</v>
      </c>
      <c r="E37" s="89">
        <v>24.549453735351562</v>
      </c>
      <c r="F37" s="87">
        <f t="shared" si="6"/>
        <v>24.544598261515301</v>
      </c>
      <c r="G37" s="72">
        <f t="shared" si="12"/>
        <v>135</v>
      </c>
      <c r="H37" s="90">
        <f t="shared" si="7"/>
        <v>7.0768155970508309</v>
      </c>
      <c r="I37" s="89">
        <f t="shared" si="8"/>
        <v>17.555712708002879</v>
      </c>
      <c r="J37" s="89">
        <f t="shared" si="9"/>
        <v>17.374997147089793</v>
      </c>
      <c r="K37" s="89">
        <f t="shared" si="10"/>
        <v>17.472638138300731</v>
      </c>
      <c r="L37" s="87">
        <f t="shared" si="11"/>
        <v>17.467782664464469</v>
      </c>
      <c r="M37" s="72"/>
      <c r="N37" s="72"/>
      <c r="O37" s="72"/>
      <c r="P37" s="72"/>
      <c r="Q37" s="72"/>
      <c r="R37" s="72"/>
      <c r="S37" s="72"/>
      <c r="T37" s="72"/>
      <c r="U37" s="72"/>
      <c r="V37" s="72"/>
    </row>
    <row r="38" spans="1:22">
      <c r="A38" s="72"/>
      <c r="B38" s="76" t="s">
        <v>198</v>
      </c>
      <c r="C38" s="77"/>
      <c r="D38" s="77"/>
      <c r="E38" s="77"/>
      <c r="F38" s="87" t="e">
        <f t="shared" si="6"/>
        <v>#DIV/0!</v>
      </c>
      <c r="G38" s="72">
        <v>0</v>
      </c>
      <c r="H38" s="90">
        <v>0</v>
      </c>
      <c r="I38" s="89">
        <f t="shared" si="8"/>
        <v>0</v>
      </c>
      <c r="J38" s="89">
        <f t="shared" si="9"/>
        <v>0</v>
      </c>
      <c r="K38" s="89">
        <f t="shared" si="10"/>
        <v>0</v>
      </c>
      <c r="L38" s="87">
        <f t="shared" si="11"/>
        <v>0</v>
      </c>
      <c r="M38" s="72"/>
      <c r="N38" s="72"/>
      <c r="O38" s="72"/>
      <c r="P38" s="72"/>
      <c r="Q38" s="72"/>
      <c r="R38" s="72"/>
      <c r="S38" s="72"/>
      <c r="T38" s="72"/>
      <c r="U38" s="72"/>
      <c r="V38" s="72"/>
    </row>
    <row r="39" spans="1:22">
      <c r="A39" s="72"/>
      <c r="B39" s="72"/>
      <c r="C39" s="72"/>
      <c r="D39" s="72"/>
      <c r="E39" s="72"/>
      <c r="F39" s="90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</row>
    <row r="40" spans="1:22">
      <c r="A40" s="72"/>
      <c r="B40" s="76" t="s">
        <v>207</v>
      </c>
      <c r="C40" s="89">
        <v>14.390941619873047</v>
      </c>
      <c r="D40" s="89">
        <v>14.411395072937012</v>
      </c>
      <c r="E40" s="89">
        <v>14.301624298095703</v>
      </c>
      <c r="F40" s="87">
        <f>AVERAGE(C40:E40)</f>
        <v>14.367986996968588</v>
      </c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</row>
    <row r="41" spans="1:22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</row>
    <row r="42" spans="1:22">
      <c r="A42" s="72"/>
      <c r="B42" s="85" t="s">
        <v>229</v>
      </c>
      <c r="C42" s="72" t="s">
        <v>202</v>
      </c>
      <c r="D42" s="72"/>
      <c r="E42" s="72"/>
      <c r="F42" t="s">
        <v>228</v>
      </c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</row>
    <row r="43" spans="1:22">
      <c r="A43" s="72"/>
      <c r="B43" s="72" t="s">
        <v>203</v>
      </c>
      <c r="C43" s="72" t="s">
        <v>202</v>
      </c>
      <c r="D43" s="72"/>
      <c r="E43" s="72"/>
      <c r="F43">
        <v>0.35990572856564834</v>
      </c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</row>
    <row r="44" spans="1:22">
      <c r="A44" s="72"/>
      <c r="B44" s="72"/>
      <c r="C44" s="84" t="s">
        <v>204</v>
      </c>
      <c r="D44" s="96">
        <v>-3.2483</v>
      </c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</row>
    <row r="45" spans="1:22">
      <c r="A45" s="72"/>
      <c r="B45" s="72"/>
      <c r="C45" s="84" t="s">
        <v>205</v>
      </c>
      <c r="D45" s="83">
        <v>36.023000000000003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</row>
    <row r="46" spans="1:22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</row>
    <row r="47" spans="1:22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</row>
    <row r="48" spans="1:22">
      <c r="A48" s="72"/>
      <c r="B48" s="85" t="s">
        <v>206</v>
      </c>
      <c r="C48" s="72"/>
      <c r="D48" s="72">
        <f>-1+ POWER(10,-(1/D44))</f>
        <v>1.0316707994539165</v>
      </c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</row>
    <row r="49" spans="1:22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</row>
    <row r="50" spans="1:22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</row>
    <row r="51" spans="1:22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</row>
    <row r="52" spans="1:22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</row>
    <row r="53" spans="1:22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</row>
    <row r="54" spans="1:22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</row>
    <row r="55" spans="1:22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opLeftCell="A42" workbookViewId="0">
      <selection activeCell="I16" sqref="I16"/>
    </sheetView>
  </sheetViews>
  <sheetFormatPr baseColWidth="10" defaultRowHeight="14" x14ac:dyDescent="0"/>
  <cols>
    <col min="14" max="14" width="23.33203125" customWidth="1"/>
    <col min="15" max="15" width="14" customWidth="1"/>
    <col min="16" max="16" width="15.6640625" customWidth="1"/>
    <col min="17" max="18" width="17.33203125" customWidth="1"/>
    <col min="19" max="19" width="21.5" customWidth="1"/>
    <col min="38" max="38" width="11.5" bestFit="1" customWidth="1"/>
  </cols>
  <sheetData>
    <row r="1" spans="1:29">
      <c r="A1" s="86" t="s">
        <v>223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</row>
    <row r="2" spans="1:29">
      <c r="A2" s="115" t="s">
        <v>4</v>
      </c>
      <c r="B2" s="115" t="s">
        <v>118</v>
      </c>
      <c r="C2" s="115" t="s">
        <v>118</v>
      </c>
      <c r="D2" s="115" t="s">
        <v>5</v>
      </c>
      <c r="E2" s="129" t="s">
        <v>208</v>
      </c>
      <c r="F2" s="129" t="s">
        <v>209</v>
      </c>
      <c r="G2" s="129" t="s">
        <v>210</v>
      </c>
      <c r="H2" s="131" t="s">
        <v>211</v>
      </c>
      <c r="I2" s="131" t="s">
        <v>212</v>
      </c>
      <c r="J2" s="131" t="s">
        <v>213</v>
      </c>
      <c r="K2" s="129" t="s">
        <v>214</v>
      </c>
      <c r="L2" s="129" t="s">
        <v>215</v>
      </c>
      <c r="M2" s="129" t="s">
        <v>216</v>
      </c>
      <c r="N2" s="129" t="s">
        <v>217</v>
      </c>
      <c r="O2" s="129" t="s">
        <v>218</v>
      </c>
      <c r="P2" s="131" t="s">
        <v>219</v>
      </c>
      <c r="Q2" s="131" t="s">
        <v>231</v>
      </c>
      <c r="R2" s="131" t="s">
        <v>232</v>
      </c>
      <c r="S2" s="131" t="s">
        <v>220</v>
      </c>
      <c r="T2" s="72"/>
    </row>
    <row r="3" spans="1:29">
      <c r="A3" s="116"/>
      <c r="B3" s="116"/>
      <c r="C3" s="116"/>
      <c r="D3" s="116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72"/>
    </row>
    <row r="4" spans="1:29">
      <c r="A4" s="40">
        <v>0</v>
      </c>
      <c r="B4" s="31">
        <v>10</v>
      </c>
      <c r="C4" s="31">
        <f>B4</f>
        <v>10</v>
      </c>
      <c r="D4" s="13">
        <f t="shared" ref="D4:D21" si="0">C4/60</f>
        <v>0.16666666666666666</v>
      </c>
      <c r="E4" s="89">
        <v>27.607370376586914</v>
      </c>
      <c r="F4" s="89">
        <v>27.957210540771484</v>
      </c>
      <c r="G4" s="87">
        <v>26.903844833374023</v>
      </c>
      <c r="H4" s="93">
        <f>E4-$H$62+$H$75</f>
        <v>27.965775598995926</v>
      </c>
      <c r="I4" s="93">
        <f>F4-$H$62+$H$75</f>
        <v>28.315615763180496</v>
      </c>
      <c r="J4" s="93">
        <f>G4-$H$62+$H$75</f>
        <v>27.262250055783035</v>
      </c>
      <c r="K4" s="87">
        <f>((H4-'Calibration F. prausnitzii'!$D$45)/('Calibration F. prausnitzii'!$D$44))+$B$24</f>
        <v>6.1336559460334712</v>
      </c>
      <c r="L4" s="87">
        <f>((I4-'Calibration F. prausnitzii'!$D$45)/('Calibration F. prausnitzii'!$D$44))+$B$24</f>
        <v>6.0259564834885806</v>
      </c>
      <c r="M4" s="87">
        <f>((J4-'Calibration F. prausnitzii'!$D$45)/('Calibration F. prausnitzii'!$D$44))+$B$24</f>
        <v>6.3502386333508039</v>
      </c>
      <c r="N4" s="94">
        <f>AVERAGE(K4:M4)</f>
        <v>6.1699503542909513</v>
      </c>
      <c r="O4" s="94">
        <f>STDEV(K4:M4)</f>
        <v>0.16515959322088095</v>
      </c>
      <c r="P4" s="95">
        <f>(AVERAGE(POWER(10,K4),POWER(10,L4),POWER(10,M4)))*(Calculation!$I4/Calculation!$K3)</f>
        <v>1553969.1098500257</v>
      </c>
      <c r="Q4" s="95">
        <f>(STDEV(POWER(10,K4),POWER(10,L4),POWER(10,M4)))*(Calculation!$I4/Calculation!$K3)</f>
        <v>612573.22588401323</v>
      </c>
      <c r="R4" s="94">
        <f>LOG(P4)</f>
        <v>6.1914423815466098</v>
      </c>
      <c r="S4" s="94">
        <f>O4*(Calculation!$I4/Calculation!$K3)</f>
        <v>0.16515959322088095</v>
      </c>
      <c r="T4" s="72"/>
    </row>
    <row r="5" spans="1:29">
      <c r="A5" s="40">
        <v>1</v>
      </c>
      <c r="B5" s="31">
        <v>110</v>
      </c>
      <c r="C5" s="31">
        <f>C4+B5</f>
        <v>120</v>
      </c>
      <c r="D5" s="13">
        <f t="shared" si="0"/>
        <v>2</v>
      </c>
      <c r="E5" s="89">
        <v>25.423238754272461</v>
      </c>
      <c r="F5" s="89">
        <v>25.742456436157227</v>
      </c>
      <c r="G5" s="87">
        <v>25.232887268066406</v>
      </c>
      <c r="H5" s="93">
        <f>E5-$H$62+$H$75</f>
        <v>25.781643976681472</v>
      </c>
      <c r="I5" s="93">
        <f>F5-$H$62+$H$75</f>
        <v>26.100861658566238</v>
      </c>
      <c r="J5" s="93">
        <f>G5-$H$62+$H$75</f>
        <v>25.591292490475418</v>
      </c>
      <c r="K5" s="87">
        <f>((H5-'Calibration F. prausnitzii'!$D$45)/('Calibration F. prausnitzii'!$D$44))+$B$24</f>
        <v>6.806048158056516</v>
      </c>
      <c r="L5" s="87">
        <f>((I5-'Calibration F. prausnitzii'!$D$45)/('Calibration F. prausnitzii'!$D$44))+$B$24</f>
        <v>6.7077759289259653</v>
      </c>
      <c r="M5" s="87">
        <f>((J5-'Calibration F. prausnitzii'!$D$45)/('Calibration F. prausnitzii'!$D$44))+$B$24</f>
        <v>6.8646484986057423</v>
      </c>
      <c r="N5" s="94">
        <f t="shared" ref="N5:N20" si="1">AVERAGE(K5:M5)</f>
        <v>6.7928241951960748</v>
      </c>
      <c r="O5" s="94">
        <f t="shared" ref="O5:O20" si="2">STDEV(K5:M5)</f>
        <v>7.9267935981611609E-2</v>
      </c>
      <c r="P5" s="95">
        <f>(AVERAGE(POWER(10,K5),POWER(10,L5),POWER(10,M5)))*(Calculation!$I5/Calculation!$K4)</f>
        <v>6274263.6926209601</v>
      </c>
      <c r="Q5" s="95">
        <f>(STDEV(POWER(10,K5),POWER(10,L5),POWER(10,M5)))*(Calculation!$I5/Calculation!$K4)</f>
        <v>1115115.4523220307</v>
      </c>
      <c r="R5" s="94">
        <f t="shared" ref="R5:R20" si="3">LOG(P5)</f>
        <v>6.7975627671260961</v>
      </c>
      <c r="S5" s="94">
        <f>O5*(Calculation!$I5/Calculation!$K4)</f>
        <v>7.9267935981611609E-2</v>
      </c>
      <c r="T5" s="72"/>
    </row>
    <row r="6" spans="1:29">
      <c r="A6" s="40">
        <v>2</v>
      </c>
      <c r="B6" s="31">
        <v>80</v>
      </c>
      <c r="C6" s="31">
        <f>C5+B6</f>
        <v>200</v>
      </c>
      <c r="D6" s="13">
        <f t="shared" si="0"/>
        <v>3.3333333333333335</v>
      </c>
      <c r="E6" s="89">
        <v>23.950811386108398</v>
      </c>
      <c r="F6" s="89">
        <v>24.463329315185547</v>
      </c>
      <c r="G6" s="87">
        <v>23.864057540893555</v>
      </c>
      <c r="H6" s="93">
        <f>E6-$H$62+$H$75</f>
        <v>24.30921660851741</v>
      </c>
      <c r="I6" s="93">
        <f>F6-$H$62+$H$75</f>
        <v>24.821734537594558</v>
      </c>
      <c r="J6" s="93">
        <f>G6-$H$62+$H$75</f>
        <v>24.222462763302566</v>
      </c>
      <c r="K6" s="87">
        <f>((H6-'Calibration F. prausnitzii'!$D$45)/('Calibration F. prausnitzii'!$D$44))+$B$24</f>
        <v>7.2593398392941051</v>
      </c>
      <c r="L6" s="87">
        <f>((I6-'Calibration F. prausnitzii'!$D$45)/('Calibration F. prausnitzii'!$D$44))+$B$24</f>
        <v>7.1015594836997487</v>
      </c>
      <c r="M6" s="87">
        <f>((J6-'Calibration F. prausnitzii'!$D$45)/('Calibration F. prausnitzii'!$D$44))+$B$24</f>
        <v>7.2860473001859081</v>
      </c>
      <c r="N6" s="94">
        <f t="shared" si="1"/>
        <v>7.2156488743932536</v>
      </c>
      <c r="O6" s="94">
        <f t="shared" si="2"/>
        <v>9.9702627439969022E-2</v>
      </c>
      <c r="P6" s="95">
        <f>(AVERAGE(POWER(10,K6),POWER(10,L6),POWER(10,M6)))*(Calculation!$I6/Calculation!$K5)</f>
        <v>16708565.876152575</v>
      </c>
      <c r="Q6" s="95">
        <f>(STDEV(POWER(10,K6),POWER(10,L6),POWER(10,M6)))*(Calculation!$I6/Calculation!$K5)</f>
        <v>3574950.856060734</v>
      </c>
      <c r="R6" s="94">
        <f t="shared" si="3"/>
        <v>7.2229391752792749</v>
      </c>
      <c r="S6" s="94">
        <f>O6*(Calculation!$I6/Calculation!$K5)</f>
        <v>9.9702627439969022E-2</v>
      </c>
      <c r="T6" s="72"/>
    </row>
    <row r="7" spans="1:29">
      <c r="A7" s="40">
        <v>3</v>
      </c>
      <c r="B7" s="31">
        <v>80</v>
      </c>
      <c r="C7" s="31">
        <f>C6+B7</f>
        <v>280</v>
      </c>
      <c r="D7" s="13">
        <f t="shared" si="0"/>
        <v>4.666666666666667</v>
      </c>
      <c r="E7" s="89">
        <v>22.837261199951172</v>
      </c>
      <c r="F7" s="89">
        <v>22.896026611328125</v>
      </c>
      <c r="G7" s="87">
        <v>22.803503036499023</v>
      </c>
      <c r="H7" s="93">
        <f>E7-$H$62+$H$75</f>
        <v>23.195666422360183</v>
      </c>
      <c r="I7" s="93">
        <f>F7-$H$62+$H$75</f>
        <v>23.254431833737137</v>
      </c>
      <c r="J7" s="93">
        <f>G7-$H$62+$H$75</f>
        <v>23.161908258908035</v>
      </c>
      <c r="K7" s="87">
        <f>((H7-'Calibration F. prausnitzii'!$D$45)/('Calibration F. prausnitzii'!$D$44))+$B$24</f>
        <v>7.602149981878604</v>
      </c>
      <c r="L7" s="87">
        <f>((I7-'Calibration F. prausnitzii'!$D$45)/('Calibration F. prausnitzii'!$D$44))+$B$24</f>
        <v>7.5840588537879245</v>
      </c>
      <c r="M7" s="87">
        <f>((J7-'Calibration F. prausnitzii'!$D$45)/('Calibration F. prausnitzii'!$D$44))+$B$24</f>
        <v>7.6125425452046969</v>
      </c>
      <c r="N7" s="94">
        <f t="shared" si="1"/>
        <v>7.5995837936237409</v>
      </c>
      <c r="O7" s="94">
        <f t="shared" si="2"/>
        <v>1.4414199970897511E-2</v>
      </c>
      <c r="P7" s="95">
        <f>(AVERAGE(POWER(10,K7),POWER(10,L7),POWER(10,M7)))*(Calculation!$I7/Calculation!$K6)</f>
        <v>39787146.371213868</v>
      </c>
      <c r="Q7" s="95">
        <f>(STDEV(POWER(10,K7),POWER(10,L7),POWER(10,M7)))*(Calculation!$I7/Calculation!$K6)</f>
        <v>1314674.4842788437</v>
      </c>
      <c r="R7" s="94">
        <f t="shared" si="3"/>
        <v>7.59974279162999</v>
      </c>
      <c r="S7" s="94">
        <f>O7*(Calculation!$I7/Calculation!$K6)</f>
        <v>1.4414199970897511E-2</v>
      </c>
      <c r="T7" s="72"/>
    </row>
    <row r="8" spans="1:29">
      <c r="A8" s="40">
        <v>4</v>
      </c>
      <c r="B8" s="31">
        <v>80</v>
      </c>
      <c r="C8" s="31">
        <f t="shared" ref="C8:C18" si="4">C7+B8</f>
        <v>360</v>
      </c>
      <c r="D8" s="13">
        <f t="shared" si="0"/>
        <v>6</v>
      </c>
      <c r="E8" s="89">
        <v>22.413764953613281</v>
      </c>
      <c r="F8" s="89">
        <v>22.675954818725586</v>
      </c>
      <c r="G8" s="87">
        <v>22.654281616210938</v>
      </c>
      <c r="H8" s="93">
        <f>E8-$H$62+$H$75</f>
        <v>22.772170176022293</v>
      </c>
      <c r="I8" s="93">
        <f>F8-$H$62+$H$75</f>
        <v>23.034360041134597</v>
      </c>
      <c r="J8" s="93">
        <f>G8-$H$62+$H$75</f>
        <v>23.012686838619949</v>
      </c>
      <c r="K8" s="87">
        <f>((H8-'Calibration F. prausnitzii'!$D$45)/('Calibration F. prausnitzii'!$D$44))+$B$24</f>
        <v>7.7325247152277061</v>
      </c>
      <c r="L8" s="87">
        <f>((I8-'Calibration F. prausnitzii'!$D$45)/('Calibration F. prausnitzii'!$D$44))+$B$24</f>
        <v>7.6518086898875888</v>
      </c>
      <c r="M8" s="87">
        <f>((J8-'Calibration F. prausnitzii'!$D$45)/('Calibration F. prausnitzii'!$D$44))+$B$24</f>
        <v>7.6584808576413828</v>
      </c>
      <c r="N8" s="94">
        <f t="shared" si="1"/>
        <v>7.6809380875855595</v>
      </c>
      <c r="O8" s="94">
        <f t="shared" si="2"/>
        <v>4.4799716173775345E-2</v>
      </c>
      <c r="P8" s="95">
        <f>(AVERAGE(POWER(10,K8),POWER(10,L8),POWER(10,M8)))*(Calculation!$I8/Calculation!$K7)</f>
        <v>48140090.687530629</v>
      </c>
      <c r="Q8" s="95">
        <f>(STDEV(POWER(10,K8),POWER(10,L8),POWER(10,M8)))*(Calculation!$I8/Calculation!$K7)</f>
        <v>5100765.4563849447</v>
      </c>
      <c r="R8" s="94">
        <f t="shared" si="3"/>
        <v>7.6825069040748035</v>
      </c>
      <c r="S8" s="94">
        <f>O8*(Calculation!$I8/Calculation!$K7)</f>
        <v>4.4799716173775345E-2</v>
      </c>
      <c r="T8" s="72"/>
    </row>
    <row r="9" spans="1:29">
      <c r="A9" s="40">
        <v>5</v>
      </c>
      <c r="B9" s="31">
        <v>80</v>
      </c>
      <c r="C9" s="31">
        <f t="shared" si="4"/>
        <v>440</v>
      </c>
      <c r="D9" s="13">
        <f t="shared" si="0"/>
        <v>7.333333333333333</v>
      </c>
      <c r="E9" s="89">
        <v>22.427051544189453</v>
      </c>
      <c r="F9" s="89">
        <v>22.449068069458008</v>
      </c>
      <c r="G9" s="87">
        <v>22.303888320922852</v>
      </c>
      <c r="H9" s="93">
        <f>E9-$H$62+$H$75</f>
        <v>22.785456766598465</v>
      </c>
      <c r="I9" s="93">
        <f>F9-$H$62+$H$75</f>
        <v>22.807473291867019</v>
      </c>
      <c r="J9" s="93">
        <f>G9-$H$62+$H$75</f>
        <v>22.662293543331863</v>
      </c>
      <c r="K9" s="87">
        <f>((H9-'Calibration F. prausnitzii'!$D$45)/('Calibration F. prausnitzii'!$D$44))+$B$24</f>
        <v>7.7284343939592972</v>
      </c>
      <c r="L9" s="87">
        <f>((I9-'Calibration F. prausnitzii'!$D$45)/('Calibration F. prausnitzii'!$D$44))+$B$24</f>
        <v>7.7216565331494724</v>
      </c>
      <c r="M9" s="87">
        <f>((J9-'Calibration F. prausnitzii'!$D$45)/('Calibration F. prausnitzii'!$D$44))+$B$24</f>
        <v>7.7663506034432128</v>
      </c>
      <c r="N9" s="94">
        <f t="shared" si="1"/>
        <v>7.7388138435173275</v>
      </c>
      <c r="O9" s="94">
        <f t="shared" si="2"/>
        <v>2.4087127468862348E-2</v>
      </c>
      <c r="P9" s="95">
        <f>(AVERAGE(POWER(10,K9),POWER(10,L9),POWER(10,M9)))*(Calculation!$I9/Calculation!$K8)</f>
        <v>54860956.013654925</v>
      </c>
      <c r="Q9" s="95">
        <f>(STDEV(POWER(10,K9),POWER(10,L9),POWER(10,M9)))*(Calculation!$I9/Calculation!$K8)</f>
        <v>3085595.9613814037</v>
      </c>
      <c r="R9" s="94">
        <f t="shared" si="3"/>
        <v>7.7392633714026218</v>
      </c>
      <c r="S9" s="94">
        <f>O9*(Calculation!$I9/Calculation!$K8)</f>
        <v>2.4087127468862348E-2</v>
      </c>
      <c r="T9" s="72"/>
    </row>
    <row r="10" spans="1:29">
      <c r="A10" s="40">
        <v>6</v>
      </c>
      <c r="B10" s="31">
        <v>80</v>
      </c>
      <c r="C10" s="31">
        <f t="shared" si="4"/>
        <v>520</v>
      </c>
      <c r="D10" s="13">
        <f t="shared" si="0"/>
        <v>8.6666666666666661</v>
      </c>
      <c r="E10" s="89">
        <v>22.358852386474609</v>
      </c>
      <c r="F10" s="89">
        <v>22.317867279052734</v>
      </c>
      <c r="G10" s="87">
        <v>22.282720565795898</v>
      </c>
      <c r="H10" s="93">
        <f>E10-$H$62+$H$75</f>
        <v>22.717257608883621</v>
      </c>
      <c r="I10" s="93">
        <f>F10-$H$62+$H$75</f>
        <v>22.676272501461746</v>
      </c>
      <c r="J10" s="93">
        <f>G10-$H$62+$H$75</f>
        <v>22.64112578820491</v>
      </c>
      <c r="K10" s="87">
        <f>((H10-'Calibration F. prausnitzii'!$D$45)/('Calibration F. prausnitzii'!$D$44))+$B$24</f>
        <v>7.7494297323562567</v>
      </c>
      <c r="L10" s="87">
        <f>((I10-'Calibration F. prausnitzii'!$D$45)/('Calibration F. prausnitzii'!$D$44))+$B$24</f>
        <v>7.7620471345118087</v>
      </c>
      <c r="M10" s="87">
        <f>((J10-'Calibration F. prausnitzii'!$D$45)/('Calibration F. prausnitzii'!$D$44))+$B$24</f>
        <v>7.7728671675311833</v>
      </c>
      <c r="N10" s="94">
        <f t="shared" si="1"/>
        <v>7.7614480114664159</v>
      </c>
      <c r="O10" s="94">
        <f t="shared" si="2"/>
        <v>1.1730198344971111E-2</v>
      </c>
      <c r="P10" s="95">
        <f>(AVERAGE(POWER(10,K10),POWER(10,L10),POWER(10,M10)))*(Calculation!$I10/Calculation!$K9)</f>
        <v>57750206.62439549</v>
      </c>
      <c r="Q10" s="95">
        <f>(STDEV(POWER(10,K10),POWER(10,L10),POWER(10,M10)))*(Calculation!$I10/Calculation!$K9)</f>
        <v>1558068.1935996288</v>
      </c>
      <c r="R10" s="94">
        <f t="shared" si="3"/>
        <v>7.761553542428671</v>
      </c>
      <c r="S10" s="94">
        <f>O10*(Calculation!$I10/Calculation!$K9)</f>
        <v>1.1730198344971111E-2</v>
      </c>
      <c r="T10" s="72"/>
    </row>
    <row r="11" spans="1:29">
      <c r="A11" s="40">
        <v>7</v>
      </c>
      <c r="B11" s="31">
        <v>80</v>
      </c>
      <c r="C11" s="31">
        <f t="shared" si="4"/>
        <v>600</v>
      </c>
      <c r="D11" s="13">
        <f t="shared" si="0"/>
        <v>10</v>
      </c>
      <c r="E11" s="89">
        <v>21.990886688232422</v>
      </c>
      <c r="F11" s="89">
        <v>22.044219970703125</v>
      </c>
      <c r="G11" s="87">
        <v>22.198690414428711</v>
      </c>
      <c r="H11" s="93">
        <f>E11-$H$62+$H$75</f>
        <v>22.349291910641433</v>
      </c>
      <c r="I11" s="93">
        <f>F11-$H$62+$H$75</f>
        <v>22.402625193112137</v>
      </c>
      <c r="J11" s="93">
        <f>G11-$H$62+$H$75</f>
        <v>22.557095636837722</v>
      </c>
      <c r="K11" s="87">
        <f>((H11-'Calibration F. prausnitzii'!$D$45)/('Calibration F. prausnitzii'!$D$44))+$B$24</f>
        <v>7.8627092010759529</v>
      </c>
      <c r="L11" s="87">
        <f>((I11-'Calibration F. prausnitzii'!$D$45)/('Calibration F. prausnitzii'!$D$44))+$B$24</f>
        <v>7.8462903720051465</v>
      </c>
      <c r="M11" s="87">
        <f>((J11-'Calibration F. prausnitzii'!$D$45)/('Calibration F. prausnitzii'!$D$44))+$B$24</f>
        <v>7.7987361301784723</v>
      </c>
      <c r="N11" s="94">
        <f t="shared" si="1"/>
        <v>7.835911901086523</v>
      </c>
      <c r="O11" s="94">
        <f t="shared" si="2"/>
        <v>3.3225335874450396E-2</v>
      </c>
      <c r="P11" s="95">
        <f>(AVERAGE(POWER(10,K11),POWER(10,L11),POWER(10,M11)))*(Calculation!$I11/Calculation!$K10)</f>
        <v>68667250.380430073</v>
      </c>
      <c r="Q11" s="95">
        <f>(STDEV(POWER(10,K11),POWER(10,L11),POWER(10,M11)))*(Calculation!$I11/Calculation!$K10)</f>
        <v>5164051.87358905</v>
      </c>
      <c r="R11" s="94">
        <f t="shared" si="3"/>
        <v>7.8367496574347673</v>
      </c>
      <c r="S11" s="94">
        <f>O11*(Calculation!$I11/Calculation!$K10)</f>
        <v>3.3225335874450396E-2</v>
      </c>
      <c r="T11" s="72"/>
    </row>
    <row r="12" spans="1:29">
      <c r="A12" s="40">
        <v>8</v>
      </c>
      <c r="B12" s="31">
        <v>80</v>
      </c>
      <c r="C12" s="31">
        <f t="shared" si="4"/>
        <v>680</v>
      </c>
      <c r="D12" s="13">
        <f t="shared" si="0"/>
        <v>11.333333333333334</v>
      </c>
      <c r="E12" s="89">
        <v>21.929826736450195</v>
      </c>
      <c r="F12" s="89">
        <v>22.093654632568359</v>
      </c>
      <c r="G12" s="87">
        <v>21.980676651000977</v>
      </c>
      <c r="H12" s="93">
        <f>E12-$H$62+$H$75</f>
        <v>22.288231958859207</v>
      </c>
      <c r="I12" s="93">
        <f>F12-$H$62+$H$75</f>
        <v>22.452059854977371</v>
      </c>
      <c r="J12" s="93">
        <f>G12-$H$62+$H$75</f>
        <v>22.339081873409988</v>
      </c>
      <c r="K12" s="87">
        <f>((H12-'Calibration F. prausnitzii'!$D$45)/('Calibration F. prausnitzii'!$D$44))+$B$24</f>
        <v>7.8815067110911077</v>
      </c>
      <c r="L12" s="87">
        <f>((I12-'Calibration F. prausnitzii'!$D$45)/('Calibration F. prausnitzii'!$D$44))+$B$24</f>
        <v>7.8310717463039374</v>
      </c>
      <c r="M12" s="87">
        <f>((J12-'Calibration F. prausnitzii'!$D$45)/('Calibration F. prausnitzii'!$D$44))+$B$24</f>
        <v>7.865852395125593</v>
      </c>
      <c r="N12" s="94">
        <f t="shared" si="1"/>
        <v>7.8594769508402136</v>
      </c>
      <c r="O12" s="94">
        <f t="shared" si="2"/>
        <v>2.5814843320225028E-2</v>
      </c>
      <c r="P12" s="95">
        <f>(AVERAGE(POWER(10,K12),POWER(10,L12),POWER(10,M12)))*(Calculation!$I12/Calculation!$K11)</f>
        <v>72441054.523938343</v>
      </c>
      <c r="Q12" s="95">
        <f>(STDEV(POWER(10,K12),POWER(10,L12),POWER(10,M12)))*(Calculation!$I12/Calculation!$K11)</f>
        <v>4259381.4762017699</v>
      </c>
      <c r="R12" s="94">
        <f t="shared" si="3"/>
        <v>7.859984763709857</v>
      </c>
      <c r="S12" s="94">
        <f>O12*(Calculation!$I12/Calculation!$K11)</f>
        <v>2.5814843320225028E-2</v>
      </c>
      <c r="T12" s="72"/>
    </row>
    <row r="13" spans="1:29">
      <c r="A13" s="40">
        <v>9</v>
      </c>
      <c r="B13" s="31">
        <v>80</v>
      </c>
      <c r="C13" s="31">
        <f t="shared" si="4"/>
        <v>760</v>
      </c>
      <c r="D13" s="13">
        <f t="shared" si="0"/>
        <v>12.666666666666666</v>
      </c>
      <c r="E13" s="89">
        <v>21.707099914550781</v>
      </c>
      <c r="F13" s="89">
        <v>21.957283020019531</v>
      </c>
      <c r="G13" s="87">
        <v>21.589714050292969</v>
      </c>
      <c r="H13" s="93">
        <f>E13-$H$62+$H$75</f>
        <v>22.065505136959793</v>
      </c>
      <c r="I13" s="93">
        <f>F13-$H$62+$H$75</f>
        <v>22.315688242428543</v>
      </c>
      <c r="J13" s="93">
        <f>G13-$H$62+$H$75</f>
        <v>21.94811927270198</v>
      </c>
      <c r="K13" s="87">
        <f>((H13-'Calibration F. prausnitzii'!$D$45)/('Calibration F. prausnitzii'!$D$44))+$B$24</f>
        <v>7.9500739068240804</v>
      </c>
      <c r="L13" s="87">
        <f>((I13-'Calibration F. prausnitzii'!$D$45)/('Calibration F. prausnitzii'!$D$44))+$B$24</f>
        <v>7.8730542025268324</v>
      </c>
      <c r="M13" s="87">
        <f>((J13-'Calibration F. prausnitzii'!$D$45)/('Calibration F. prausnitzii'!$D$44))+$B$24</f>
        <v>7.9862115370484474</v>
      </c>
      <c r="N13" s="94">
        <f t="shared" si="1"/>
        <v>7.9364465487997862</v>
      </c>
      <c r="O13" s="94">
        <f t="shared" si="2"/>
        <v>5.7796403469860327E-2</v>
      </c>
      <c r="P13" s="95">
        <f>(AVERAGE(POWER(10,K13),POWER(10,L13),POWER(10,M13)))*(Calculation!$I13/Calculation!$K12)</f>
        <v>86889804.953116849</v>
      </c>
      <c r="Q13" s="95">
        <f>(STDEV(POWER(10,K13),POWER(10,L13),POWER(10,M13)))*(Calculation!$I13/Calculation!$K12)</f>
        <v>11280028.669807537</v>
      </c>
      <c r="R13" s="94">
        <f t="shared" si="3"/>
        <v>7.9389688223364807</v>
      </c>
      <c r="S13" s="94">
        <f>O13*(Calculation!$I13/Calculation!$K12)</f>
        <v>5.7796403469860327E-2</v>
      </c>
      <c r="T13" s="72"/>
    </row>
    <row r="14" spans="1:29">
      <c r="A14" s="40">
        <v>10</v>
      </c>
      <c r="B14" s="31">
        <v>80</v>
      </c>
      <c r="C14" s="31">
        <f t="shared" si="4"/>
        <v>840</v>
      </c>
      <c r="D14" s="13">
        <f t="shared" si="0"/>
        <v>14</v>
      </c>
      <c r="E14" s="89">
        <v>21.394371032714844</v>
      </c>
      <c r="F14" s="89">
        <v>21.378454208374023</v>
      </c>
      <c r="G14" s="87">
        <v>21.213399887084961</v>
      </c>
      <c r="H14" s="93">
        <f>E14-$H$62+$H$75</f>
        <v>21.752776255123855</v>
      </c>
      <c r="I14" s="93">
        <f>F14-$H$62+$H$75</f>
        <v>21.736859430783035</v>
      </c>
      <c r="J14" s="93">
        <f>G14-$H$62+$H$75</f>
        <v>21.571805109493972</v>
      </c>
      <c r="K14" s="87">
        <f>((H14-'Calibration F. prausnitzii'!$D$45)/('Calibration F. prausnitzii'!$D$44))+$B$24</f>
        <v>8.0463485371956391</v>
      </c>
      <c r="L14" s="87">
        <f>((I14-'Calibration F. prausnitzii'!$D$45)/('Calibration F. prausnitzii'!$D$44))+$B$24</f>
        <v>8.0512485847099757</v>
      </c>
      <c r="M14" s="87">
        <f>((J14-'Calibration F. prausnitzii'!$D$45)/('Calibration F. prausnitzii'!$D$44))+$B$24</f>
        <v>8.1020611085806351</v>
      </c>
      <c r="N14" s="94">
        <f t="shared" si="1"/>
        <v>8.0665527434954161</v>
      </c>
      <c r="O14" s="94">
        <f t="shared" si="2"/>
        <v>3.0848591696859672E-2</v>
      </c>
      <c r="P14" s="95">
        <f>(AVERAGE(POWER(10,K14),POWER(10,L14),POWER(10,M14)))*(Calculation!$I14/Calculation!$K13)</f>
        <v>116875071.76396306</v>
      </c>
      <c r="Q14" s="95">
        <f>(STDEV(POWER(10,K14),POWER(10,L14),POWER(10,M14)))*(Calculation!$I14/Calculation!$K13)</f>
        <v>8459993.6775881983</v>
      </c>
      <c r="R14" s="94">
        <f t="shared" si="3"/>
        <v>8.0677218905473858</v>
      </c>
      <c r="S14" s="94">
        <f>O14*(Calculation!$I14/Calculation!$K13)</f>
        <v>3.0879104646114725E-2</v>
      </c>
      <c r="T14" s="72"/>
    </row>
    <row r="15" spans="1:29">
      <c r="A15" s="40">
        <v>11</v>
      </c>
      <c r="B15" s="31">
        <v>80</v>
      </c>
      <c r="C15" s="31">
        <f t="shared" si="4"/>
        <v>920</v>
      </c>
      <c r="D15" s="13">
        <f t="shared" si="0"/>
        <v>15.333333333333334</v>
      </c>
      <c r="E15" s="89">
        <v>20.7596435546875</v>
      </c>
      <c r="F15" s="89">
        <v>20.787664413452148</v>
      </c>
      <c r="G15" s="87">
        <v>20.750226974487305</v>
      </c>
      <c r="H15" s="93">
        <f>E15-$H$62+$H$75</f>
        <v>21.118048777096512</v>
      </c>
      <c r="I15" s="93">
        <f>F15-$H$62+$H$75</f>
        <v>21.14606963586116</v>
      </c>
      <c r="J15" s="93">
        <f>G15-$H$62+$H$75</f>
        <v>21.108632196896316</v>
      </c>
      <c r="K15" s="87">
        <f>((H15-'Calibration F. prausnitzii'!$D$45)/('Calibration F. prausnitzii'!$D$44))+$B$24</f>
        <v>8.2417515104516017</v>
      </c>
      <c r="L15" s="87">
        <f>((I15-'Calibration F. prausnitzii'!$D$45)/('Calibration F. prausnitzii'!$D$44))+$B$24</f>
        <v>8.2331251955285207</v>
      </c>
      <c r="M15" s="87">
        <f>((J15-'Calibration F. prausnitzii'!$D$45)/('Calibration F. prausnitzii'!$D$44))+$B$24</f>
        <v>8.244650436105081</v>
      </c>
      <c r="N15" s="94">
        <f t="shared" si="1"/>
        <v>8.2398423806950678</v>
      </c>
      <c r="O15" s="94">
        <f t="shared" si="2"/>
        <v>5.9951125850445904E-3</v>
      </c>
      <c r="P15" s="95">
        <f>(AVERAGE(POWER(10,K15),POWER(10,L15),POWER(10,M15)))*(Calculation!$I15/Calculation!$K14)</f>
        <v>174079337.78741774</v>
      </c>
      <c r="Q15" s="95">
        <f>(STDEV(POWER(10,K15),POWER(10,L15),POWER(10,M15)))*(Calculation!$I15/Calculation!$K14)</f>
        <v>2395849.4430727256</v>
      </c>
      <c r="R15" s="94">
        <f t="shared" si="3"/>
        <v>8.2407472259281427</v>
      </c>
      <c r="S15" s="94">
        <f>O15*(Calculation!$I15/Calculation!$K14)</f>
        <v>6.0072354951908481E-3</v>
      </c>
      <c r="T15" s="72"/>
    </row>
    <row r="16" spans="1:29">
      <c r="A16" s="40">
        <v>12</v>
      </c>
      <c r="B16" s="31">
        <v>80</v>
      </c>
      <c r="C16" s="31">
        <f t="shared" si="4"/>
        <v>1000</v>
      </c>
      <c r="D16" s="13">
        <f t="shared" si="0"/>
        <v>16.666666666666668</v>
      </c>
      <c r="E16" s="89">
        <v>19.878818511962891</v>
      </c>
      <c r="F16" s="89">
        <v>19.995372772216797</v>
      </c>
      <c r="G16" s="87">
        <v>19.920988082885742</v>
      </c>
      <c r="H16" s="93">
        <f>E16-$H$62+$H$75</f>
        <v>20.237223734371902</v>
      </c>
      <c r="I16" s="93">
        <f>F16-$H$62+$H$75</f>
        <v>20.353777994625808</v>
      </c>
      <c r="J16" s="93">
        <f>G16-$H$62+$H$75</f>
        <v>20.279393305294754</v>
      </c>
      <c r="K16" s="87">
        <f>((H16-'Calibration F. prausnitzii'!$D$45)/('Calibration F. prausnitzii'!$D$44))+$B$24</f>
        <v>8.5129164406380404</v>
      </c>
      <c r="L16" s="87">
        <f>((I16-'Calibration F. prausnitzii'!$D$45)/('Calibration F. prausnitzii'!$D$44))+$B$24</f>
        <v>8.477034822482727</v>
      </c>
      <c r="M16" s="87">
        <f>((J16-'Calibration F. prausnitzii'!$D$45)/('Calibration F. prausnitzii'!$D$44))+$B$24</f>
        <v>8.4999343974391834</v>
      </c>
      <c r="N16" s="94">
        <f t="shared" si="1"/>
        <v>8.496628553519983</v>
      </c>
      <c r="O16" s="94">
        <f t="shared" si="2"/>
        <v>1.8167803482383678E-2</v>
      </c>
      <c r="P16" s="95">
        <f>(AVERAGE(POWER(10,K16),POWER(10,L16),POWER(10,M16)))*(Calculation!$I16/Calculation!$K15)</f>
        <v>315279866.26051491</v>
      </c>
      <c r="Q16" s="95">
        <f>(STDEV(POWER(10,K16),POWER(10,L16),POWER(10,M16)))*(Calculation!$I16/Calculation!$K15)</f>
        <v>13113244.22117362</v>
      </c>
      <c r="R16" s="94">
        <f t="shared" si="3"/>
        <v>8.4986962376329434</v>
      </c>
      <c r="S16" s="94">
        <f>O16*(Calculation!$I16/Calculation!$K15)</f>
        <v>1.8243902352767894E-2</v>
      </c>
      <c r="T16" s="72"/>
    </row>
    <row r="17" spans="1:20">
      <c r="A17" s="40">
        <v>13</v>
      </c>
      <c r="B17" s="31">
        <v>80</v>
      </c>
      <c r="C17" s="31">
        <f t="shared" si="4"/>
        <v>1080</v>
      </c>
      <c r="D17" s="13">
        <f t="shared" si="0"/>
        <v>18</v>
      </c>
      <c r="E17" s="89">
        <v>18.80756950378418</v>
      </c>
      <c r="F17" s="89">
        <v>18.96794319152832</v>
      </c>
      <c r="G17" s="87">
        <v>18.818881988525391</v>
      </c>
      <c r="H17" s="93">
        <f>E17-$H$62+$H$75</f>
        <v>19.165974726193191</v>
      </c>
      <c r="I17" s="93">
        <f>F17-$H$62+$H$75</f>
        <v>19.326348413937332</v>
      </c>
      <c r="J17" s="93">
        <f>G17-$H$62+$H$75</f>
        <v>19.177287210934402</v>
      </c>
      <c r="K17" s="87">
        <f>((H17-'Calibration F. prausnitzii'!$D$45)/('Calibration F. prausnitzii'!$D$44))+$B$24</f>
        <v>8.8427040243522033</v>
      </c>
      <c r="L17" s="87">
        <f>((I17-'Calibration F. prausnitzii'!$D$45)/('Calibration F. prausnitzii'!$D$44))+$B$24</f>
        <v>8.7933324491454368</v>
      </c>
      <c r="M17" s="87">
        <f>((J17-'Calibration F. prausnitzii'!$D$45)/('Calibration F. prausnitzii'!$D$44))+$B$24</f>
        <v>8.8392214381559739</v>
      </c>
      <c r="N17" s="94">
        <f t="shared" si="1"/>
        <v>8.8250859705512052</v>
      </c>
      <c r="O17" s="94">
        <f t="shared" si="2"/>
        <v>2.7554431456726907E-2</v>
      </c>
      <c r="P17" s="95">
        <f>(AVERAGE(POWER(10,K17),POWER(10,L17),POWER(10,M17)))*(Calculation!$I17/Calculation!$K16)</f>
        <v>675211405.26676166</v>
      </c>
      <c r="Q17" s="95">
        <f>(STDEV(POWER(10,K17),POWER(10,L17),POWER(10,M17)))*(Calculation!$I17/Calculation!$K16)</f>
        <v>42042021.224254794</v>
      </c>
      <c r="R17" s="94">
        <f t="shared" si="3"/>
        <v>8.8294397695219011</v>
      </c>
      <c r="S17" s="94">
        <f>O17*(Calculation!$I17/Calculation!$K16)</f>
        <v>2.7795192505356222E-2</v>
      </c>
      <c r="T17" s="72"/>
    </row>
    <row r="18" spans="1:20">
      <c r="A18" s="40">
        <v>14</v>
      </c>
      <c r="B18" s="31">
        <v>80</v>
      </c>
      <c r="C18" s="31">
        <f t="shared" si="4"/>
        <v>1160</v>
      </c>
      <c r="D18" s="13">
        <f t="shared" si="0"/>
        <v>19.333333333333332</v>
      </c>
      <c r="E18" s="89">
        <v>18.751489639282227</v>
      </c>
      <c r="F18" s="89">
        <v>18.653285980224609</v>
      </c>
      <c r="G18" s="87">
        <v>18.621404647827148</v>
      </c>
      <c r="H18" s="93">
        <f>E18-$H$62+$H$75</f>
        <v>19.109894861691238</v>
      </c>
      <c r="I18" s="93">
        <f>F18-$H$62+$H$75</f>
        <v>19.011691202633621</v>
      </c>
      <c r="J18" s="93">
        <f>G18-$H$62+$H$75</f>
        <v>18.97980987023616</v>
      </c>
      <c r="K18" s="87">
        <f>((H18-'Calibration F. prausnitzii'!$D$45)/('Calibration F. prausnitzii'!$D$44))+$B$24</f>
        <v>8.8599683978712598</v>
      </c>
      <c r="L18" s="87">
        <f>((I18-'Calibration F. prausnitzii'!$D$45)/('Calibration F. prausnitzii'!$D$44))+$B$24</f>
        <v>8.8902007221817048</v>
      </c>
      <c r="M18" s="87">
        <f>((J18-'Calibration F. prausnitzii'!$D$45)/('Calibration F. prausnitzii'!$D$44))+$B$24</f>
        <v>8.900015496801494</v>
      </c>
      <c r="N18" s="94">
        <f t="shared" si="1"/>
        <v>8.8833948722848195</v>
      </c>
      <c r="O18" s="94">
        <f t="shared" si="2"/>
        <v>2.0873002366602427E-2</v>
      </c>
      <c r="P18" s="95">
        <f>(AVERAGE(POWER(10,K18),POWER(10,L18),POWER(10,M18)))*(Calculation!$I18/Calculation!$K17)</f>
        <v>774543942.19745994</v>
      </c>
      <c r="Q18" s="95">
        <f>(STDEV(POWER(10,K18),POWER(10,L18),POWER(10,M18)))*(Calculation!$I18/Calculation!$K17)</f>
        <v>36822607.442056388</v>
      </c>
      <c r="R18" s="94">
        <f t="shared" si="3"/>
        <v>8.8890460616207605</v>
      </c>
      <c r="S18" s="94">
        <f>O18*(Calculation!$I18/Calculation!$K17)</f>
        <v>2.1130224819442822E-2</v>
      </c>
      <c r="T18" s="72"/>
    </row>
    <row r="19" spans="1:20">
      <c r="A19" s="40">
        <v>15</v>
      </c>
      <c r="B19" s="31">
        <v>290</v>
      </c>
      <c r="C19" s="31">
        <f>C18+B19</f>
        <v>1450</v>
      </c>
      <c r="D19" s="13">
        <f t="shared" si="0"/>
        <v>24.166666666666668</v>
      </c>
      <c r="E19" s="89">
        <v>18.181819915771484</v>
      </c>
      <c r="F19" s="89">
        <v>18.08198356628418</v>
      </c>
      <c r="G19" s="87">
        <v>18.245121002197266</v>
      </c>
      <c r="H19" s="93">
        <f>E19-$H$62+$H$75</f>
        <v>18.540225138180496</v>
      </c>
      <c r="I19" s="93">
        <f>F19-$H$62+$H$75</f>
        <v>18.440388788693191</v>
      </c>
      <c r="J19" s="93">
        <f>G19-$H$62+$H$75</f>
        <v>18.603526224606277</v>
      </c>
      <c r="K19" s="87">
        <f>((H19-'Calibration F. prausnitzii'!$D$45)/('Calibration F. prausnitzii'!$D$44))+$B$24</f>
        <v>9.0353431241929485</v>
      </c>
      <c r="L19" s="87">
        <f>((I19-'Calibration F. prausnitzii'!$D$45)/('Calibration F. prausnitzii'!$D$44))+$B$24</f>
        <v>9.0660780777031871</v>
      </c>
      <c r="M19" s="87">
        <f>((J19-'Calibration F. prausnitzii'!$D$45)/('Calibration F. prausnitzii'!$D$44))+$B$24</f>
        <v>9.0158556733953681</v>
      </c>
      <c r="N19" s="94">
        <f t="shared" si="1"/>
        <v>9.0390922917638346</v>
      </c>
      <c r="O19" s="94">
        <f t="shared" si="2"/>
        <v>2.5320242232657383E-2</v>
      </c>
      <c r="P19" s="95">
        <f>(AVERAGE(POWER(10,K19),POWER(10,L19),POWER(10,M19)))*(Calculation!$I19/Calculation!$K18)</f>
        <v>1125402793.6327415</v>
      </c>
      <c r="Q19" s="95">
        <f>(STDEV(POWER(10,K19),POWER(10,L19),POWER(10,M19)))*(Calculation!$I19/Calculation!$K18)</f>
        <v>65998935.931576975</v>
      </c>
      <c r="R19" s="94">
        <f t="shared" si="3"/>
        <v>9.0513079888860197</v>
      </c>
      <c r="S19" s="94">
        <f>O19*(Calculation!$I19/Calculation!$K18)</f>
        <v>2.6012946231279251E-2</v>
      </c>
      <c r="T19" s="72"/>
    </row>
    <row r="20" spans="1:20">
      <c r="A20" s="40">
        <v>16</v>
      </c>
      <c r="B20" s="31">
        <v>360</v>
      </c>
      <c r="C20" s="31">
        <f>C19+B20</f>
        <v>1810</v>
      </c>
      <c r="D20" s="13">
        <f t="shared" si="0"/>
        <v>30.166666666666668</v>
      </c>
      <c r="E20" s="89">
        <v>18.52918815612793</v>
      </c>
      <c r="F20" s="89">
        <v>18.344911575317383</v>
      </c>
      <c r="G20" s="87">
        <v>18.269161224365234</v>
      </c>
      <c r="H20" s="93">
        <f>E20-$H$62+$H$75</f>
        <v>18.887593378536941</v>
      </c>
      <c r="I20" s="93">
        <f>F20-$H$62+$H$75</f>
        <v>18.703316797726394</v>
      </c>
      <c r="J20" s="93">
        <f>G20-$H$62+$H$75</f>
        <v>18.627566446774246</v>
      </c>
      <c r="K20" s="87">
        <f>((H20-'Calibration F. prausnitzii'!$D$45)/('Calibration F. prausnitzii'!$D$44))+$B$24</f>
        <v>8.9284046516514817</v>
      </c>
      <c r="L20" s="87">
        <f>((I20-'Calibration F. prausnitzii'!$D$45)/('Calibration F. prausnitzii'!$D$44))+$B$24</f>
        <v>8.9851348122926016</v>
      </c>
      <c r="M20" s="87">
        <f>((J20-'Calibration F. prausnitzii'!$D$45)/('Calibration F. prausnitzii'!$D$44))+$B$24</f>
        <v>9.0084548107386038</v>
      </c>
      <c r="N20" s="94">
        <f t="shared" si="1"/>
        <v>8.9739980915608957</v>
      </c>
      <c r="O20" s="94">
        <f t="shared" si="2"/>
        <v>4.1170704438476577E-2</v>
      </c>
      <c r="P20" s="95">
        <f>(AVERAGE(POWER(10,K20),POWER(10,L20),POWER(10,M20)))*(Calculation!$I20/Calculation!$K19)</f>
        <v>971790026.73816133</v>
      </c>
      <c r="Q20" s="95">
        <f>(STDEV(POWER(10,K20),POWER(10,L20),POWER(10,M20)))*(Calculation!$I20/Calculation!$K19)</f>
        <v>90371151.173856959</v>
      </c>
      <c r="R20" s="94">
        <f t="shared" si="3"/>
        <v>8.9875724376835535</v>
      </c>
      <c r="S20" s="94">
        <f>O20*(Calculation!$I20/Calculation!$K19)</f>
        <v>4.235240350115832E-2</v>
      </c>
      <c r="T20" s="72"/>
    </row>
    <row r="21" spans="1:20">
      <c r="A21" s="40">
        <v>17</v>
      </c>
      <c r="B21" s="31">
        <v>1080</v>
      </c>
      <c r="C21" s="31">
        <f>C20+B21</f>
        <v>2890</v>
      </c>
      <c r="D21" s="13">
        <f t="shared" si="0"/>
        <v>48.166666666666664</v>
      </c>
      <c r="E21" s="89">
        <v>19.012571334838867</v>
      </c>
      <c r="F21" s="89">
        <v>19.111223220825195</v>
      </c>
      <c r="G21" s="87">
        <v>19.195331573486328</v>
      </c>
      <c r="H21" s="93">
        <f>E21-$H$62+$H$75</f>
        <v>19.370976557247879</v>
      </c>
      <c r="I21" s="93">
        <f>F21-$H$62+$H$75</f>
        <v>19.469628443234207</v>
      </c>
      <c r="J21" s="93">
        <f>G21-$H$62+$H$75</f>
        <v>19.55373679589534</v>
      </c>
      <c r="K21" s="87">
        <f>((H21-'Calibration F. prausnitzii'!$D$45)/('Calibration F. prausnitzii'!$D$44))+$B$24</f>
        <v>8.7795935262286644</v>
      </c>
      <c r="L21" s="87">
        <f>((I21-'Calibration F. prausnitzii'!$D$45)/('Calibration F. prausnitzii'!$D$44))+$B$24</f>
        <v>8.7492232137617361</v>
      </c>
      <c r="M21" s="87">
        <f>((J21-'Calibration F. prausnitzii'!$D$45)/('Calibration F. prausnitzii'!$D$44))+$B$24</f>
        <v>8.7233301765850175</v>
      </c>
      <c r="N21" s="94">
        <f t="shared" ref="N21" si="5">AVERAGE(K21:M21)</f>
        <v>8.7507156388584733</v>
      </c>
      <c r="O21" s="94">
        <f t="shared" ref="O21" si="6">STDEV(K21:M21)</f>
        <v>2.8161349892766887E-2</v>
      </c>
      <c r="P21" s="95">
        <f>(AVERAGE(POWER(10,K21),POWER(10,L21),POWER(10,M21)))*(Calculation!$I21/Calculation!$K20)</f>
        <v>580249705.2495178</v>
      </c>
      <c r="Q21" s="95">
        <f>(STDEV(POWER(10,K21),POWER(10,L21),POWER(10,M21)))*(Calculation!$I21/Calculation!$K20)</f>
        <v>37702286.154810011</v>
      </c>
      <c r="R21" s="94">
        <f t="shared" ref="R21" si="7">LOG(P21)</f>
        <v>8.7636149285186651</v>
      </c>
      <c r="S21" s="94">
        <f>O21*(Calculation!$I21/Calculation!$K20)</f>
        <v>2.8969648930298891E-2</v>
      </c>
      <c r="T21" s="72"/>
    </row>
    <row r="22" spans="1:20">
      <c r="A22" s="31"/>
      <c r="B22" s="31"/>
      <c r="C22" s="10"/>
      <c r="D22" s="98"/>
      <c r="E22" s="99"/>
      <c r="F22" s="99"/>
      <c r="G22" s="100"/>
      <c r="H22" s="97"/>
      <c r="I22" s="97"/>
      <c r="J22" s="97"/>
      <c r="K22" s="100"/>
      <c r="L22" s="100"/>
      <c r="M22" s="100"/>
      <c r="N22" s="101"/>
      <c r="O22" s="101"/>
      <c r="P22" s="102"/>
      <c r="Q22" s="102"/>
      <c r="R22" s="101"/>
      <c r="S22" s="101"/>
      <c r="T22" s="72"/>
    </row>
    <row r="23" spans="1:20">
      <c r="A23" s="31"/>
      <c r="B23" s="31"/>
      <c r="C23" s="10"/>
      <c r="D23" s="98"/>
      <c r="E23" s="99"/>
      <c r="F23" s="99"/>
      <c r="G23" s="100"/>
      <c r="H23" s="97"/>
      <c r="I23" s="97"/>
      <c r="J23" s="97"/>
      <c r="K23" s="100"/>
      <c r="L23" s="100"/>
      <c r="M23" s="100"/>
      <c r="N23" s="101"/>
      <c r="O23" s="101"/>
      <c r="P23" s="102"/>
      <c r="Q23" s="102"/>
      <c r="R23" s="101"/>
      <c r="S23" s="101"/>
      <c r="T23" s="72"/>
    </row>
    <row r="24" spans="1:20">
      <c r="A24" s="84" t="s">
        <v>221</v>
      </c>
      <c r="B24" s="88">
        <f>LOG(B25)</f>
        <v>3.6532125137753435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</row>
    <row r="25" spans="1:20">
      <c r="A25" s="72" t="s">
        <v>222</v>
      </c>
      <c r="B25" s="72">
        <f>10*2*1800/4/2</f>
        <v>4500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</row>
    <row r="26" spans="1:20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</row>
    <row r="27" spans="1:20">
      <c r="A27" s="85" t="s">
        <v>236</v>
      </c>
      <c r="B27" s="72"/>
      <c r="C27" s="72"/>
      <c r="D27" s="72"/>
      <c r="E27" s="92">
        <v>14.390941619873047</v>
      </c>
      <c r="F27" s="93">
        <v>14.411395072937012</v>
      </c>
      <c r="G27" s="93">
        <v>14.301624298095703</v>
      </c>
      <c r="H27" s="93">
        <f>AVERAGE(E27:G27)</f>
        <v>14.367986996968588</v>
      </c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</row>
    <row r="28" spans="1:20">
      <c r="A28" s="91" t="s">
        <v>237</v>
      </c>
      <c r="C28" s="72"/>
      <c r="D28" s="72"/>
      <c r="E28" s="92">
        <v>13.95859432220459</v>
      </c>
      <c r="F28" s="93">
        <v>13.837825775146484</v>
      </c>
      <c r="G28" s="93">
        <v>14.070391654968262</v>
      </c>
      <c r="H28" s="93">
        <f t="shared" ref="H28:H62" si="8">AVERAGE(E28:G28)</f>
        <v>13.955603917439779</v>
      </c>
      <c r="T28" s="72"/>
    </row>
    <row r="29" spans="1:20">
      <c r="A29" s="91" t="s">
        <v>238</v>
      </c>
      <c r="E29" s="92">
        <v>14.085451126098633</v>
      </c>
      <c r="F29" s="93">
        <v>14.111333847045898</v>
      </c>
      <c r="G29" s="93">
        <v>14.077548980712891</v>
      </c>
      <c r="H29" s="93">
        <f t="shared" si="8"/>
        <v>14.091444651285807</v>
      </c>
      <c r="T29" s="72"/>
    </row>
    <row r="30" spans="1:20">
      <c r="A30" s="91" t="s">
        <v>235</v>
      </c>
      <c r="E30" s="92">
        <v>13.838394165039062</v>
      </c>
      <c r="F30" s="93">
        <v>14.03663444519043</v>
      </c>
      <c r="G30" s="93">
        <v>13.97320556640625</v>
      </c>
      <c r="H30" s="93">
        <f t="shared" si="8"/>
        <v>13.949411392211914</v>
      </c>
    </row>
    <row r="31" spans="1:20">
      <c r="A31" s="91" t="s">
        <v>239</v>
      </c>
      <c r="E31" s="92">
        <v>11.618982315063477</v>
      </c>
      <c r="F31" s="93">
        <v>11.485271453857422</v>
      </c>
      <c r="G31" s="93">
        <v>11.470490455627441</v>
      </c>
      <c r="H31" s="93">
        <f t="shared" si="8"/>
        <v>11.524914741516113</v>
      </c>
    </row>
    <row r="32" spans="1:20">
      <c r="A32" s="91" t="s">
        <v>240</v>
      </c>
      <c r="E32" s="92">
        <v>14.489413261413574</v>
      </c>
      <c r="F32" s="93">
        <v>14.78773021697998</v>
      </c>
      <c r="G32" s="93">
        <v>14.708776473999023</v>
      </c>
      <c r="H32" s="93">
        <f t="shared" si="8"/>
        <v>14.661973317464193</v>
      </c>
    </row>
    <row r="33" spans="1:8">
      <c r="A33" s="91" t="s">
        <v>241</v>
      </c>
      <c r="E33" s="92">
        <v>14.322483062744141</v>
      </c>
      <c r="F33" s="93">
        <v>14.812288284301758</v>
      </c>
      <c r="G33" s="93">
        <v>14.651363372802734</v>
      </c>
      <c r="H33" s="93">
        <f t="shared" si="8"/>
        <v>14.595378239949545</v>
      </c>
    </row>
    <row r="34" spans="1:8">
      <c r="A34" s="91" t="s">
        <v>242</v>
      </c>
      <c r="E34" s="92">
        <v>13.079689025878906</v>
      </c>
      <c r="F34" s="93">
        <v>13.297797203063965</v>
      </c>
      <c r="G34" s="93">
        <v>14.48363208770752</v>
      </c>
      <c r="H34" s="93">
        <f t="shared" si="8"/>
        <v>13.620372772216797</v>
      </c>
    </row>
    <row r="35" spans="1:8">
      <c r="A35" s="91" t="s">
        <v>243</v>
      </c>
      <c r="B35" s="72"/>
      <c r="C35" s="72"/>
      <c r="D35" s="72"/>
      <c r="E35" s="92">
        <v>14.77447509765625</v>
      </c>
      <c r="F35" s="93">
        <v>15.046281814575195</v>
      </c>
      <c r="G35" s="93">
        <v>14.986320495605469</v>
      </c>
      <c r="H35" s="93">
        <f t="shared" si="8"/>
        <v>14.935692469278971</v>
      </c>
    </row>
    <row r="36" spans="1:8">
      <c r="A36" s="91" t="s">
        <v>243</v>
      </c>
      <c r="C36" s="72"/>
      <c r="D36" s="72"/>
      <c r="E36" s="92">
        <v>13.851560592651367</v>
      </c>
      <c r="F36" s="93">
        <v>14.262241363525391</v>
      </c>
      <c r="G36" s="93">
        <v>14.016228675842285</v>
      </c>
      <c r="H36" s="93">
        <f t="shared" si="8"/>
        <v>14.043343544006348</v>
      </c>
    </row>
    <row r="37" spans="1:8">
      <c r="A37" s="91" t="s">
        <v>244</v>
      </c>
      <c r="E37" s="92">
        <v>14.028319358825684</v>
      </c>
      <c r="F37" s="93">
        <v>14.285782814025879</v>
      </c>
      <c r="G37" s="93">
        <v>14.480982780456543</v>
      </c>
      <c r="H37" s="93">
        <f t="shared" si="8"/>
        <v>14.265028317769369</v>
      </c>
    </row>
    <row r="38" spans="1:8">
      <c r="A38" s="91" t="s">
        <v>244</v>
      </c>
      <c r="E38" s="92">
        <v>14.83289909362793</v>
      </c>
      <c r="F38" s="93">
        <v>14.839167594909668</v>
      </c>
      <c r="G38" s="93">
        <v>14.813106536865234</v>
      </c>
      <c r="H38" s="93">
        <f t="shared" si="8"/>
        <v>14.828391075134277</v>
      </c>
    </row>
    <row r="39" spans="1:8">
      <c r="A39" s="91" t="s">
        <v>245</v>
      </c>
      <c r="E39" s="92">
        <v>15.412906646728516</v>
      </c>
      <c r="F39" s="93">
        <v>15.433472633361816</v>
      </c>
      <c r="G39" s="93">
        <v>15.37113094329834</v>
      </c>
      <c r="H39" s="93">
        <f t="shared" si="8"/>
        <v>15.405836741129557</v>
      </c>
    </row>
    <row r="40" spans="1:8">
      <c r="A40" s="91" t="s">
        <v>245</v>
      </c>
      <c r="E40" s="92">
        <v>15.125240325927734</v>
      </c>
      <c r="F40" s="93">
        <v>15.287156105041504</v>
      </c>
      <c r="G40" s="93">
        <v>15.169957160949707</v>
      </c>
      <c r="H40" s="93">
        <f t="shared" si="8"/>
        <v>15.194117863972982</v>
      </c>
    </row>
    <row r="41" spans="1:8">
      <c r="A41" s="91" t="s">
        <v>246</v>
      </c>
      <c r="E41" s="92">
        <v>14.932897567749023</v>
      </c>
      <c r="F41" s="93">
        <v>14.934226036071777</v>
      </c>
      <c r="G41" s="93">
        <v>14.918047904968262</v>
      </c>
      <c r="H41" s="93">
        <f t="shared" si="8"/>
        <v>14.928390502929688</v>
      </c>
    </row>
    <row r="42" spans="1:8">
      <c r="A42" s="91" t="s">
        <v>246</v>
      </c>
      <c r="E42" s="92">
        <v>14.112751960754395</v>
      </c>
      <c r="F42" s="93">
        <v>14.298762321472168</v>
      </c>
      <c r="G42" s="93">
        <v>14.374398231506348</v>
      </c>
      <c r="H42" s="93">
        <f t="shared" si="8"/>
        <v>14.261970837910971</v>
      </c>
    </row>
    <row r="43" spans="1:8">
      <c r="A43" s="91" t="s">
        <v>247</v>
      </c>
      <c r="E43" s="92">
        <v>14.954710960388184</v>
      </c>
      <c r="F43" s="93">
        <v>14.841438293457031</v>
      </c>
      <c r="G43" s="93">
        <v>15.281417846679688</v>
      </c>
      <c r="H43" s="93">
        <f t="shared" si="8"/>
        <v>15.025855700174967</v>
      </c>
    </row>
    <row r="44" spans="1:8">
      <c r="A44" s="91" t="s">
        <v>248</v>
      </c>
      <c r="E44" s="92">
        <v>14.948505401611328</v>
      </c>
      <c r="F44" s="93">
        <v>15.147294044494629</v>
      </c>
      <c r="G44" s="93">
        <v>14.959335327148438</v>
      </c>
      <c r="H44" s="93">
        <f t="shared" si="8"/>
        <v>15.018378257751465</v>
      </c>
    </row>
    <row r="45" spans="1:8">
      <c r="A45" s="85" t="s">
        <v>249</v>
      </c>
      <c r="B45" s="72"/>
      <c r="C45" s="72"/>
      <c r="D45" s="72"/>
      <c r="E45" s="92">
        <v>15.064580917358398</v>
      </c>
      <c r="F45" s="93">
        <v>15.123675346374512</v>
      </c>
      <c r="G45" s="93">
        <v>15.059396743774414</v>
      </c>
      <c r="H45" s="93">
        <f t="shared" si="8"/>
        <v>15.082551002502441</v>
      </c>
    </row>
    <row r="46" spans="1:8">
      <c r="A46" s="85" t="s">
        <v>250</v>
      </c>
      <c r="B46" s="72"/>
      <c r="C46" s="72"/>
      <c r="D46" s="72"/>
      <c r="E46" s="92">
        <v>14.438828468322754</v>
      </c>
      <c r="F46" s="93">
        <v>14.371813774108887</v>
      </c>
      <c r="G46" s="93">
        <v>15.339963912963867</v>
      </c>
      <c r="H46" s="93">
        <f t="shared" si="8"/>
        <v>14.71686871846517</v>
      </c>
    </row>
    <row r="47" spans="1:8">
      <c r="A47" s="85" t="s">
        <v>251</v>
      </c>
      <c r="B47" s="72"/>
      <c r="C47" s="72"/>
      <c r="D47" s="72"/>
      <c r="E47" s="92">
        <v>14.56031322479248</v>
      </c>
      <c r="F47" s="93">
        <v>14.785432815551758</v>
      </c>
      <c r="G47" s="93">
        <v>14.991518974304199</v>
      </c>
      <c r="H47" s="93">
        <f t="shared" si="8"/>
        <v>14.779088338216146</v>
      </c>
    </row>
    <row r="48" spans="1:8">
      <c r="A48" s="85" t="s">
        <v>252</v>
      </c>
      <c r="B48" s="72"/>
      <c r="C48" s="72"/>
      <c r="D48" s="72"/>
      <c r="E48" s="92">
        <v>15.04175853729248</v>
      </c>
      <c r="F48" s="93">
        <v>15.037652969360352</v>
      </c>
      <c r="G48" s="93">
        <v>14.94129753112793</v>
      </c>
      <c r="H48" s="93">
        <f t="shared" si="8"/>
        <v>15.006903012593588</v>
      </c>
    </row>
    <row r="49" spans="1:8">
      <c r="A49" s="85" t="s">
        <v>253</v>
      </c>
      <c r="B49" s="72"/>
      <c r="C49" s="72"/>
      <c r="D49" s="72"/>
      <c r="E49" s="92">
        <v>15.191975593566895</v>
      </c>
      <c r="F49" s="93">
        <v>15.268773078918457</v>
      </c>
      <c r="G49" s="93">
        <v>15.282587051391602</v>
      </c>
      <c r="H49" s="93">
        <f t="shared" si="8"/>
        <v>15.24777857462565</v>
      </c>
    </row>
    <row r="50" spans="1:8">
      <c r="A50" s="85" t="s">
        <v>254</v>
      </c>
      <c r="B50" s="72"/>
      <c r="C50" s="72"/>
      <c r="D50" s="72"/>
      <c r="E50" s="92">
        <v>15.494284629821777</v>
      </c>
      <c r="F50" s="93">
        <v>15.500131607055664</v>
      </c>
      <c r="G50" s="93">
        <v>15.308513641357422</v>
      </c>
      <c r="H50" s="93">
        <f t="shared" si="8"/>
        <v>15.434309959411621</v>
      </c>
    </row>
    <row r="51" spans="1:8">
      <c r="A51" s="85" t="s">
        <v>255</v>
      </c>
      <c r="B51" s="72"/>
      <c r="C51" s="72"/>
      <c r="D51" s="72"/>
      <c r="E51" s="92">
        <v>15.209195137023926</v>
      </c>
      <c r="F51" s="93">
        <v>15.267397880554199</v>
      </c>
      <c r="G51" s="93">
        <v>15.118107795715332</v>
      </c>
      <c r="H51" s="93">
        <f t="shared" si="8"/>
        <v>15.198233604431152</v>
      </c>
    </row>
    <row r="52" spans="1:8">
      <c r="A52" s="85" t="s">
        <v>256</v>
      </c>
      <c r="B52" s="72"/>
      <c r="C52" s="72"/>
      <c r="D52" s="72"/>
      <c r="E52" s="92">
        <v>15.095216751098633</v>
      </c>
      <c r="F52" s="93">
        <v>15.058335304260254</v>
      </c>
      <c r="G52" s="93">
        <v>15.188286781311035</v>
      </c>
      <c r="H52" s="93">
        <f t="shared" si="8"/>
        <v>15.113946278889975</v>
      </c>
    </row>
    <row r="53" spans="1:8">
      <c r="A53" s="85" t="s">
        <v>257</v>
      </c>
      <c r="B53" s="72"/>
      <c r="C53" s="72"/>
      <c r="D53" s="72"/>
      <c r="E53" s="92">
        <v>14.974048614501953</v>
      </c>
      <c r="F53" s="93">
        <v>15.016510009765625</v>
      </c>
      <c r="G53" s="93">
        <v>14.949863433837891</v>
      </c>
      <c r="H53" s="93">
        <f t="shared" si="8"/>
        <v>14.980140686035156</v>
      </c>
    </row>
    <row r="54" spans="1:8">
      <c r="A54" s="85" t="s">
        <v>258</v>
      </c>
      <c r="E54" s="92">
        <v>15.325250625610352</v>
      </c>
      <c r="F54" s="93">
        <v>15.371528625488281</v>
      </c>
      <c r="G54" s="93">
        <v>15.399141311645508</v>
      </c>
      <c r="H54" s="93">
        <f t="shared" si="8"/>
        <v>15.365306854248047</v>
      </c>
    </row>
    <row r="55" spans="1:8">
      <c r="A55" s="85" t="s">
        <v>258</v>
      </c>
      <c r="E55" s="92">
        <v>15.129462242126465</v>
      </c>
      <c r="F55" s="93">
        <v>15.041775703430176</v>
      </c>
      <c r="G55" s="93">
        <v>15.221658706665039</v>
      </c>
      <c r="H55" s="93">
        <f t="shared" si="8"/>
        <v>15.13096555074056</v>
      </c>
    </row>
    <row r="56" spans="1:8">
      <c r="A56" s="85" t="s">
        <v>259</v>
      </c>
      <c r="E56" s="92">
        <v>15.064123153686523</v>
      </c>
      <c r="F56" s="93">
        <v>15.073297500610352</v>
      </c>
      <c r="G56" s="93">
        <v>15.109650611877441</v>
      </c>
      <c r="H56" s="93">
        <f t="shared" si="8"/>
        <v>15.082357088724772</v>
      </c>
    </row>
    <row r="57" spans="1:8">
      <c r="A57" s="85" t="s">
        <v>263</v>
      </c>
      <c r="E57" s="92">
        <v>15.271329879760742</v>
      </c>
      <c r="F57" s="93">
        <v>15.260854721069336</v>
      </c>
      <c r="G57" s="93">
        <v>15.188329696655273</v>
      </c>
      <c r="H57" s="93">
        <f t="shared" si="8"/>
        <v>15.240171432495117</v>
      </c>
    </row>
    <row r="58" spans="1:8">
      <c r="A58" s="85" t="s">
        <v>264</v>
      </c>
      <c r="E58" s="92">
        <v>14.958261489868164</v>
      </c>
      <c r="F58" s="93">
        <v>14.991987228393555</v>
      </c>
      <c r="G58" s="93">
        <v>15.025043487548828</v>
      </c>
      <c r="H58" s="93">
        <f t="shared" si="8"/>
        <v>14.991764068603516</v>
      </c>
    </row>
    <row r="59" spans="1:8">
      <c r="A59" s="85" t="s">
        <v>265</v>
      </c>
      <c r="E59" s="92">
        <v>15.201624870300293</v>
      </c>
      <c r="F59" s="93">
        <v>15.184474945068359</v>
      </c>
      <c r="G59" s="93">
        <v>15.128211975097656</v>
      </c>
      <c r="H59" s="93">
        <f t="shared" si="8"/>
        <v>15.17143726348877</v>
      </c>
    </row>
    <row r="60" spans="1:8">
      <c r="A60" s="85" t="s">
        <v>265</v>
      </c>
      <c r="E60" s="92">
        <v>15.056846618652344</v>
      </c>
      <c r="F60" s="93">
        <v>15.079096794128418</v>
      </c>
      <c r="G60" s="93">
        <v>14.947562217712402</v>
      </c>
      <c r="H60" s="93">
        <f t="shared" si="8"/>
        <v>15.027835210164389</v>
      </c>
    </row>
    <row r="61" spans="1:8">
      <c r="A61" s="85" t="s">
        <v>266</v>
      </c>
      <c r="E61" s="92">
        <v>15.4</v>
      </c>
      <c r="F61" s="93">
        <v>14.7</v>
      </c>
      <c r="G61" s="93">
        <v>14.2</v>
      </c>
      <c r="H61" s="93">
        <f t="shared" si="8"/>
        <v>14.766666666666666</v>
      </c>
    </row>
    <row r="62" spans="1:8">
      <c r="A62" s="85" t="s">
        <v>266</v>
      </c>
      <c r="E62" s="109">
        <v>14.4</v>
      </c>
      <c r="F62" s="110">
        <v>14.4</v>
      </c>
      <c r="G62" s="110">
        <v>14.5</v>
      </c>
      <c r="H62" s="93">
        <f t="shared" si="8"/>
        <v>14.433333333333332</v>
      </c>
    </row>
    <row r="63" spans="1:8">
      <c r="A63" s="85" t="s">
        <v>267</v>
      </c>
      <c r="E63" s="109">
        <v>15.11392879486084</v>
      </c>
      <c r="F63" s="110">
        <v>15.182292938232422</v>
      </c>
      <c r="G63" s="110">
        <v>15.373931884765625</v>
      </c>
      <c r="H63" s="93">
        <f t="shared" ref="H63:H72" si="9">AVERAGE(E63:G63)</f>
        <v>15.223384539286295</v>
      </c>
    </row>
    <row r="64" spans="1:8">
      <c r="A64" s="85" t="s">
        <v>268</v>
      </c>
      <c r="B64" s="72"/>
      <c r="C64" s="72"/>
      <c r="D64" s="72"/>
      <c r="E64" s="109">
        <v>14.613919258117676</v>
      </c>
      <c r="F64" s="110">
        <v>14.544337272644043</v>
      </c>
      <c r="G64" s="110">
        <v>14.610519409179688</v>
      </c>
      <c r="H64" s="93">
        <f t="shared" si="9"/>
        <v>14.589591979980469</v>
      </c>
    </row>
    <row r="65" spans="1:8">
      <c r="A65" s="85" t="s">
        <v>269</v>
      </c>
      <c r="B65" s="72"/>
      <c r="C65" s="72"/>
      <c r="D65" s="72"/>
      <c r="E65" s="109">
        <v>14.970376014709473</v>
      </c>
      <c r="F65" s="110">
        <v>14.902167320251465</v>
      </c>
      <c r="G65" s="110">
        <v>14.964475631713867</v>
      </c>
      <c r="H65" s="93">
        <f t="shared" si="9"/>
        <v>14.945672988891602</v>
      </c>
    </row>
    <row r="66" spans="1:8">
      <c r="A66" s="85" t="s">
        <v>270</v>
      </c>
      <c r="B66" s="72"/>
      <c r="C66" s="72"/>
      <c r="D66" s="72"/>
      <c r="E66" s="109">
        <v>15.184457778930664</v>
      </c>
      <c r="F66" s="110">
        <v>15.273150444030762</v>
      </c>
      <c r="G66" s="110">
        <v>15.250771522521973</v>
      </c>
      <c r="H66" s="93">
        <f t="shared" si="9"/>
        <v>15.236126581827799</v>
      </c>
    </row>
    <row r="67" spans="1:8">
      <c r="A67" s="85" t="s">
        <v>271</v>
      </c>
      <c r="B67" s="72"/>
      <c r="C67" s="72"/>
      <c r="D67" s="72"/>
      <c r="E67" s="109">
        <v>15.047176361083984</v>
      </c>
      <c r="F67" s="110">
        <v>15.114773750305176</v>
      </c>
      <c r="G67" s="110">
        <v>15.180623054504395</v>
      </c>
      <c r="H67" s="93">
        <f t="shared" si="9"/>
        <v>15.114191055297852</v>
      </c>
    </row>
    <row r="68" spans="1:8">
      <c r="A68" s="85" t="s">
        <v>272</v>
      </c>
      <c r="B68" s="72"/>
      <c r="E68" s="109">
        <v>14.840383529663086</v>
      </c>
      <c r="F68" s="110">
        <v>14.916571617126465</v>
      </c>
      <c r="G68" s="110">
        <v>14.954231262207031</v>
      </c>
      <c r="H68" s="93">
        <f t="shared" si="9"/>
        <v>14.903728802998861</v>
      </c>
    </row>
    <row r="69" spans="1:8">
      <c r="A69" s="85" t="s">
        <v>273</v>
      </c>
      <c r="E69" s="109">
        <v>15.199845314025879</v>
      </c>
      <c r="F69" s="110">
        <v>15.533450126647949</v>
      </c>
      <c r="G69" s="110">
        <v>15.423110961914062</v>
      </c>
      <c r="H69" s="93">
        <f t="shared" si="9"/>
        <v>15.385468800862631</v>
      </c>
    </row>
    <row r="70" spans="1:8">
      <c r="A70" s="85" t="s">
        <v>274</v>
      </c>
      <c r="B70" s="72"/>
      <c r="E70" s="109">
        <v>15.120054244995117</v>
      </c>
      <c r="F70" s="110">
        <v>15.144433975219727</v>
      </c>
      <c r="G70" s="110">
        <v>15.071084976196289</v>
      </c>
      <c r="H70" s="93">
        <f t="shared" si="9"/>
        <v>15.111857732137045</v>
      </c>
    </row>
    <row r="71" spans="1:8">
      <c r="A71" s="85" t="s">
        <v>274</v>
      </c>
      <c r="E71" s="109">
        <v>15.292695999145508</v>
      </c>
      <c r="F71" s="110">
        <v>15.627285957336426</v>
      </c>
      <c r="G71" s="110">
        <v>15.304715156555176</v>
      </c>
      <c r="H71" s="93">
        <f t="shared" si="9"/>
        <v>15.408232371012369</v>
      </c>
    </row>
    <row r="72" spans="1:8">
      <c r="A72" s="85" t="s">
        <v>275</v>
      </c>
      <c r="E72" s="109">
        <v>15.044212341308594</v>
      </c>
      <c r="F72" s="110">
        <v>15.046442985534668</v>
      </c>
      <c r="G72" s="110">
        <v>15.083253860473633</v>
      </c>
      <c r="H72" s="93">
        <f t="shared" si="9"/>
        <v>15.057969729105631</v>
      </c>
    </row>
    <row r="73" spans="1:8">
      <c r="A73" s="85"/>
      <c r="E73" s="97"/>
      <c r="F73" s="97"/>
      <c r="G73" s="97"/>
      <c r="H73" s="97"/>
    </row>
    <row r="74" spans="1:8">
      <c r="A74" s="91"/>
    </row>
    <row r="75" spans="1:8">
      <c r="G75" t="s">
        <v>230</v>
      </c>
      <c r="H75" s="69">
        <f>AVERAGE(H27:H72)</f>
        <v>14.791738555742343</v>
      </c>
    </row>
  </sheetData>
  <mergeCells count="19">
    <mergeCell ref="F2:F3"/>
    <mergeCell ref="A2:A3"/>
    <mergeCell ref="B2:B3"/>
    <mergeCell ref="C2:C3"/>
    <mergeCell ref="D2:D3"/>
    <mergeCell ref="E2:E3"/>
    <mergeCell ref="S2:S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I24" sqref="I24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15" t="s">
        <v>4</v>
      </c>
      <c r="B1" s="115" t="s">
        <v>118</v>
      </c>
      <c r="C1" s="115" t="s">
        <v>118</v>
      </c>
      <c r="D1" s="115" t="s">
        <v>5</v>
      </c>
      <c r="E1" s="115" t="s">
        <v>19</v>
      </c>
      <c r="F1" s="115" t="s">
        <v>24</v>
      </c>
      <c r="G1" s="114" t="s">
        <v>25</v>
      </c>
      <c r="H1" s="111" t="s">
        <v>26</v>
      </c>
      <c r="I1" s="4" t="s">
        <v>27</v>
      </c>
      <c r="J1" s="54" t="s">
        <v>27</v>
      </c>
    </row>
    <row r="2" spans="1:10">
      <c r="A2" s="116"/>
      <c r="B2" s="116"/>
      <c r="C2" s="116"/>
      <c r="D2" s="116"/>
      <c r="E2" s="116"/>
      <c r="F2" s="116"/>
      <c r="G2" s="114"/>
      <c r="H2" s="111"/>
      <c r="I2" s="5" t="s">
        <v>28</v>
      </c>
      <c r="J2" s="55" t="s">
        <v>23</v>
      </c>
    </row>
    <row r="3" spans="1:10">
      <c r="A3" s="40" t="s">
        <v>6</v>
      </c>
      <c r="B3" s="31">
        <v>-10</v>
      </c>
      <c r="C3" s="31">
        <f>B3</f>
        <v>-10</v>
      </c>
      <c r="D3" s="13">
        <f>C3/60</f>
        <v>-0.16666666666666666</v>
      </c>
      <c r="E3" s="40">
        <v>1</v>
      </c>
      <c r="F3" s="51">
        <v>0.1</v>
      </c>
      <c r="G3" s="51">
        <v>0.1</v>
      </c>
      <c r="H3" s="51">
        <v>0.1</v>
      </c>
      <c r="I3" s="52">
        <f>E3*(AVERAGE(F3:H3)*1.6007-0.0118)</f>
        <v>0.14827000000000004</v>
      </c>
      <c r="J3" s="52">
        <f>E3*(STDEV(F3:H3)*1.6007)</f>
        <v>2.7206696834821082E-17</v>
      </c>
    </row>
    <row r="4" spans="1:10">
      <c r="A4" s="40">
        <v>0</v>
      </c>
      <c r="B4" s="31">
        <v>10</v>
      </c>
      <c r="C4" s="31">
        <f>B4</f>
        <v>10</v>
      </c>
      <c r="D4" s="13">
        <f t="shared" ref="D4:D21" si="0">C4/60</f>
        <v>0.16666666666666666</v>
      </c>
      <c r="E4" s="40">
        <v>1</v>
      </c>
      <c r="F4" s="51">
        <v>0.108</v>
      </c>
      <c r="G4" s="51">
        <v>0.108</v>
      </c>
      <c r="H4" s="51">
        <v>0.108</v>
      </c>
      <c r="I4" s="52">
        <f>E4*(AVERAGE(F4:H4)*1.6007-0.0118)</f>
        <v>0.16107559999999999</v>
      </c>
      <c r="J4" s="52">
        <f t="shared" ref="J4:J18" si="1">E4*(STDEV(F4:H4)*1.6007)</f>
        <v>0</v>
      </c>
    </row>
    <row r="5" spans="1:10">
      <c r="A5" s="40">
        <v>1</v>
      </c>
      <c r="B5" s="31">
        <v>110</v>
      </c>
      <c r="C5" s="31">
        <f>C4+B5</f>
        <v>120</v>
      </c>
      <c r="D5" s="13">
        <f t="shared" si="0"/>
        <v>2</v>
      </c>
      <c r="E5" s="40">
        <v>1</v>
      </c>
      <c r="F5" s="51">
        <v>0.125</v>
      </c>
      <c r="G5" s="51">
        <v>0.125</v>
      </c>
      <c r="H5" s="51">
        <v>0.125</v>
      </c>
      <c r="I5" s="52">
        <f t="shared" ref="I5:I19" si="2">E5*(AVERAGE(F5:H5)*1.6007-0.0118)</f>
        <v>0.1882875</v>
      </c>
      <c r="J5" s="52">
        <f t="shared" si="1"/>
        <v>0</v>
      </c>
    </row>
    <row r="6" spans="1:10">
      <c r="A6" s="40">
        <v>2</v>
      </c>
      <c r="B6" s="31">
        <v>80</v>
      </c>
      <c r="C6" s="31">
        <f>C5+B6</f>
        <v>200</v>
      </c>
      <c r="D6" s="13">
        <f t="shared" si="0"/>
        <v>3.3333333333333335</v>
      </c>
      <c r="E6" s="40">
        <v>1</v>
      </c>
      <c r="F6" s="51">
        <v>0.159</v>
      </c>
      <c r="G6" s="51">
        <v>0.159</v>
      </c>
      <c r="H6" s="51">
        <v>0.159</v>
      </c>
      <c r="I6" s="52">
        <f t="shared" si="2"/>
        <v>0.24271129999999999</v>
      </c>
      <c r="J6" s="52">
        <f t="shared" si="1"/>
        <v>0</v>
      </c>
    </row>
    <row r="7" spans="1:10">
      <c r="A7" s="40">
        <v>3</v>
      </c>
      <c r="B7" s="31">
        <v>80</v>
      </c>
      <c r="C7" s="31">
        <f>C6+B7</f>
        <v>280</v>
      </c>
      <c r="D7" s="13">
        <f t="shared" si="0"/>
        <v>4.666666666666667</v>
      </c>
      <c r="E7" s="40">
        <v>1</v>
      </c>
      <c r="F7" s="51">
        <v>0.19500000000000001</v>
      </c>
      <c r="G7" s="51">
        <v>0.19500000000000001</v>
      </c>
      <c r="H7" s="51">
        <v>0.19500000000000001</v>
      </c>
      <c r="I7" s="52">
        <f t="shared" si="2"/>
        <v>0.30033650000000001</v>
      </c>
      <c r="J7" s="52">
        <f t="shared" si="1"/>
        <v>5.4413393669642165E-17</v>
      </c>
    </row>
    <row r="8" spans="1:10">
      <c r="A8" s="40">
        <v>4</v>
      </c>
      <c r="B8" s="31">
        <v>80</v>
      </c>
      <c r="C8" s="31">
        <f t="shared" ref="C8:C18" si="3">C7+B8</f>
        <v>360</v>
      </c>
      <c r="D8" s="13">
        <f t="shared" si="0"/>
        <v>6</v>
      </c>
      <c r="E8" s="40">
        <v>1</v>
      </c>
      <c r="F8" s="51">
        <v>0.20300000000000001</v>
      </c>
      <c r="G8" s="51">
        <v>0.20300000000000001</v>
      </c>
      <c r="H8" s="51">
        <v>0.20300000000000001</v>
      </c>
      <c r="I8" s="52">
        <f t="shared" si="2"/>
        <v>0.31314209999999998</v>
      </c>
      <c r="J8" s="52">
        <f t="shared" si="1"/>
        <v>5.4413393669642165E-17</v>
      </c>
    </row>
    <row r="9" spans="1:10">
      <c r="A9" s="40">
        <v>5</v>
      </c>
      <c r="B9" s="31">
        <v>80</v>
      </c>
      <c r="C9" s="31">
        <f t="shared" si="3"/>
        <v>440</v>
      </c>
      <c r="D9" s="13">
        <f t="shared" si="0"/>
        <v>7.333333333333333</v>
      </c>
      <c r="E9" s="40">
        <v>1</v>
      </c>
      <c r="F9" s="51">
        <v>0.20899999999999999</v>
      </c>
      <c r="G9" s="51">
        <v>0.20899999999999999</v>
      </c>
      <c r="H9" s="51">
        <v>0.20899999999999999</v>
      </c>
      <c r="I9" s="52">
        <f t="shared" si="2"/>
        <v>0.32274629999999999</v>
      </c>
      <c r="J9" s="52">
        <f t="shared" si="1"/>
        <v>0</v>
      </c>
    </row>
    <row r="10" spans="1:10">
      <c r="A10" s="40">
        <v>6</v>
      </c>
      <c r="B10" s="31">
        <v>80</v>
      </c>
      <c r="C10" s="31">
        <f t="shared" si="3"/>
        <v>520</v>
      </c>
      <c r="D10" s="13">
        <f t="shared" si="0"/>
        <v>8.6666666666666661</v>
      </c>
      <c r="E10" s="40">
        <v>1</v>
      </c>
      <c r="F10" s="51">
        <v>0.20599999999999999</v>
      </c>
      <c r="G10" s="51">
        <v>0.20599999999999999</v>
      </c>
      <c r="H10" s="51">
        <v>0.20599999999999999</v>
      </c>
      <c r="I10" s="52">
        <f t="shared" si="2"/>
        <v>0.31794420000000001</v>
      </c>
      <c r="J10" s="52">
        <f t="shared" si="1"/>
        <v>0</v>
      </c>
    </row>
    <row r="11" spans="1:10">
      <c r="A11" s="40">
        <v>7</v>
      </c>
      <c r="B11" s="31">
        <v>80</v>
      </c>
      <c r="C11" s="31">
        <f t="shared" si="3"/>
        <v>600</v>
      </c>
      <c r="D11" s="13">
        <f t="shared" si="0"/>
        <v>10</v>
      </c>
      <c r="E11" s="40">
        <v>1</v>
      </c>
      <c r="F11" s="51">
        <v>0.247</v>
      </c>
      <c r="G11" s="51">
        <v>0.247</v>
      </c>
      <c r="H11" s="51">
        <v>0.247</v>
      </c>
      <c r="I11" s="52">
        <f t="shared" si="2"/>
        <v>0.38357289999999999</v>
      </c>
      <c r="J11" s="52">
        <f t="shared" si="1"/>
        <v>0</v>
      </c>
    </row>
    <row r="12" spans="1:10">
      <c r="A12" s="40">
        <v>8</v>
      </c>
      <c r="B12" s="31">
        <v>80</v>
      </c>
      <c r="C12" s="31">
        <f t="shared" si="3"/>
        <v>680</v>
      </c>
      <c r="D12" s="13">
        <f t="shared" si="0"/>
        <v>11.333333333333334</v>
      </c>
      <c r="E12" s="40">
        <v>1</v>
      </c>
      <c r="F12" s="51">
        <v>0.255</v>
      </c>
      <c r="G12" s="51">
        <v>0.255</v>
      </c>
      <c r="H12" s="51">
        <v>0.255</v>
      </c>
      <c r="I12" s="52">
        <f t="shared" si="2"/>
        <v>0.39637850000000002</v>
      </c>
      <c r="J12" s="52">
        <f t="shared" si="1"/>
        <v>0</v>
      </c>
    </row>
    <row r="13" spans="1:10">
      <c r="A13" s="40">
        <v>9</v>
      </c>
      <c r="B13" s="31">
        <v>80</v>
      </c>
      <c r="C13" s="31">
        <f t="shared" si="3"/>
        <v>760</v>
      </c>
      <c r="D13" s="13">
        <f t="shared" si="0"/>
        <v>12.666666666666666</v>
      </c>
      <c r="E13" s="40">
        <v>1</v>
      </c>
      <c r="F13" s="51">
        <v>0.28100000000000003</v>
      </c>
      <c r="G13" s="51">
        <v>0.28100000000000003</v>
      </c>
      <c r="H13" s="51">
        <v>0.28100000000000003</v>
      </c>
      <c r="I13" s="52">
        <f t="shared" si="2"/>
        <v>0.43799670000000007</v>
      </c>
      <c r="J13" s="52">
        <f t="shared" si="1"/>
        <v>0</v>
      </c>
    </row>
    <row r="14" spans="1:10">
      <c r="A14" s="40">
        <v>10</v>
      </c>
      <c r="B14" s="31">
        <v>80</v>
      </c>
      <c r="C14" s="31">
        <f t="shared" si="3"/>
        <v>840</v>
      </c>
      <c r="D14" s="13">
        <f t="shared" si="0"/>
        <v>14</v>
      </c>
      <c r="E14" s="40">
        <v>1</v>
      </c>
      <c r="F14" s="51">
        <v>0.32500000000000001</v>
      </c>
      <c r="G14" s="51">
        <v>0.32500000000000001</v>
      </c>
      <c r="H14" s="51">
        <v>0.32500000000000001</v>
      </c>
      <c r="I14" s="52">
        <f t="shared" si="2"/>
        <v>0.50842750000000003</v>
      </c>
      <c r="J14" s="52">
        <f t="shared" si="1"/>
        <v>0</v>
      </c>
    </row>
    <row r="15" spans="1:10">
      <c r="A15" s="40">
        <v>11</v>
      </c>
      <c r="B15" s="31">
        <v>80</v>
      </c>
      <c r="C15" s="31">
        <f t="shared" si="3"/>
        <v>920</v>
      </c>
      <c r="D15" s="13">
        <f t="shared" si="0"/>
        <v>15.333333333333334</v>
      </c>
      <c r="E15" s="40">
        <v>2</v>
      </c>
      <c r="F15" s="51">
        <v>0.24099999999999999</v>
      </c>
      <c r="G15" s="51">
        <v>0.246</v>
      </c>
      <c r="H15" s="51">
        <v>0.24</v>
      </c>
      <c r="I15" s="52">
        <f t="shared" si="2"/>
        <v>0.7522059333333333</v>
      </c>
      <c r="J15" s="52">
        <f t="shared" si="1"/>
        <v>1.0291061182080959E-2</v>
      </c>
    </row>
    <row r="16" spans="1:10">
      <c r="A16" s="40">
        <v>12</v>
      </c>
      <c r="B16" s="31">
        <v>80</v>
      </c>
      <c r="C16" s="31">
        <f t="shared" si="3"/>
        <v>1000</v>
      </c>
      <c r="D16" s="13">
        <f t="shared" si="0"/>
        <v>16.666666666666668</v>
      </c>
      <c r="E16" s="40">
        <v>10</v>
      </c>
      <c r="F16" s="51">
        <v>8.3000000000000004E-2</v>
      </c>
      <c r="G16" s="51">
        <v>8.5000000000000006E-2</v>
      </c>
      <c r="H16" s="51">
        <v>8.2000000000000003E-2</v>
      </c>
      <c r="I16" s="52">
        <f t="shared" si="2"/>
        <v>1.2159166666666665</v>
      </c>
      <c r="J16" s="52">
        <f t="shared" si="1"/>
        <v>2.4451096383052734E-2</v>
      </c>
    </row>
    <row r="17" spans="1:10">
      <c r="A17" s="40">
        <v>13</v>
      </c>
      <c r="B17" s="31">
        <v>80</v>
      </c>
      <c r="C17" s="31">
        <f t="shared" si="3"/>
        <v>1080</v>
      </c>
      <c r="D17" s="13">
        <f t="shared" si="0"/>
        <v>18</v>
      </c>
      <c r="E17" s="40">
        <v>10</v>
      </c>
      <c r="F17" s="51">
        <v>0.14599999999999999</v>
      </c>
      <c r="G17" s="51">
        <v>0.14099999999999999</v>
      </c>
      <c r="H17" s="51">
        <v>0.14499999999999999</v>
      </c>
      <c r="I17" s="52">
        <f t="shared" si="2"/>
        <v>2.1870079999999996</v>
      </c>
      <c r="J17" s="52">
        <f t="shared" si="1"/>
        <v>4.2350541236210938E-2</v>
      </c>
    </row>
    <row r="18" spans="1:10">
      <c r="A18" s="40">
        <v>14</v>
      </c>
      <c r="B18" s="31">
        <v>80</v>
      </c>
      <c r="C18" s="31">
        <f t="shared" si="3"/>
        <v>1160</v>
      </c>
      <c r="D18" s="13">
        <f t="shared" si="0"/>
        <v>19.333333333333332</v>
      </c>
      <c r="E18" s="40">
        <v>10</v>
      </c>
      <c r="F18" s="51">
        <v>0.155</v>
      </c>
      <c r="G18" s="51">
        <v>0.153</v>
      </c>
      <c r="H18" s="51">
        <v>0.16300000000000001</v>
      </c>
      <c r="I18" s="52">
        <f t="shared" si="2"/>
        <v>2.3950990000000001</v>
      </c>
      <c r="J18" s="52">
        <f t="shared" si="1"/>
        <v>8.4701082472421876E-2</v>
      </c>
    </row>
    <row r="19" spans="1:10">
      <c r="A19" s="40">
        <v>15</v>
      </c>
      <c r="B19" s="31">
        <v>290</v>
      </c>
      <c r="C19" s="31">
        <f>C18+B19</f>
        <v>1450</v>
      </c>
      <c r="D19" s="13">
        <f t="shared" si="0"/>
        <v>24.166666666666668</v>
      </c>
      <c r="E19" s="40">
        <v>10</v>
      </c>
      <c r="F19" s="51">
        <v>0.216</v>
      </c>
      <c r="G19" s="51">
        <v>0.22</v>
      </c>
      <c r="H19" s="51">
        <v>0.22900000000000001</v>
      </c>
      <c r="I19" s="52">
        <f t="shared" si="2"/>
        <v>3.4302183333333334</v>
      </c>
      <c r="J19" s="52">
        <f>E19*(STDEV(F19:H19)*1.6007)</f>
        <v>0.10657985819249974</v>
      </c>
    </row>
    <row r="20" spans="1:10">
      <c r="A20" s="40">
        <v>16</v>
      </c>
      <c r="B20" s="31">
        <v>360</v>
      </c>
      <c r="C20" s="31">
        <f>C19+B20</f>
        <v>1810</v>
      </c>
      <c r="D20" s="13">
        <f t="shared" si="0"/>
        <v>30.166666666666668</v>
      </c>
      <c r="E20" s="40">
        <v>10</v>
      </c>
      <c r="F20" s="51">
        <v>0.188</v>
      </c>
      <c r="G20" s="51">
        <v>0.188</v>
      </c>
      <c r="H20" s="51">
        <v>0.19700000000000001</v>
      </c>
      <c r="I20" s="52">
        <f t="shared" ref="I20:I21" si="4">E20*(AVERAGE(F20:H20)*1.6007-0.0118)</f>
        <v>2.9393369999999996</v>
      </c>
      <c r="J20" s="52">
        <f t="shared" ref="J20:J21" si="5">E20*(STDEV(F20:H20)*1.6007)</f>
        <v>8.3174811830265122E-2</v>
      </c>
    </row>
    <row r="21" spans="1:10">
      <c r="A21" s="40">
        <v>17</v>
      </c>
      <c r="B21" s="31">
        <v>1080</v>
      </c>
      <c r="C21" s="31">
        <f>C20+B21</f>
        <v>2890</v>
      </c>
      <c r="D21" s="13">
        <f t="shared" si="0"/>
        <v>48.166666666666664</v>
      </c>
      <c r="E21" s="40">
        <v>10</v>
      </c>
      <c r="F21" s="51">
        <v>0.152</v>
      </c>
      <c r="G21" s="51">
        <v>0.157</v>
      </c>
      <c r="H21" s="51">
        <v>0.161</v>
      </c>
      <c r="I21" s="52">
        <f t="shared" si="4"/>
        <v>2.3897633333333332</v>
      </c>
      <c r="J21" s="52">
        <f t="shared" si="5"/>
        <v>7.217956079343614E-2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3" sqref="A3:D21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15" t="s">
        <v>4</v>
      </c>
      <c r="B1" s="115" t="s">
        <v>118</v>
      </c>
      <c r="C1" s="115" t="s">
        <v>118</v>
      </c>
      <c r="D1" s="115" t="s">
        <v>5</v>
      </c>
      <c r="E1" s="4" t="s">
        <v>29</v>
      </c>
      <c r="F1" s="4" t="s">
        <v>2</v>
      </c>
      <c r="G1" s="4" t="s">
        <v>32</v>
      </c>
    </row>
    <row r="2" spans="1:7">
      <c r="A2" s="116"/>
      <c r="B2" s="116"/>
      <c r="C2" s="116"/>
      <c r="D2" s="116"/>
      <c r="E2" s="5" t="s">
        <v>30</v>
      </c>
      <c r="F2" s="5" t="s">
        <v>31</v>
      </c>
      <c r="G2" s="5" t="s">
        <v>33</v>
      </c>
    </row>
    <row r="3" spans="1:7">
      <c r="A3" s="40" t="s">
        <v>6</v>
      </c>
      <c r="B3" s="31">
        <v>-10</v>
      </c>
      <c r="C3" s="31">
        <f>B3</f>
        <v>-10</v>
      </c>
      <c r="D3" s="13">
        <f>C3/60</f>
        <v>-0.16666666666666666</v>
      </c>
      <c r="E3" s="1"/>
      <c r="F3" s="1"/>
      <c r="G3" s="1" t="e">
        <f>(F3-$C$23)/E3*1000*Calculation!I4/Calculation!K3</f>
        <v>#DIV/0!</v>
      </c>
    </row>
    <row r="4" spans="1:7">
      <c r="A4" s="40">
        <v>0</v>
      </c>
      <c r="B4" s="31">
        <v>10</v>
      </c>
      <c r="C4" s="31">
        <f>B4</f>
        <v>10</v>
      </c>
      <c r="D4" s="13">
        <f t="shared" ref="D4:D21" si="0">C4/60</f>
        <v>0.16666666666666666</v>
      </c>
      <c r="E4" s="1"/>
      <c r="F4" s="1"/>
      <c r="G4" s="1" t="e">
        <f>(F4-$C$23)/E4*1000*Calculation!I5/Calculation!K4</f>
        <v>#DIV/0!</v>
      </c>
    </row>
    <row r="5" spans="1:7">
      <c r="A5" s="40">
        <v>1</v>
      </c>
      <c r="B5" s="31">
        <v>110</v>
      </c>
      <c r="C5" s="31">
        <f>C4+B5</f>
        <v>120</v>
      </c>
      <c r="D5" s="13">
        <f t="shared" si="0"/>
        <v>2</v>
      </c>
      <c r="E5" s="1"/>
      <c r="F5" s="1"/>
      <c r="G5" s="1" t="e">
        <f>(F5-$C$23)/E5*1000*Calculation!I6/Calculation!K5</f>
        <v>#DIV/0!</v>
      </c>
    </row>
    <row r="6" spans="1:7">
      <c r="A6" s="40">
        <v>2</v>
      </c>
      <c r="B6" s="31">
        <v>80</v>
      </c>
      <c r="C6" s="31">
        <f>C5+B6</f>
        <v>200</v>
      </c>
      <c r="D6" s="13">
        <f t="shared" si="0"/>
        <v>3.3333333333333335</v>
      </c>
      <c r="E6" s="1"/>
      <c r="F6" s="1"/>
      <c r="G6" s="1" t="e">
        <f>(F6-$C$23)/E6*1000*Calculation!I7/Calculation!K6</f>
        <v>#DIV/0!</v>
      </c>
    </row>
    <row r="7" spans="1:7">
      <c r="A7" s="40">
        <v>3</v>
      </c>
      <c r="B7" s="31">
        <v>80</v>
      </c>
      <c r="C7" s="31">
        <f>C6+B7</f>
        <v>280</v>
      </c>
      <c r="D7" s="13">
        <f t="shared" si="0"/>
        <v>4.666666666666667</v>
      </c>
      <c r="E7" s="1"/>
      <c r="F7" s="1"/>
      <c r="G7" s="1" t="e">
        <f>(F7-$C$23)/E7*1000*Calculation!I8/Calculation!K7</f>
        <v>#DIV/0!</v>
      </c>
    </row>
    <row r="8" spans="1:7">
      <c r="A8" s="40">
        <v>4</v>
      </c>
      <c r="B8" s="31">
        <v>80</v>
      </c>
      <c r="C8" s="31">
        <f t="shared" ref="C8:C18" si="1">C7+B8</f>
        <v>360</v>
      </c>
      <c r="D8" s="13">
        <f t="shared" si="0"/>
        <v>6</v>
      </c>
      <c r="E8" s="1"/>
      <c r="F8" s="1"/>
      <c r="G8" s="1" t="e">
        <f>(F8-$C$23)/E8*1000*Calculation!I9/Calculation!K8</f>
        <v>#DIV/0!</v>
      </c>
    </row>
    <row r="9" spans="1:7">
      <c r="A9" s="40">
        <v>5</v>
      </c>
      <c r="B9" s="31">
        <v>80</v>
      </c>
      <c r="C9" s="31">
        <f t="shared" si="1"/>
        <v>440</v>
      </c>
      <c r="D9" s="13">
        <f t="shared" si="0"/>
        <v>7.333333333333333</v>
      </c>
      <c r="E9" s="1"/>
      <c r="F9" s="1"/>
      <c r="G9" s="1" t="e">
        <f>(F9-$C$23)/E9*1000*Calculation!I10/Calculation!K9</f>
        <v>#DIV/0!</v>
      </c>
    </row>
    <row r="10" spans="1:7">
      <c r="A10" s="40">
        <v>6</v>
      </c>
      <c r="B10" s="31">
        <v>80</v>
      </c>
      <c r="C10" s="31">
        <f t="shared" si="1"/>
        <v>520</v>
      </c>
      <c r="D10" s="13">
        <f t="shared" si="0"/>
        <v>8.6666666666666661</v>
      </c>
      <c r="E10" s="1"/>
      <c r="F10" s="1"/>
      <c r="G10" s="1" t="e">
        <f>(F10-$C$23)/E10*1000*Calculation!I11/Calculation!K10</f>
        <v>#DIV/0!</v>
      </c>
    </row>
    <row r="11" spans="1:7">
      <c r="A11" s="40">
        <v>7</v>
      </c>
      <c r="B11" s="31">
        <v>80</v>
      </c>
      <c r="C11" s="31">
        <f t="shared" si="1"/>
        <v>600</v>
      </c>
      <c r="D11" s="13">
        <f t="shared" si="0"/>
        <v>10</v>
      </c>
      <c r="E11" s="1"/>
      <c r="F11" s="1"/>
      <c r="G11" s="1" t="e">
        <f>(F11-$C$23)/E11*1000*Calculation!I12/Calculation!K11</f>
        <v>#DIV/0!</v>
      </c>
    </row>
    <row r="12" spans="1:7">
      <c r="A12" s="40">
        <v>8</v>
      </c>
      <c r="B12" s="31">
        <v>80</v>
      </c>
      <c r="C12" s="31">
        <f t="shared" si="1"/>
        <v>680</v>
      </c>
      <c r="D12" s="13">
        <f t="shared" si="0"/>
        <v>11.333333333333334</v>
      </c>
      <c r="E12" s="1"/>
      <c r="F12" s="1"/>
      <c r="G12" s="1" t="e">
        <f>(F12-$C$23)/E12*1000*Calculation!I13/Calculation!K12</f>
        <v>#DIV/0!</v>
      </c>
    </row>
    <row r="13" spans="1:7">
      <c r="A13" s="40">
        <v>9</v>
      </c>
      <c r="B13" s="31">
        <v>80</v>
      </c>
      <c r="C13" s="31">
        <f t="shared" si="1"/>
        <v>760</v>
      </c>
      <c r="D13" s="13">
        <f t="shared" si="0"/>
        <v>12.666666666666666</v>
      </c>
      <c r="E13" s="37"/>
      <c r="F13" s="37"/>
      <c r="G13" s="37" t="e">
        <f>(F13-$C$23)/E13*1000*Calculation!I14/Calculation!K13</f>
        <v>#DIV/0!</v>
      </c>
    </row>
    <row r="14" spans="1:7">
      <c r="A14" s="40">
        <v>10</v>
      </c>
      <c r="B14" s="31">
        <v>80</v>
      </c>
      <c r="C14" s="31">
        <f t="shared" si="1"/>
        <v>840</v>
      </c>
      <c r="D14" s="13">
        <f t="shared" si="0"/>
        <v>14</v>
      </c>
      <c r="E14" s="37"/>
      <c r="F14" s="37"/>
      <c r="G14" s="37" t="e">
        <f>(F14-$C$23)/E14*1000*Calculation!I15/Calculation!K14</f>
        <v>#DIV/0!</v>
      </c>
    </row>
    <row r="15" spans="1:7">
      <c r="A15" s="40">
        <v>11</v>
      </c>
      <c r="B15" s="31">
        <v>80</v>
      </c>
      <c r="C15" s="31">
        <f t="shared" si="1"/>
        <v>920</v>
      </c>
      <c r="D15" s="13">
        <f t="shared" si="0"/>
        <v>15.333333333333334</v>
      </c>
      <c r="E15" s="37"/>
      <c r="F15" s="37"/>
      <c r="G15" s="37" t="e">
        <f>(F15-$C$23)/E15*1000*Calculation!I16/Calculation!K15</f>
        <v>#DIV/0!</v>
      </c>
    </row>
    <row r="16" spans="1:7">
      <c r="A16" s="40">
        <v>12</v>
      </c>
      <c r="B16" s="31">
        <v>80</v>
      </c>
      <c r="C16" s="31">
        <f t="shared" si="1"/>
        <v>1000</v>
      </c>
      <c r="D16" s="13">
        <f t="shared" si="0"/>
        <v>16.666666666666668</v>
      </c>
      <c r="E16" s="37"/>
      <c r="F16" s="37"/>
      <c r="G16" s="37" t="e">
        <f>(F16-$C$23)/E16*1000*Calculation!I17/Calculation!K16</f>
        <v>#DIV/0!</v>
      </c>
    </row>
    <row r="17" spans="1:7" ht="15" customHeight="1">
      <c r="A17" s="40">
        <v>13</v>
      </c>
      <c r="B17" s="31">
        <v>80</v>
      </c>
      <c r="C17" s="31">
        <f t="shared" si="1"/>
        <v>1080</v>
      </c>
      <c r="D17" s="13">
        <f t="shared" si="0"/>
        <v>18</v>
      </c>
      <c r="E17" s="37"/>
      <c r="F17" s="37"/>
      <c r="G17" s="37" t="e">
        <f>(F17-$C$23)/E17*1000*Calculation!I18/Calculation!K17</f>
        <v>#DIV/0!</v>
      </c>
    </row>
    <row r="18" spans="1:7">
      <c r="A18" s="40">
        <v>14</v>
      </c>
      <c r="B18" s="31">
        <v>80</v>
      </c>
      <c r="C18" s="31">
        <f t="shared" si="1"/>
        <v>1160</v>
      </c>
      <c r="D18" s="13">
        <f t="shared" si="0"/>
        <v>19.333333333333332</v>
      </c>
      <c r="E18" s="37"/>
      <c r="F18" s="37"/>
      <c r="G18" s="37" t="e">
        <f>(F18-$C$23)/E18*1000*Calculation!I19/Calculation!K18</f>
        <v>#DIV/0!</v>
      </c>
    </row>
    <row r="19" spans="1:7">
      <c r="A19" s="40">
        <v>15</v>
      </c>
      <c r="B19" s="31">
        <v>290</v>
      </c>
      <c r="C19" s="31">
        <f>C18+B19</f>
        <v>1450</v>
      </c>
      <c r="D19" s="13">
        <f t="shared" si="0"/>
        <v>24.166666666666668</v>
      </c>
      <c r="E19" s="40"/>
      <c r="F19" s="40"/>
      <c r="G19" s="40" t="e">
        <f>(F19-$C$23)/E19*1000*Calculation!I22/Calculation!K19</f>
        <v>#DIV/0!</v>
      </c>
    </row>
    <row r="20" spans="1:7">
      <c r="A20" s="40">
        <v>16</v>
      </c>
      <c r="B20" s="31">
        <v>360</v>
      </c>
      <c r="C20" s="31">
        <f>C19+B20</f>
        <v>1810</v>
      </c>
      <c r="D20" s="13">
        <f t="shared" si="0"/>
        <v>30.166666666666668</v>
      </c>
      <c r="E20" s="40"/>
      <c r="F20" s="40"/>
      <c r="G20" s="40" t="e">
        <f>(F20-$C$23)/E20*1000*Calculation!I23/Calculation!K20</f>
        <v>#DIV/0!</v>
      </c>
    </row>
    <row r="21" spans="1:7">
      <c r="A21" s="40">
        <v>17</v>
      </c>
      <c r="B21" s="31">
        <v>1080</v>
      </c>
      <c r="C21" s="31">
        <f>C20+B21</f>
        <v>2890</v>
      </c>
      <c r="D21" s="13">
        <f t="shared" si="0"/>
        <v>48.166666666666664</v>
      </c>
      <c r="E21" s="40"/>
      <c r="F21" s="40"/>
      <c r="G21" s="40" t="e">
        <f>(F21-$C$23)/E21*1000*Calculation!I24/Calculation!K21</f>
        <v>#DIV/0!</v>
      </c>
    </row>
    <row r="23" spans="1:7">
      <c r="A23" s="133" t="s">
        <v>3</v>
      </c>
      <c r="B23" s="134"/>
      <c r="C23" s="1"/>
    </row>
  </sheetData>
  <mergeCells count="5">
    <mergeCell ref="A23:B23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1"/>
  <sheetViews>
    <sheetView topLeftCell="A83" workbookViewId="0">
      <selection activeCell="B102" sqref="B102:B107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9" max="9" width="9.1640625" bestFit="1" customWidth="1"/>
    <col min="10" max="10" width="12" bestFit="1" customWidth="1"/>
    <col min="11" max="11" width="8.5" customWidth="1"/>
  </cols>
  <sheetData>
    <row r="1" spans="1:10">
      <c r="A1" s="23" t="s">
        <v>50</v>
      </c>
      <c r="B1" s="12">
        <v>70.3</v>
      </c>
      <c r="C1" s="26" t="s">
        <v>51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114" t="s">
        <v>5</v>
      </c>
      <c r="B3" s="114" t="s">
        <v>36</v>
      </c>
      <c r="C3" s="114"/>
      <c r="D3" s="114" t="s">
        <v>52</v>
      </c>
      <c r="E3" s="114"/>
      <c r="F3" s="114"/>
      <c r="G3" s="23" t="s">
        <v>53</v>
      </c>
    </row>
    <row r="4" spans="1:10">
      <c r="A4" s="114"/>
      <c r="B4" s="23" t="s">
        <v>54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</row>
    <row r="5" spans="1:10">
      <c r="A5" s="12">
        <v>0</v>
      </c>
      <c r="B5" s="40">
        <v>65.84</v>
      </c>
      <c r="C5" s="12">
        <f>B5/1000</f>
        <v>6.584000000000001E-2</v>
      </c>
      <c r="D5" s="12">
        <f>C5/1000*$B$1</f>
        <v>4.6285520000000002E-3</v>
      </c>
      <c r="E5" s="12">
        <f>D5/22.4</f>
        <v>2.0663178571428574E-4</v>
      </c>
      <c r="F5" s="12">
        <f>E5/Calculation!K$4*1000</f>
        <v>1.3989965180384952E-4</v>
      </c>
      <c r="G5" s="12">
        <f>(0+F5)/2*30</f>
        <v>2.098494777057743E-3</v>
      </c>
      <c r="I5" s="69">
        <v>-0.16666666666666666</v>
      </c>
      <c r="J5" t="s">
        <v>154</v>
      </c>
    </row>
    <row r="6" spans="1:10">
      <c r="A6" s="12">
        <v>0.5</v>
      </c>
      <c r="B6" s="40">
        <v>73.150000000000006</v>
      </c>
      <c r="C6" s="12">
        <f t="shared" ref="C6:C69" si="0">B6/1000</f>
        <v>7.3150000000000007E-2</v>
      </c>
      <c r="D6" s="12">
        <f>C6/1000*$B$1</f>
        <v>5.1424449999999998E-3</v>
      </c>
      <c r="E6" s="12">
        <f>D6/22.4</f>
        <v>2.2957343750000002E-4</v>
      </c>
      <c r="F6" s="12">
        <f>E6/Calculation!K$4*1000</f>
        <v>1.5543225287745433E-4</v>
      </c>
      <c r="G6" s="12">
        <f>G5+(F6+F5)/2*30</f>
        <v>6.5284733472773006E-3</v>
      </c>
      <c r="I6" s="69">
        <v>0.16666666666666666</v>
      </c>
      <c r="J6" t="s">
        <v>155</v>
      </c>
    </row>
    <row r="7" spans="1:10">
      <c r="A7" s="12">
        <v>1</v>
      </c>
      <c r="B7" s="40">
        <v>21.95</v>
      </c>
      <c r="C7" s="12">
        <f t="shared" si="0"/>
        <v>2.1950000000000001E-2</v>
      </c>
      <c r="D7" s="12">
        <f t="shared" ref="D7:D69" si="1">C7/1000*$B$1</f>
        <v>1.543085E-3</v>
      </c>
      <c r="E7" s="12">
        <f t="shared" ref="E7:E69" si="2">D7/22.4</f>
        <v>6.8887723214285719E-5</v>
      </c>
      <c r="F7" s="12">
        <f>E7/Calculation!K$4*1000</f>
        <v>4.6640300077376929E-5</v>
      </c>
      <c r="G7" s="12">
        <f t="shared" ref="G7:G70" si="3">G6+(F7+F6)/2*30</f>
        <v>9.5595616415997692E-3</v>
      </c>
      <c r="I7" s="69">
        <v>2</v>
      </c>
      <c r="J7" t="s">
        <v>156</v>
      </c>
    </row>
    <row r="8" spans="1:10">
      <c r="A8" s="12">
        <v>1.5</v>
      </c>
      <c r="B8" s="40">
        <v>32.19</v>
      </c>
      <c r="C8" s="12">
        <f t="shared" si="0"/>
        <v>3.2189999999999996E-2</v>
      </c>
      <c r="D8" s="12">
        <f t="shared" si="1"/>
        <v>2.2629569999999995E-3</v>
      </c>
      <c r="E8" s="12">
        <f t="shared" si="2"/>
        <v>1.0102486607142855E-4</v>
      </c>
      <c r="F8" s="12">
        <f>E8/Calculation!K$4*1000</f>
        <v>6.8398690637392387E-5</v>
      </c>
      <c r="G8" s="12">
        <f t="shared" si="3"/>
        <v>1.1285146502321309E-2</v>
      </c>
      <c r="I8" s="69">
        <v>3.3333333333333335</v>
      </c>
      <c r="J8" t="s">
        <v>157</v>
      </c>
    </row>
    <row r="9" spans="1:10">
      <c r="A9" s="12">
        <v>2</v>
      </c>
      <c r="B9" s="40">
        <v>46.82</v>
      </c>
      <c r="C9" s="12">
        <f t="shared" si="0"/>
        <v>4.6820000000000001E-2</v>
      </c>
      <c r="D9" s="12">
        <f t="shared" si="1"/>
        <v>3.291446E-3</v>
      </c>
      <c r="E9" s="12">
        <f t="shared" si="2"/>
        <v>1.4693955357142859E-4</v>
      </c>
      <c r="F9" s="12">
        <f>E9/Calculation!K$4*1000</f>
        <v>9.9485141212883265E-5</v>
      </c>
      <c r="G9" s="12">
        <f t="shared" si="3"/>
        <v>1.3803403980075443E-2</v>
      </c>
      <c r="I9" s="69">
        <v>4.666666666666667</v>
      </c>
      <c r="J9" t="s">
        <v>158</v>
      </c>
    </row>
    <row r="10" spans="1:10">
      <c r="A10" s="12">
        <v>2.5</v>
      </c>
      <c r="B10" s="40">
        <v>0</v>
      </c>
      <c r="C10" s="12">
        <f t="shared" si="0"/>
        <v>0</v>
      </c>
      <c r="D10" s="12">
        <f t="shared" si="1"/>
        <v>0</v>
      </c>
      <c r="E10" s="12">
        <f t="shared" si="2"/>
        <v>0</v>
      </c>
      <c r="F10" s="12">
        <f>E10/Calculation!K$5*1000</f>
        <v>0</v>
      </c>
      <c r="G10" s="12">
        <f t="shared" si="3"/>
        <v>1.5295681098268692E-2</v>
      </c>
      <c r="I10" s="69">
        <v>6</v>
      </c>
      <c r="J10" t="s">
        <v>159</v>
      </c>
    </row>
    <row r="11" spans="1:10">
      <c r="A11" s="12">
        <v>3</v>
      </c>
      <c r="B11" s="40">
        <v>8.7799999999999994</v>
      </c>
      <c r="C11" s="12">
        <f t="shared" si="0"/>
        <v>8.7799999999999996E-3</v>
      </c>
      <c r="D11" s="12">
        <f t="shared" si="1"/>
        <v>6.1723399999999993E-4</v>
      </c>
      <c r="E11" s="12">
        <f t="shared" si="2"/>
        <v>2.7555089285714286E-5</v>
      </c>
      <c r="F11" s="12">
        <f>E11/Calculation!K$5*1000</f>
        <v>1.9350484048956661E-5</v>
      </c>
      <c r="G11" s="12">
        <f t="shared" si="3"/>
        <v>1.5585938359003041E-2</v>
      </c>
      <c r="I11" s="69">
        <v>7.333333333333333</v>
      </c>
      <c r="J11" t="s">
        <v>160</v>
      </c>
    </row>
    <row r="12" spans="1:10">
      <c r="A12" s="12">
        <v>3.5</v>
      </c>
      <c r="B12" s="40">
        <v>0</v>
      </c>
      <c r="C12" s="12">
        <f t="shared" si="0"/>
        <v>0</v>
      </c>
      <c r="D12" s="12">
        <f t="shared" si="1"/>
        <v>0</v>
      </c>
      <c r="E12" s="12">
        <f t="shared" si="2"/>
        <v>0</v>
      </c>
      <c r="F12" s="12">
        <f>E12/Calculation!K$6*1000</f>
        <v>0</v>
      </c>
      <c r="G12" s="12">
        <f t="shared" si="3"/>
        <v>1.5876195619737393E-2</v>
      </c>
      <c r="I12" s="69">
        <v>8.6666666666666661</v>
      </c>
      <c r="J12" t="s">
        <v>161</v>
      </c>
    </row>
    <row r="13" spans="1:10">
      <c r="A13" s="12">
        <v>4</v>
      </c>
      <c r="B13" s="40">
        <v>38.04</v>
      </c>
      <c r="C13" s="12">
        <f t="shared" si="0"/>
        <v>3.8039999999999997E-2</v>
      </c>
      <c r="D13" s="12">
        <f t="shared" si="1"/>
        <v>2.6742119999999996E-3</v>
      </c>
      <c r="E13" s="12">
        <f t="shared" si="2"/>
        <v>1.1938446428571428E-4</v>
      </c>
      <c r="F13" s="12">
        <f>E13/Calculation!K$6*1000</f>
        <v>8.7333185285818791E-5</v>
      </c>
      <c r="G13" s="12">
        <f t="shared" si="3"/>
        <v>1.7186193399024673E-2</v>
      </c>
      <c r="I13" s="69">
        <v>10</v>
      </c>
      <c r="J13" t="s">
        <v>162</v>
      </c>
    </row>
    <row r="14" spans="1:10">
      <c r="A14" s="12">
        <v>4.5</v>
      </c>
      <c r="B14" s="40">
        <v>29.26</v>
      </c>
      <c r="C14" s="12">
        <f t="shared" si="0"/>
        <v>2.9260000000000001E-2</v>
      </c>
      <c r="D14" s="12">
        <f t="shared" si="1"/>
        <v>2.0569780000000001E-3</v>
      </c>
      <c r="E14" s="12">
        <f t="shared" si="2"/>
        <v>9.182937500000001E-5</v>
      </c>
      <c r="F14" s="12">
        <f>E14/Calculation!K$6*1000</f>
        <v>6.717584125822971E-5</v>
      </c>
      <c r="G14" s="12">
        <f t="shared" si="3"/>
        <v>1.9503828797185402E-2</v>
      </c>
      <c r="I14" s="69">
        <v>11.333333333333334</v>
      </c>
      <c r="J14" t="s">
        <v>163</v>
      </c>
    </row>
    <row r="15" spans="1:10">
      <c r="A15" s="12">
        <v>5</v>
      </c>
      <c r="B15" s="40">
        <v>4.3899999999999997</v>
      </c>
      <c r="C15" s="12">
        <f t="shared" si="0"/>
        <v>4.3899999999999998E-3</v>
      </c>
      <c r="D15" s="12">
        <f t="shared" si="1"/>
        <v>3.0861699999999996E-4</v>
      </c>
      <c r="E15" s="12">
        <f t="shared" si="2"/>
        <v>1.3777544642857143E-5</v>
      </c>
      <c r="F15" s="12">
        <f>E15/Calculation!K$7*1000</f>
        <v>1.0493179469045806E-5</v>
      </c>
      <c r="G15" s="12">
        <f t="shared" si="3"/>
        <v>2.0668864108094535E-2</v>
      </c>
      <c r="I15" s="69">
        <v>12.666666666666666</v>
      </c>
      <c r="J15" t="s">
        <v>164</v>
      </c>
    </row>
    <row r="16" spans="1:10">
      <c r="A16" s="12">
        <v>5.5</v>
      </c>
      <c r="B16" s="40">
        <v>10.24</v>
      </c>
      <c r="C16" s="12">
        <f t="shared" si="0"/>
        <v>1.0240000000000001E-2</v>
      </c>
      <c r="D16" s="12">
        <f t="shared" si="1"/>
        <v>7.1987199999999998E-4</v>
      </c>
      <c r="E16" s="12">
        <f t="shared" si="2"/>
        <v>3.2137142857142857E-5</v>
      </c>
      <c r="F16" s="12">
        <f>E16/Calculation!K$7*1000</f>
        <v>2.4476117941464477E-5</v>
      </c>
      <c r="G16" s="12">
        <f t="shared" si="3"/>
        <v>2.119340356925219E-2</v>
      </c>
      <c r="I16" s="69">
        <v>14</v>
      </c>
      <c r="J16" t="s">
        <v>165</v>
      </c>
    </row>
    <row r="17" spans="1:10">
      <c r="A17" s="12">
        <v>6</v>
      </c>
      <c r="B17" s="40">
        <v>4.3899999999999997</v>
      </c>
      <c r="C17" s="12">
        <f t="shared" si="0"/>
        <v>4.3899999999999998E-3</v>
      </c>
      <c r="D17" s="12">
        <f t="shared" si="1"/>
        <v>3.0861699999999996E-4</v>
      </c>
      <c r="E17" s="12">
        <f t="shared" si="2"/>
        <v>1.3777544642857143E-5</v>
      </c>
      <c r="F17" s="12">
        <f>E17/Calculation!K$8*1000</f>
        <v>1.0943244354930216E-5</v>
      </c>
      <c r="G17" s="12">
        <f t="shared" si="3"/>
        <v>2.1724694003698111E-2</v>
      </c>
      <c r="I17" s="69">
        <v>15.333333333333334</v>
      </c>
      <c r="J17" t="s">
        <v>166</v>
      </c>
    </row>
    <row r="18" spans="1:10">
      <c r="A18" s="12">
        <v>6.5</v>
      </c>
      <c r="B18" s="40">
        <v>30.72</v>
      </c>
      <c r="C18" s="12">
        <f t="shared" si="0"/>
        <v>3.0719999999999997E-2</v>
      </c>
      <c r="D18" s="12">
        <f t="shared" si="1"/>
        <v>2.1596159999999996E-3</v>
      </c>
      <c r="E18" s="12">
        <f t="shared" si="2"/>
        <v>9.6411428571428558E-5</v>
      </c>
      <c r="F18" s="12">
        <f>E18/Calculation!K$8*1000</f>
        <v>7.6577782820832851E-5</v>
      </c>
      <c r="G18" s="12">
        <f t="shared" si="3"/>
        <v>2.3037509411334558E-2</v>
      </c>
      <c r="I18" s="69">
        <v>16.666666666666668</v>
      </c>
      <c r="J18" t="s">
        <v>167</v>
      </c>
    </row>
    <row r="19" spans="1:10">
      <c r="A19" s="12">
        <v>7</v>
      </c>
      <c r="B19" s="40">
        <v>4.3899999999999997</v>
      </c>
      <c r="C19" s="12">
        <f t="shared" si="0"/>
        <v>4.3899999999999998E-3</v>
      </c>
      <c r="D19" s="12">
        <f t="shared" si="1"/>
        <v>3.0861699999999996E-4</v>
      </c>
      <c r="E19" s="12">
        <f t="shared" si="2"/>
        <v>1.3777544642857143E-5</v>
      </c>
      <c r="F19" s="12">
        <f>E19/Calculation!K$8*1000</f>
        <v>1.0943244354930216E-5</v>
      </c>
      <c r="G19" s="12">
        <f t="shared" si="3"/>
        <v>2.4350324818971005E-2</v>
      </c>
      <c r="I19" s="69">
        <v>18</v>
      </c>
      <c r="J19" t="s">
        <v>168</v>
      </c>
    </row>
    <row r="20" spans="1:10">
      <c r="A20" s="12">
        <v>7.5</v>
      </c>
      <c r="B20" s="40">
        <v>10.24</v>
      </c>
      <c r="C20" s="12">
        <f t="shared" si="0"/>
        <v>1.0240000000000001E-2</v>
      </c>
      <c r="D20" s="12">
        <f t="shared" si="1"/>
        <v>7.1987199999999998E-4</v>
      </c>
      <c r="E20" s="12">
        <f t="shared" si="2"/>
        <v>3.2137142857142857E-5</v>
      </c>
      <c r="F20" s="12">
        <f>E20/Calculation!K$9*1000</f>
        <v>2.6581590452558193E-5</v>
      </c>
      <c r="G20" s="12">
        <f t="shared" si="3"/>
        <v>2.491319734108333E-2</v>
      </c>
      <c r="I20" s="69">
        <v>19.333333333333332</v>
      </c>
      <c r="J20" t="s">
        <v>169</v>
      </c>
    </row>
    <row r="21" spans="1:10">
      <c r="A21" s="12">
        <v>8</v>
      </c>
      <c r="B21" s="40">
        <v>0</v>
      </c>
      <c r="C21" s="12">
        <f t="shared" si="0"/>
        <v>0</v>
      </c>
      <c r="D21" s="12">
        <f t="shared" si="1"/>
        <v>0</v>
      </c>
      <c r="E21" s="12">
        <f t="shared" si="2"/>
        <v>0</v>
      </c>
      <c r="F21" s="12">
        <f>E21/Calculation!K$9*1000</f>
        <v>0</v>
      </c>
      <c r="G21" s="12">
        <f t="shared" si="3"/>
        <v>2.5311921197871703E-2</v>
      </c>
      <c r="I21" s="69">
        <v>24</v>
      </c>
      <c r="J21" t="s">
        <v>170</v>
      </c>
    </row>
    <row r="22" spans="1:10">
      <c r="A22" s="12">
        <v>8.5</v>
      </c>
      <c r="B22" s="40">
        <v>64.37</v>
      </c>
      <c r="C22" s="12">
        <f t="shared" si="0"/>
        <v>6.4370000000000011E-2</v>
      </c>
      <c r="D22" s="12">
        <f t="shared" si="1"/>
        <v>4.5252110000000003E-3</v>
      </c>
      <c r="E22" s="12">
        <f t="shared" si="2"/>
        <v>2.0201834821428574E-4</v>
      </c>
      <c r="F22" s="12">
        <f>E22/Calculation!K$9*1000</f>
        <v>1.6709540795226282E-4</v>
      </c>
      <c r="G22" s="12">
        <f t="shared" si="3"/>
        <v>2.7818352317155647E-2</v>
      </c>
      <c r="I22" s="69">
        <v>30</v>
      </c>
      <c r="J22" t="s">
        <v>171</v>
      </c>
    </row>
    <row r="23" spans="1:10">
      <c r="A23" s="12">
        <v>9</v>
      </c>
      <c r="B23" s="40">
        <v>0</v>
      </c>
      <c r="C23" s="12">
        <f t="shared" si="0"/>
        <v>0</v>
      </c>
      <c r="D23" s="12">
        <f t="shared" si="1"/>
        <v>0</v>
      </c>
      <c r="E23" s="12">
        <f t="shared" si="2"/>
        <v>0</v>
      </c>
      <c r="F23" s="12">
        <f>E23/Calculation!K$10*1000</f>
        <v>0</v>
      </c>
      <c r="G23" s="12">
        <f t="shared" si="3"/>
        <v>3.0324783436439587E-2</v>
      </c>
      <c r="I23" s="69">
        <v>48</v>
      </c>
      <c r="J23" t="s">
        <v>172</v>
      </c>
    </row>
    <row r="24" spans="1:10">
      <c r="A24" s="12">
        <v>9.5</v>
      </c>
      <c r="B24" s="40">
        <v>147.77000000000001</v>
      </c>
      <c r="C24" s="12">
        <f t="shared" si="0"/>
        <v>0.14777000000000001</v>
      </c>
      <c r="D24" s="12">
        <f t="shared" si="1"/>
        <v>1.0388231E-2</v>
      </c>
      <c r="E24" s="12">
        <f t="shared" si="2"/>
        <v>4.6376031250000002E-4</v>
      </c>
      <c r="F24" s="12">
        <f>E24/Calculation!K$10*1000</f>
        <v>4.0291947219808858E-4</v>
      </c>
      <c r="G24" s="12">
        <f t="shared" si="3"/>
        <v>3.6368575519410917E-2</v>
      </c>
    </row>
    <row r="25" spans="1:10">
      <c r="A25" s="12">
        <v>10</v>
      </c>
      <c r="B25" s="40">
        <v>86.32</v>
      </c>
      <c r="C25" s="12">
        <f t="shared" si="0"/>
        <v>8.6319999999999994E-2</v>
      </c>
      <c r="D25" s="12">
        <f t="shared" si="1"/>
        <v>6.0682959999999999E-3</v>
      </c>
      <c r="E25" s="12">
        <f t="shared" si="2"/>
        <v>2.7090607142857146E-4</v>
      </c>
      <c r="F25" s="12">
        <f>E25/Calculation!K$11*1000</f>
        <v>2.4740280495759952E-4</v>
      </c>
      <c r="G25" s="12">
        <f t="shared" si="3"/>
        <v>4.612340967674624E-2</v>
      </c>
    </row>
    <row r="26" spans="1:10">
      <c r="A26" s="12">
        <v>10.5</v>
      </c>
      <c r="B26" s="40">
        <v>98.02</v>
      </c>
      <c r="C26" s="12">
        <f t="shared" si="0"/>
        <v>9.8019999999999996E-2</v>
      </c>
      <c r="D26" s="12">
        <f t="shared" si="1"/>
        <v>6.8908059999999993E-3</v>
      </c>
      <c r="E26" s="12">
        <f t="shared" si="2"/>
        <v>3.0762526785714283E-4</v>
      </c>
      <c r="F26" s="12">
        <f>E26/Calculation!K$11*1000</f>
        <v>2.8093631767775603E-4</v>
      </c>
      <c r="G26" s="12">
        <f t="shared" si="3"/>
        <v>5.4048496516276572E-2</v>
      </c>
    </row>
    <row r="27" spans="1:10">
      <c r="A27" s="12">
        <v>11</v>
      </c>
      <c r="B27" s="40">
        <v>38.04</v>
      </c>
      <c r="C27" s="12">
        <f t="shared" si="0"/>
        <v>3.8039999999999997E-2</v>
      </c>
      <c r="D27" s="12">
        <f t="shared" si="1"/>
        <v>2.6742119999999996E-3</v>
      </c>
      <c r="E27" s="12">
        <f t="shared" si="2"/>
        <v>1.1938446428571428E-4</v>
      </c>
      <c r="F27" s="12">
        <f>E27/Calculation!K$11*1000</f>
        <v>1.0902690802348336E-4</v>
      </c>
      <c r="G27" s="12">
        <f t="shared" si="3"/>
        <v>5.9897944901795161E-2</v>
      </c>
    </row>
    <row r="28" spans="1:10">
      <c r="A28" s="12">
        <v>11.5</v>
      </c>
      <c r="B28" s="40">
        <v>52.67</v>
      </c>
      <c r="C28" s="12">
        <f t="shared" si="0"/>
        <v>5.2670000000000002E-2</v>
      </c>
      <c r="D28" s="12">
        <f t="shared" si="1"/>
        <v>3.7027010000000001E-3</v>
      </c>
      <c r="E28" s="12">
        <f t="shared" si="2"/>
        <v>1.652991517857143E-4</v>
      </c>
      <c r="F28" s="12">
        <f>E28/Calculation!K$12*1000</f>
        <v>1.5697925145841815E-4</v>
      </c>
      <c r="G28" s="12">
        <f t="shared" si="3"/>
        <v>6.3888037294023689E-2</v>
      </c>
    </row>
    <row r="29" spans="1:10">
      <c r="A29" s="12">
        <v>12</v>
      </c>
      <c r="B29" s="40">
        <v>11.7</v>
      </c>
      <c r="C29" s="12">
        <f t="shared" si="0"/>
        <v>1.1699999999999999E-2</v>
      </c>
      <c r="D29" s="12">
        <f t="shared" si="1"/>
        <v>8.2250999999999982E-4</v>
      </c>
      <c r="E29" s="12">
        <f t="shared" si="2"/>
        <v>3.6719196428571425E-5</v>
      </c>
      <c r="F29" s="12">
        <f>E29/Calculation!K$12*1000</f>
        <v>3.4871031746031739E-5</v>
      </c>
      <c r="G29" s="12">
        <f t="shared" si="3"/>
        <v>6.6765791542090433E-2</v>
      </c>
    </row>
    <row r="30" spans="1:10">
      <c r="A30" s="12">
        <v>12.5</v>
      </c>
      <c r="B30" s="40">
        <v>179.95</v>
      </c>
      <c r="C30" s="12">
        <f t="shared" si="0"/>
        <v>0.17995</v>
      </c>
      <c r="D30" s="12">
        <f t="shared" si="1"/>
        <v>1.2650485E-2</v>
      </c>
      <c r="E30" s="12">
        <f t="shared" si="2"/>
        <v>5.6475379464285714E-4</v>
      </c>
      <c r="F30" s="12">
        <f>E30/Calculation!K$12*1000</f>
        <v>5.3632838997422336E-4</v>
      </c>
      <c r="G30" s="12">
        <f t="shared" si="3"/>
        <v>7.5333782867894258E-2</v>
      </c>
    </row>
    <row r="31" spans="1:10">
      <c r="A31" s="12">
        <v>13</v>
      </c>
      <c r="B31" s="40">
        <v>11.7</v>
      </c>
      <c r="C31" s="12">
        <f t="shared" si="0"/>
        <v>1.1699999999999999E-2</v>
      </c>
      <c r="D31" s="12">
        <f t="shared" si="1"/>
        <v>8.2250999999999982E-4</v>
      </c>
      <c r="E31" s="12">
        <f t="shared" si="2"/>
        <v>3.6719196428571425E-5</v>
      </c>
      <c r="F31" s="12">
        <f>E31/Calculation!K$13*1000</f>
        <v>3.6319679949130985E-5</v>
      </c>
      <c r="G31" s="12">
        <f t="shared" si="3"/>
        <v>8.392350391674458E-2</v>
      </c>
    </row>
    <row r="32" spans="1:10">
      <c r="A32" s="12">
        <v>13.5</v>
      </c>
      <c r="B32" s="40">
        <v>11.7</v>
      </c>
      <c r="C32" s="12">
        <f t="shared" si="0"/>
        <v>1.1699999999999999E-2</v>
      </c>
      <c r="D32" s="12">
        <f t="shared" si="1"/>
        <v>8.2250999999999982E-4</v>
      </c>
      <c r="E32" s="12">
        <f t="shared" si="2"/>
        <v>3.6719196428571425E-5</v>
      </c>
      <c r="F32" s="12">
        <f>E32/Calculation!K$13*1000</f>
        <v>3.6319679949130985E-5</v>
      </c>
      <c r="G32" s="12">
        <f t="shared" si="3"/>
        <v>8.5013094315218515E-2</v>
      </c>
    </row>
    <row r="33" spans="1:7">
      <c r="A33" s="12">
        <v>14</v>
      </c>
      <c r="B33" s="40">
        <v>38.04</v>
      </c>
      <c r="C33" s="12">
        <f t="shared" si="0"/>
        <v>3.8039999999999997E-2</v>
      </c>
      <c r="D33" s="12">
        <f t="shared" si="1"/>
        <v>2.6742119999999996E-3</v>
      </c>
      <c r="E33" s="12">
        <f t="shared" si="2"/>
        <v>1.1938446428571428E-4</v>
      </c>
      <c r="F33" s="12">
        <f>E33/Calculation!K$14*1000</f>
        <v>1.2332564479797852E-4</v>
      </c>
      <c r="G33" s="12">
        <f t="shared" si="3"/>
        <v>8.7407774186425161E-2</v>
      </c>
    </row>
    <row r="34" spans="1:7">
      <c r="A34" s="12">
        <v>14.5</v>
      </c>
      <c r="B34" s="40">
        <v>38.04</v>
      </c>
      <c r="C34" s="12">
        <f t="shared" si="0"/>
        <v>3.8039999999999997E-2</v>
      </c>
      <c r="D34" s="12">
        <f t="shared" si="1"/>
        <v>2.6742119999999996E-3</v>
      </c>
      <c r="E34" s="12">
        <f t="shared" si="2"/>
        <v>1.1938446428571428E-4</v>
      </c>
      <c r="F34" s="12">
        <f>E34/Calculation!K$14*1000</f>
        <v>1.2332564479797852E-4</v>
      </c>
      <c r="G34" s="12">
        <f t="shared" si="3"/>
        <v>9.1107543530364515E-2</v>
      </c>
    </row>
    <row r="35" spans="1:7">
      <c r="A35" s="12">
        <v>15</v>
      </c>
      <c r="B35" s="40">
        <v>2.93</v>
      </c>
      <c r="C35" s="12">
        <f t="shared" si="0"/>
        <v>2.9300000000000003E-3</v>
      </c>
      <c r="D35" s="12">
        <f t="shared" si="1"/>
        <v>2.0597900000000001E-4</v>
      </c>
      <c r="E35" s="12">
        <f t="shared" si="2"/>
        <v>9.195491071428573E-6</v>
      </c>
      <c r="F35" s="12">
        <f>E35/Calculation!K$14*1000</f>
        <v>9.4990572885929861E-6</v>
      </c>
      <c r="G35" s="12">
        <f t="shared" si="3"/>
        <v>9.3099914061663083E-2</v>
      </c>
    </row>
    <row r="36" spans="1:7">
      <c r="A36" s="12">
        <v>15.5</v>
      </c>
      <c r="B36" s="40">
        <v>0</v>
      </c>
      <c r="C36" s="12">
        <f t="shared" si="0"/>
        <v>0</v>
      </c>
      <c r="D36" s="12">
        <f t="shared" si="1"/>
        <v>0</v>
      </c>
      <c r="E36" s="12">
        <f t="shared" si="2"/>
        <v>0</v>
      </c>
      <c r="F36" s="12">
        <f>E36/Calculation!K$15*1000</f>
        <v>0</v>
      </c>
      <c r="G36" s="12">
        <f t="shared" si="3"/>
        <v>9.3242399920991981E-2</v>
      </c>
    </row>
    <row r="37" spans="1:7">
      <c r="A37" s="12">
        <v>16</v>
      </c>
      <c r="B37" s="40">
        <v>0</v>
      </c>
      <c r="C37" s="12">
        <f t="shared" si="0"/>
        <v>0</v>
      </c>
      <c r="D37" s="12">
        <f t="shared" si="1"/>
        <v>0</v>
      </c>
      <c r="E37" s="12">
        <f t="shared" si="2"/>
        <v>0</v>
      </c>
      <c r="F37" s="12">
        <f>E37/Calculation!K$15*1000</f>
        <v>0</v>
      </c>
      <c r="G37" s="12">
        <f t="shared" si="3"/>
        <v>9.3242399920991981E-2</v>
      </c>
    </row>
    <row r="38" spans="1:7">
      <c r="A38" s="12">
        <v>16.5</v>
      </c>
      <c r="B38" s="40">
        <v>1.46</v>
      </c>
      <c r="C38" s="12">
        <f t="shared" si="0"/>
        <v>1.4599999999999999E-3</v>
      </c>
      <c r="D38" s="12">
        <f t="shared" si="1"/>
        <v>1.02638E-4</v>
      </c>
      <c r="E38" s="12">
        <f t="shared" si="2"/>
        <v>4.5820535714285715E-6</v>
      </c>
      <c r="F38" s="12">
        <f>E38/Calculation!K$15*1000</f>
        <v>4.9635882048170397E-6</v>
      </c>
      <c r="G38" s="12">
        <f t="shared" si="3"/>
        <v>9.3316853744064232E-2</v>
      </c>
    </row>
    <row r="39" spans="1:7">
      <c r="A39" s="12">
        <v>17</v>
      </c>
      <c r="B39" s="40">
        <v>65.84</v>
      </c>
      <c r="C39" s="12">
        <f t="shared" si="0"/>
        <v>6.584000000000001E-2</v>
      </c>
      <c r="D39" s="12">
        <f t="shared" si="1"/>
        <v>4.6285520000000002E-3</v>
      </c>
      <c r="E39" s="12">
        <f t="shared" si="2"/>
        <v>2.0663178571428574E-4</v>
      </c>
      <c r="F39" s="12">
        <f>E39/Calculation!K$16*1000</f>
        <v>2.3499127673759889E-4</v>
      </c>
      <c r="G39" s="12">
        <f t="shared" si="3"/>
        <v>9.6916176718200464E-2</v>
      </c>
    </row>
    <row r="40" spans="1:7">
      <c r="A40" s="12">
        <v>17.5</v>
      </c>
      <c r="B40" s="40">
        <v>26.33</v>
      </c>
      <c r="C40" s="12">
        <f t="shared" si="0"/>
        <v>2.6329999999999999E-2</v>
      </c>
      <c r="D40" s="12">
        <f t="shared" si="1"/>
        <v>1.8509989999999999E-3</v>
      </c>
      <c r="E40" s="12">
        <f t="shared" si="2"/>
        <v>8.2633883928571431E-5</v>
      </c>
      <c r="F40" s="12">
        <f>E40/Calculation!K$16*1000</f>
        <v>9.3975095937135142E-5</v>
      </c>
      <c r="G40" s="12">
        <f t="shared" si="3"/>
        <v>0.10185067230832147</v>
      </c>
    </row>
    <row r="41" spans="1:7">
      <c r="A41" s="12">
        <v>18</v>
      </c>
      <c r="B41" s="40">
        <v>5.85</v>
      </c>
      <c r="C41" s="12">
        <f t="shared" si="0"/>
        <v>5.8499999999999993E-3</v>
      </c>
      <c r="D41" s="12">
        <f t="shared" si="1"/>
        <v>4.1125499999999991E-4</v>
      </c>
      <c r="E41" s="12">
        <f t="shared" si="2"/>
        <v>1.8359598214285713E-5</v>
      </c>
      <c r="F41" s="12">
        <f>E41/Calculation!K$17*1000</f>
        <v>2.1943149294634333E-5</v>
      </c>
      <c r="G41" s="12">
        <f t="shared" si="3"/>
        <v>0.10358944598679801</v>
      </c>
    </row>
    <row r="42" spans="1:7">
      <c r="A42" s="12">
        <v>18.5</v>
      </c>
      <c r="B42" s="40">
        <v>1.46</v>
      </c>
      <c r="C42" s="12">
        <f t="shared" si="0"/>
        <v>1.4599999999999999E-3</v>
      </c>
      <c r="D42" s="12">
        <f t="shared" si="1"/>
        <v>1.02638E-4</v>
      </c>
      <c r="E42" s="12">
        <f t="shared" si="2"/>
        <v>4.5820535714285715E-6</v>
      </c>
      <c r="F42" s="12">
        <f>E42/Calculation!K$17*1000</f>
        <v>5.4764099094301081E-6</v>
      </c>
      <c r="G42" s="12">
        <f t="shared" si="3"/>
        <v>0.10400073937485897</v>
      </c>
    </row>
    <row r="43" spans="1:7">
      <c r="A43" s="12">
        <v>19</v>
      </c>
      <c r="B43" s="40">
        <v>79</v>
      </c>
      <c r="C43" s="12">
        <f t="shared" si="0"/>
        <v>7.9000000000000001E-2</v>
      </c>
      <c r="D43" s="12">
        <f t="shared" si="1"/>
        <v>5.5536999999999991E-3</v>
      </c>
      <c r="E43" s="12">
        <f t="shared" si="2"/>
        <v>2.4793303571428568E-4</v>
      </c>
      <c r="F43" s="12">
        <f>E43/Calculation!K$17*1000</f>
        <v>2.9632628961984825E-4</v>
      </c>
      <c r="G43" s="12">
        <f t="shared" si="3"/>
        <v>0.10852777986779814</v>
      </c>
    </row>
    <row r="44" spans="1:7">
      <c r="A44" s="12">
        <v>19.5</v>
      </c>
      <c r="B44" s="40">
        <v>74.61</v>
      </c>
      <c r="C44" s="12">
        <f t="shared" si="0"/>
        <v>7.4609999999999996E-2</v>
      </c>
      <c r="D44" s="12">
        <f t="shared" si="1"/>
        <v>5.2450829999999993E-3</v>
      </c>
      <c r="E44" s="12">
        <f t="shared" si="2"/>
        <v>2.3415549107142855E-4</v>
      </c>
      <c r="F44" s="12">
        <f>E44/Calculation!K$18*1000</f>
        <v>2.933676225850786E-4</v>
      </c>
      <c r="G44" s="12">
        <f t="shared" si="3"/>
        <v>0.11737318855087205</v>
      </c>
    </row>
    <row r="45" spans="1:7">
      <c r="A45" s="12">
        <v>20</v>
      </c>
      <c r="B45" s="40">
        <v>4.3899999999999997</v>
      </c>
      <c r="C45" s="12">
        <f t="shared" si="0"/>
        <v>4.3899999999999998E-3</v>
      </c>
      <c r="D45" s="12">
        <f t="shared" si="1"/>
        <v>3.0861699999999996E-4</v>
      </c>
      <c r="E45" s="12">
        <f t="shared" si="2"/>
        <v>1.3777544642857143E-5</v>
      </c>
      <c r="F45" s="12">
        <f>E45/Calculation!K$18*1000</f>
        <v>1.7261544875331658E-5</v>
      </c>
      <c r="G45" s="12">
        <f t="shared" si="3"/>
        <v>0.1220326260627782</v>
      </c>
    </row>
    <row r="46" spans="1:7">
      <c r="A46" s="12">
        <v>20.5</v>
      </c>
      <c r="B46" s="40">
        <v>76.08</v>
      </c>
      <c r="C46" s="12">
        <f t="shared" si="0"/>
        <v>7.6079999999999995E-2</v>
      </c>
      <c r="D46" s="12">
        <f t="shared" si="1"/>
        <v>5.3484239999999992E-3</v>
      </c>
      <c r="E46" s="12">
        <f t="shared" si="2"/>
        <v>2.3876892857142856E-4</v>
      </c>
      <c r="F46" s="12">
        <f>E46/Calculation!K$18*1000</f>
        <v>2.9914768430870902E-4</v>
      </c>
      <c r="G46" s="12">
        <f t="shared" si="3"/>
        <v>0.12677876450053882</v>
      </c>
    </row>
    <row r="47" spans="1:7">
      <c r="A47" s="12">
        <v>21</v>
      </c>
      <c r="B47" s="40">
        <v>4.3899999999999997</v>
      </c>
      <c r="C47" s="12">
        <f t="shared" si="0"/>
        <v>4.3899999999999998E-3</v>
      </c>
      <c r="D47" s="12">
        <f t="shared" si="1"/>
        <v>3.0861699999999996E-4</v>
      </c>
      <c r="E47" s="12">
        <f t="shared" si="2"/>
        <v>1.3777544642857143E-5</v>
      </c>
      <c r="F47" s="12">
        <f>E47/Calculation!K$18*1000</f>
        <v>1.7261544875331658E-5</v>
      </c>
      <c r="G47" s="12">
        <f t="shared" si="3"/>
        <v>0.13152490293829944</v>
      </c>
    </row>
    <row r="48" spans="1:7">
      <c r="A48" s="12">
        <v>21.5</v>
      </c>
      <c r="B48" s="40">
        <v>0</v>
      </c>
      <c r="C48" s="12">
        <f t="shared" si="0"/>
        <v>0</v>
      </c>
      <c r="D48" s="12">
        <f t="shared" si="1"/>
        <v>0</v>
      </c>
      <c r="E48" s="12">
        <f t="shared" si="2"/>
        <v>0</v>
      </c>
      <c r="F48" s="12">
        <f>E48/Calculation!K$18*1000</f>
        <v>0</v>
      </c>
      <c r="G48" s="12">
        <f t="shared" si="3"/>
        <v>0.13178382611142941</v>
      </c>
    </row>
    <row r="49" spans="1:7">
      <c r="A49" s="12">
        <v>22</v>
      </c>
      <c r="B49" s="40">
        <v>21.95</v>
      </c>
      <c r="C49" s="12">
        <f t="shared" si="0"/>
        <v>2.1950000000000001E-2</v>
      </c>
      <c r="D49" s="12">
        <f t="shared" si="1"/>
        <v>1.543085E-3</v>
      </c>
      <c r="E49" s="12">
        <f t="shared" si="2"/>
        <v>6.8887723214285719E-5</v>
      </c>
      <c r="F49" s="12">
        <f>E49/Calculation!K$18*1000</f>
        <v>8.6307724376658305E-5</v>
      </c>
      <c r="G49" s="12">
        <f t="shared" si="3"/>
        <v>0.1330784419770793</v>
      </c>
    </row>
    <row r="50" spans="1:7">
      <c r="A50" s="12">
        <v>22.5</v>
      </c>
      <c r="B50" s="40">
        <v>134.6</v>
      </c>
      <c r="C50" s="12">
        <f t="shared" si="0"/>
        <v>0.1346</v>
      </c>
      <c r="D50" s="12">
        <f t="shared" si="1"/>
        <v>9.4623799999999994E-3</v>
      </c>
      <c r="E50" s="12">
        <f t="shared" si="2"/>
        <v>4.2242767857142855E-4</v>
      </c>
      <c r="F50" s="12">
        <f>E50/Calculation!K$18*1000</f>
        <v>5.2924918911609136E-4</v>
      </c>
      <c r="G50" s="12">
        <f t="shared" si="3"/>
        <v>0.14231179567947055</v>
      </c>
    </row>
    <row r="51" spans="1:7">
      <c r="A51" s="12">
        <v>23</v>
      </c>
      <c r="B51" s="40">
        <v>30.72</v>
      </c>
      <c r="C51" s="12">
        <f t="shared" si="0"/>
        <v>3.0719999999999997E-2</v>
      </c>
      <c r="D51" s="12">
        <f t="shared" si="1"/>
        <v>2.1596159999999996E-3</v>
      </c>
      <c r="E51" s="12">
        <f t="shared" si="2"/>
        <v>9.6411428571428558E-5</v>
      </c>
      <c r="F51" s="12">
        <f>E51/Calculation!K$18*1000</f>
        <v>1.207914939795418E-4</v>
      </c>
      <c r="G51" s="12">
        <f t="shared" si="3"/>
        <v>0.15206240592590506</v>
      </c>
    </row>
    <row r="52" spans="1:7">
      <c r="A52" s="12">
        <v>23.5</v>
      </c>
      <c r="B52" s="40">
        <v>26.33</v>
      </c>
      <c r="C52" s="12">
        <f t="shared" si="0"/>
        <v>2.6329999999999999E-2</v>
      </c>
      <c r="D52" s="12">
        <f t="shared" si="1"/>
        <v>1.8509989999999999E-3</v>
      </c>
      <c r="E52" s="12">
        <f t="shared" si="2"/>
        <v>8.2633883928571431E-5</v>
      </c>
      <c r="F52" s="12">
        <f>E52/Calculation!K$18*1000</f>
        <v>1.0352994910421016E-4</v>
      </c>
      <c r="G52" s="12">
        <f t="shared" si="3"/>
        <v>0.15542722757216135</v>
      </c>
    </row>
    <row r="53" spans="1:7">
      <c r="A53" s="12">
        <v>24</v>
      </c>
      <c r="B53" s="40">
        <v>1.46</v>
      </c>
      <c r="C53" s="12">
        <f t="shared" si="0"/>
        <v>1.4599999999999999E-3</v>
      </c>
      <c r="D53" s="12">
        <f t="shared" si="1"/>
        <v>1.02638E-4</v>
      </c>
      <c r="E53" s="12">
        <f t="shared" si="2"/>
        <v>4.5820535714285715E-6</v>
      </c>
      <c r="F53" s="12">
        <f>E53/Calculation!K$19*1000</f>
        <v>6.1615289164888859E-6</v>
      </c>
      <c r="G53" s="12">
        <f t="shared" si="3"/>
        <v>0.15707259974247184</v>
      </c>
    </row>
    <row r="54" spans="1:7">
      <c r="A54" s="12">
        <v>24.5</v>
      </c>
      <c r="B54" s="40">
        <v>32.19</v>
      </c>
      <c r="C54" s="12">
        <f t="shared" si="0"/>
        <v>3.2189999999999996E-2</v>
      </c>
      <c r="D54" s="12">
        <f t="shared" si="1"/>
        <v>2.2629569999999995E-3</v>
      </c>
      <c r="E54" s="12">
        <f t="shared" si="2"/>
        <v>1.0102486607142855E-4</v>
      </c>
      <c r="F54" s="12">
        <f>E54/Calculation!K$19*1000</f>
        <v>1.3584905193272411E-4</v>
      </c>
      <c r="G54" s="12">
        <f t="shared" si="3"/>
        <v>0.15920275845521004</v>
      </c>
    </row>
    <row r="55" spans="1:7">
      <c r="A55" s="12">
        <v>25</v>
      </c>
      <c r="B55" s="40">
        <v>38.04</v>
      </c>
      <c r="C55" s="12">
        <f t="shared" si="0"/>
        <v>3.8039999999999997E-2</v>
      </c>
      <c r="D55" s="12">
        <f t="shared" si="1"/>
        <v>2.6742119999999996E-3</v>
      </c>
      <c r="E55" s="12">
        <f t="shared" si="2"/>
        <v>1.1938446428571428E-4</v>
      </c>
      <c r="F55" s="12">
        <f>E55/Calculation!K$19*1000</f>
        <v>1.6053736985153233E-4</v>
      </c>
      <c r="G55" s="12">
        <f t="shared" si="3"/>
        <v>0.16364855478197388</v>
      </c>
    </row>
    <row r="56" spans="1:7">
      <c r="A56" s="12">
        <v>25.5</v>
      </c>
      <c r="B56" s="40">
        <v>2.93</v>
      </c>
      <c r="C56" s="12">
        <f t="shared" si="0"/>
        <v>2.9300000000000003E-3</v>
      </c>
      <c r="D56" s="12">
        <f t="shared" si="1"/>
        <v>2.0597900000000001E-4</v>
      </c>
      <c r="E56" s="12">
        <f t="shared" si="2"/>
        <v>9.195491071428573E-6</v>
      </c>
      <c r="F56" s="12">
        <f>E56/Calculation!K$19*1000</f>
        <v>1.2365260085830437E-5</v>
      </c>
      <c r="G56" s="12">
        <f t="shared" si="3"/>
        <v>0.16624209423103431</v>
      </c>
    </row>
    <row r="57" spans="1:7">
      <c r="A57" s="12">
        <v>26</v>
      </c>
      <c r="B57" s="40">
        <v>35.11</v>
      </c>
      <c r="C57" s="12">
        <f t="shared" si="0"/>
        <v>3.5110000000000002E-2</v>
      </c>
      <c r="D57" s="12">
        <f t="shared" si="1"/>
        <v>2.4682329999999998E-3</v>
      </c>
      <c r="E57" s="12">
        <f t="shared" si="2"/>
        <v>1.1018897321428571E-4</v>
      </c>
      <c r="F57" s="12">
        <f>E57/Calculation!K$19*1000</f>
        <v>1.4817210976570189E-4</v>
      </c>
      <c r="G57" s="12">
        <f t="shared" si="3"/>
        <v>0.16865015477880729</v>
      </c>
    </row>
    <row r="58" spans="1:7">
      <c r="A58" s="12">
        <v>26.5</v>
      </c>
      <c r="B58" s="40">
        <v>5.85</v>
      </c>
      <c r="C58" s="12">
        <f t="shared" si="0"/>
        <v>5.8499999999999993E-3</v>
      </c>
      <c r="D58" s="12">
        <f t="shared" si="1"/>
        <v>4.1125499999999991E-4</v>
      </c>
      <c r="E58" s="12">
        <f t="shared" si="2"/>
        <v>1.8359598214285713E-5</v>
      </c>
      <c r="F58" s="12">
        <f>E58/Calculation!K$19*1000</f>
        <v>2.4688317918808204E-5</v>
      </c>
      <c r="G58" s="12">
        <f t="shared" si="3"/>
        <v>0.17124306119407495</v>
      </c>
    </row>
    <row r="59" spans="1:7">
      <c r="A59" s="12">
        <v>27</v>
      </c>
      <c r="B59" s="40">
        <v>2.93</v>
      </c>
      <c r="C59" s="12">
        <f t="shared" si="0"/>
        <v>2.9300000000000003E-3</v>
      </c>
      <c r="D59" s="12">
        <f t="shared" si="1"/>
        <v>2.0597900000000001E-4</v>
      </c>
      <c r="E59" s="12">
        <f t="shared" si="2"/>
        <v>9.195491071428573E-6</v>
      </c>
      <c r="F59" s="12">
        <f>E59/Calculation!K$19*1000</f>
        <v>1.2365260085830437E-5</v>
      </c>
      <c r="G59" s="12">
        <f t="shared" si="3"/>
        <v>0.17179886486414453</v>
      </c>
    </row>
    <row r="60" spans="1:7">
      <c r="A60" s="12">
        <v>27.5</v>
      </c>
      <c r="B60" s="40">
        <v>0</v>
      </c>
      <c r="C60" s="12">
        <f t="shared" si="0"/>
        <v>0</v>
      </c>
      <c r="D60" s="12">
        <f t="shared" si="1"/>
        <v>0</v>
      </c>
      <c r="E60" s="12">
        <f t="shared" si="2"/>
        <v>0</v>
      </c>
      <c r="F60" s="12">
        <f>E60/Calculation!K$19*1000</f>
        <v>0</v>
      </c>
      <c r="G60" s="12">
        <f t="shared" si="3"/>
        <v>0.17198434376543198</v>
      </c>
    </row>
    <row r="61" spans="1:7">
      <c r="A61" s="12">
        <v>28</v>
      </c>
      <c r="B61" s="40">
        <v>5.85</v>
      </c>
      <c r="C61" s="12">
        <f t="shared" si="0"/>
        <v>5.8499999999999993E-3</v>
      </c>
      <c r="D61" s="12">
        <f t="shared" si="1"/>
        <v>4.1125499999999991E-4</v>
      </c>
      <c r="E61" s="12">
        <f t="shared" si="2"/>
        <v>1.8359598214285713E-5</v>
      </c>
      <c r="F61" s="12">
        <f>E61/Calculation!K$19*1000</f>
        <v>2.4688317918808204E-5</v>
      </c>
      <c r="G61" s="12">
        <f t="shared" si="3"/>
        <v>0.17235466853421411</v>
      </c>
    </row>
    <row r="62" spans="1:7">
      <c r="A62" s="12">
        <v>28.5</v>
      </c>
      <c r="B62" s="40">
        <v>0</v>
      </c>
      <c r="C62" s="12">
        <f t="shared" si="0"/>
        <v>0</v>
      </c>
      <c r="D62" s="12">
        <f t="shared" si="1"/>
        <v>0</v>
      </c>
      <c r="E62" s="12">
        <f t="shared" si="2"/>
        <v>0</v>
      </c>
      <c r="F62" s="12">
        <f>E62/Calculation!K$19*1000</f>
        <v>0</v>
      </c>
      <c r="G62" s="12">
        <f t="shared" si="3"/>
        <v>0.17272499330299623</v>
      </c>
    </row>
    <row r="63" spans="1:7">
      <c r="A63" s="12">
        <v>29</v>
      </c>
      <c r="B63" s="40">
        <v>0</v>
      </c>
      <c r="C63" s="12">
        <f t="shared" si="0"/>
        <v>0</v>
      </c>
      <c r="D63" s="12">
        <f t="shared" si="1"/>
        <v>0</v>
      </c>
      <c r="E63" s="12">
        <f t="shared" si="2"/>
        <v>0</v>
      </c>
      <c r="F63" s="12">
        <f>E63/Calculation!K$19*1000</f>
        <v>0</v>
      </c>
      <c r="G63" s="12">
        <f t="shared" si="3"/>
        <v>0.17272499330299623</v>
      </c>
    </row>
    <row r="64" spans="1:7">
      <c r="A64" s="12">
        <v>29.5</v>
      </c>
      <c r="B64" s="40">
        <v>35.11</v>
      </c>
      <c r="C64" s="12">
        <f t="shared" si="0"/>
        <v>3.5110000000000002E-2</v>
      </c>
      <c r="D64" s="12">
        <f t="shared" si="1"/>
        <v>2.4682329999999998E-3</v>
      </c>
      <c r="E64" s="12">
        <f t="shared" si="2"/>
        <v>1.1018897321428571E-4</v>
      </c>
      <c r="F64" s="12">
        <f>E64/Calculation!K$19*1000</f>
        <v>1.4817210976570189E-4</v>
      </c>
      <c r="G64" s="12">
        <f t="shared" si="3"/>
        <v>0.17494757494948177</v>
      </c>
    </row>
    <row r="65" spans="1:7">
      <c r="A65" s="12">
        <v>30</v>
      </c>
      <c r="B65" s="40">
        <v>46.82</v>
      </c>
      <c r="C65" s="12">
        <f t="shared" si="0"/>
        <v>4.6820000000000001E-2</v>
      </c>
      <c r="D65" s="12">
        <f t="shared" si="1"/>
        <v>3.291446E-3</v>
      </c>
      <c r="E65" s="12">
        <f t="shared" si="2"/>
        <v>1.4693955357142859E-4</v>
      </c>
      <c r="F65" s="12">
        <f>E65/Calculation!K$4*1000</f>
        <v>9.9485141212883265E-5</v>
      </c>
      <c r="G65" s="12">
        <f t="shared" si="3"/>
        <v>0.17866243371416055</v>
      </c>
    </row>
    <row r="66" spans="1:7">
      <c r="A66" s="12">
        <v>30.5</v>
      </c>
      <c r="B66" s="40">
        <v>52.67</v>
      </c>
      <c r="C66" s="12">
        <f t="shared" si="0"/>
        <v>5.2670000000000002E-2</v>
      </c>
      <c r="D66" s="12">
        <f t="shared" si="1"/>
        <v>3.7027010000000001E-3</v>
      </c>
      <c r="E66" s="12">
        <f t="shared" si="2"/>
        <v>1.652991517857143E-4</v>
      </c>
      <c r="F66" s="12">
        <f>E66/Calculation!K$20*1000</f>
        <v>2.3715988607790671E-4</v>
      </c>
      <c r="G66" s="12">
        <f t="shared" si="3"/>
        <v>0.1837121091235224</v>
      </c>
    </row>
    <row r="67" spans="1:7">
      <c r="A67" s="12">
        <v>31</v>
      </c>
      <c r="B67" s="40">
        <v>2.93</v>
      </c>
      <c r="C67" s="12">
        <f t="shared" si="0"/>
        <v>2.9300000000000003E-3</v>
      </c>
      <c r="D67" s="12">
        <f t="shared" si="1"/>
        <v>2.0597900000000001E-4</v>
      </c>
      <c r="E67" s="12">
        <f t="shared" si="2"/>
        <v>9.195491071428573E-6</v>
      </c>
      <c r="F67" s="12">
        <f>E67/Calculation!K$20*1000</f>
        <v>1.3193059924212391E-5</v>
      </c>
      <c r="G67" s="12">
        <f t="shared" si="3"/>
        <v>0.18746740331355419</v>
      </c>
    </row>
    <row r="68" spans="1:7">
      <c r="A68" s="12">
        <v>31.5</v>
      </c>
      <c r="B68" s="40">
        <v>68.760000000000005</v>
      </c>
      <c r="C68" s="12">
        <f t="shared" si="0"/>
        <v>6.8760000000000002E-2</v>
      </c>
      <c r="D68" s="12">
        <f t="shared" si="1"/>
        <v>4.8338280000000001E-3</v>
      </c>
      <c r="E68" s="12">
        <f t="shared" si="2"/>
        <v>2.1579589285714286E-4</v>
      </c>
      <c r="F68" s="12">
        <f>E68/Calculation!K$20*1000</f>
        <v>3.0960914689039039E-4</v>
      </c>
      <c r="G68" s="12">
        <f t="shared" si="3"/>
        <v>0.19230943641577322</v>
      </c>
    </row>
    <row r="69" spans="1:7">
      <c r="A69" s="12">
        <v>32</v>
      </c>
      <c r="B69" s="40">
        <v>39.5</v>
      </c>
      <c r="C69" s="12">
        <f t="shared" si="0"/>
        <v>3.95E-2</v>
      </c>
      <c r="D69" s="12">
        <f t="shared" si="1"/>
        <v>2.7768499999999995E-3</v>
      </c>
      <c r="E69" s="12">
        <f t="shared" si="2"/>
        <v>1.2396651785714284E-4</v>
      </c>
      <c r="F69" s="12">
        <f>E69/Calculation!K$20*1000</f>
        <v>1.7785865768136155E-4</v>
      </c>
      <c r="G69" s="12">
        <f t="shared" si="3"/>
        <v>0.19962145348434951</v>
      </c>
    </row>
    <row r="70" spans="1:7">
      <c r="A70" s="12">
        <v>32.5</v>
      </c>
      <c r="B70" s="40">
        <v>4.3899999999999997</v>
      </c>
      <c r="C70" s="12">
        <f t="shared" ref="C70:C101" si="4">B70/1000</f>
        <v>4.3899999999999998E-3</v>
      </c>
      <c r="D70" s="12">
        <f t="shared" ref="D70:D101" si="5">C70/1000*$B$1</f>
        <v>3.0861699999999996E-4</v>
      </c>
      <c r="E70" s="12">
        <f t="shared" ref="E70:E101" si="6">D70/22.4</f>
        <v>1.3777544642857143E-5</v>
      </c>
      <c r="F70" s="12">
        <f>E70/Calculation!K$20*1000</f>
        <v>1.9767076132181704E-5</v>
      </c>
      <c r="G70" s="12">
        <f t="shared" si="3"/>
        <v>0.20258583949155265</v>
      </c>
    </row>
    <row r="71" spans="1:7">
      <c r="A71" s="12">
        <v>33</v>
      </c>
      <c r="B71" s="40">
        <v>8.7799999999999994</v>
      </c>
      <c r="C71" s="12">
        <f t="shared" si="4"/>
        <v>8.7799999999999996E-3</v>
      </c>
      <c r="D71" s="12">
        <f t="shared" si="5"/>
        <v>6.1723399999999993E-4</v>
      </c>
      <c r="E71" s="12">
        <f t="shared" si="6"/>
        <v>2.7555089285714286E-5</v>
      </c>
      <c r="F71" s="12">
        <f>E71/Calculation!K$20*1000</f>
        <v>3.9534152264363408E-5</v>
      </c>
      <c r="G71" s="12">
        <f t="shared" ref="G71:G101" si="7">G70+(F71+F70)/2*30</f>
        <v>0.20347535791750082</v>
      </c>
    </row>
    <row r="72" spans="1:7">
      <c r="A72" s="12">
        <v>33.5</v>
      </c>
      <c r="B72" s="40">
        <v>24.87</v>
      </c>
      <c r="C72" s="12">
        <f t="shared" si="4"/>
        <v>2.487E-2</v>
      </c>
      <c r="D72" s="12">
        <f t="shared" si="5"/>
        <v>1.7483609999999999E-3</v>
      </c>
      <c r="E72" s="12">
        <f t="shared" si="6"/>
        <v>7.8051830357142856E-5</v>
      </c>
      <c r="F72" s="12">
        <f>E72/Calculation!K$20*1000</f>
        <v>1.1198341307684714E-4</v>
      </c>
      <c r="G72" s="12">
        <f t="shared" si="7"/>
        <v>0.20574812139761897</v>
      </c>
    </row>
    <row r="73" spans="1:7">
      <c r="A73" s="12">
        <v>34</v>
      </c>
      <c r="B73" s="40">
        <v>0</v>
      </c>
      <c r="C73" s="12">
        <f t="shared" si="4"/>
        <v>0</v>
      </c>
      <c r="D73" s="12">
        <f t="shared" si="5"/>
        <v>0</v>
      </c>
      <c r="E73" s="12">
        <f t="shared" si="6"/>
        <v>0</v>
      </c>
      <c r="F73" s="12">
        <f>E73/Calculation!K$20*1000</f>
        <v>0</v>
      </c>
      <c r="G73" s="12">
        <f t="shared" si="7"/>
        <v>0.20742787259377168</v>
      </c>
    </row>
    <row r="74" spans="1:7">
      <c r="A74" s="12">
        <v>34.5</v>
      </c>
      <c r="B74" s="40">
        <v>0</v>
      </c>
      <c r="C74" s="12">
        <f t="shared" si="4"/>
        <v>0</v>
      </c>
      <c r="D74" s="12">
        <f t="shared" si="5"/>
        <v>0</v>
      </c>
      <c r="E74" s="12">
        <f t="shared" si="6"/>
        <v>0</v>
      </c>
      <c r="F74" s="12">
        <f>E74/Calculation!K$20*1000</f>
        <v>0</v>
      </c>
      <c r="G74" s="12">
        <f t="shared" si="7"/>
        <v>0.20742787259377168</v>
      </c>
    </row>
    <row r="75" spans="1:7">
      <c r="A75" s="12">
        <v>35</v>
      </c>
      <c r="B75" s="40">
        <v>96.56</v>
      </c>
      <c r="C75" s="12">
        <f t="shared" si="4"/>
        <v>9.6560000000000007E-2</v>
      </c>
      <c r="D75" s="12">
        <f t="shared" si="5"/>
        <v>6.7881680000000007E-3</v>
      </c>
      <c r="E75" s="12">
        <f t="shared" si="6"/>
        <v>3.0304321428571435E-4</v>
      </c>
      <c r="F75" s="12">
        <f>E75/Calculation!K$20*1000</f>
        <v>4.3478561989145E-4</v>
      </c>
      <c r="G75" s="12">
        <f t="shared" si="7"/>
        <v>0.21394965689214343</v>
      </c>
    </row>
    <row r="76" spans="1:7">
      <c r="A76" s="12">
        <v>35.5</v>
      </c>
      <c r="B76" s="40">
        <v>1.46</v>
      </c>
      <c r="C76" s="12">
        <f t="shared" si="4"/>
        <v>1.4599999999999999E-3</v>
      </c>
      <c r="D76" s="12">
        <f t="shared" si="5"/>
        <v>1.02638E-4</v>
      </c>
      <c r="E76" s="12">
        <f t="shared" si="6"/>
        <v>4.5820535714285715E-6</v>
      </c>
      <c r="F76" s="12">
        <f>E76/Calculation!K$20*1000</f>
        <v>6.5740162079693133E-6</v>
      </c>
      <c r="G76" s="12">
        <f t="shared" si="7"/>
        <v>0.22057005143363473</v>
      </c>
    </row>
    <row r="77" spans="1:7">
      <c r="A77" s="12">
        <v>36</v>
      </c>
      <c r="B77" s="40">
        <v>19.02</v>
      </c>
      <c r="C77" s="12">
        <f t="shared" si="4"/>
        <v>1.9019999999999999E-2</v>
      </c>
      <c r="D77" s="12">
        <f t="shared" si="5"/>
        <v>1.3371059999999998E-3</v>
      </c>
      <c r="E77" s="12">
        <f t="shared" si="6"/>
        <v>5.969223214285714E-5</v>
      </c>
      <c r="F77" s="12">
        <f>E77/Calculation!K$20*1000</f>
        <v>8.5642320736696118E-5</v>
      </c>
      <c r="G77" s="12">
        <f t="shared" si="7"/>
        <v>0.22195329648780471</v>
      </c>
    </row>
    <row r="78" spans="1:7">
      <c r="A78" s="12">
        <v>36.5</v>
      </c>
      <c r="B78" s="40">
        <v>5.85</v>
      </c>
      <c r="C78" s="12">
        <f t="shared" si="4"/>
        <v>5.8499999999999993E-3</v>
      </c>
      <c r="D78" s="12">
        <f t="shared" si="5"/>
        <v>4.1125499999999991E-4</v>
      </c>
      <c r="E78" s="12">
        <f t="shared" si="6"/>
        <v>1.8359598214285713E-5</v>
      </c>
      <c r="F78" s="12">
        <f>E78/Calculation!K$20*1000</f>
        <v>2.6341092340151016E-5</v>
      </c>
      <c r="G78" s="12">
        <f t="shared" si="7"/>
        <v>0.22363304768395742</v>
      </c>
    </row>
    <row r="79" spans="1:7">
      <c r="A79" s="12">
        <v>37</v>
      </c>
      <c r="B79" s="40">
        <v>86.32</v>
      </c>
      <c r="C79" s="12">
        <f t="shared" si="4"/>
        <v>8.6319999999999994E-2</v>
      </c>
      <c r="D79" s="12">
        <f t="shared" si="5"/>
        <v>6.0682959999999999E-3</v>
      </c>
      <c r="E79" s="12">
        <f t="shared" si="6"/>
        <v>2.7090607142857146E-4</v>
      </c>
      <c r="F79" s="12">
        <f>E79/Calculation!K$20*1000</f>
        <v>3.8867745141911729E-4</v>
      </c>
      <c r="G79" s="12">
        <f t="shared" si="7"/>
        <v>0.22985832584034643</v>
      </c>
    </row>
    <row r="80" spans="1:7">
      <c r="A80" s="12">
        <v>37.5</v>
      </c>
      <c r="B80" s="40">
        <v>2.93</v>
      </c>
      <c r="C80" s="12">
        <f t="shared" si="4"/>
        <v>2.9300000000000003E-3</v>
      </c>
      <c r="D80" s="12">
        <f t="shared" si="5"/>
        <v>2.0597900000000001E-4</v>
      </c>
      <c r="E80" s="12">
        <f t="shared" si="6"/>
        <v>9.195491071428573E-6</v>
      </c>
      <c r="F80" s="12">
        <f>E80/Calculation!K$20*1000</f>
        <v>1.3193059924212391E-5</v>
      </c>
      <c r="G80" s="12">
        <f t="shared" si="7"/>
        <v>0.23588638351049637</v>
      </c>
    </row>
    <row r="81" spans="1:7">
      <c r="A81" s="12">
        <v>38</v>
      </c>
      <c r="B81" s="40">
        <v>35.11</v>
      </c>
      <c r="C81" s="12">
        <f t="shared" si="4"/>
        <v>3.5110000000000002E-2</v>
      </c>
      <c r="D81" s="12">
        <f t="shared" si="5"/>
        <v>2.4682329999999998E-3</v>
      </c>
      <c r="E81" s="12">
        <f t="shared" si="6"/>
        <v>1.1018897321428571E-4</v>
      </c>
      <c r="F81" s="12">
        <f>E81/Calculation!K$20*1000</f>
        <v>1.5809158154917984E-4</v>
      </c>
      <c r="G81" s="12">
        <f t="shared" si="7"/>
        <v>0.23845565313259726</v>
      </c>
    </row>
    <row r="82" spans="1:7">
      <c r="A82" s="12">
        <v>38.5</v>
      </c>
      <c r="B82" s="40">
        <v>14.63</v>
      </c>
      <c r="C82" s="12">
        <f t="shared" si="4"/>
        <v>1.4630000000000001E-2</v>
      </c>
      <c r="D82" s="12">
        <f t="shared" si="5"/>
        <v>1.0284890000000001E-3</v>
      </c>
      <c r="E82" s="12">
        <f t="shared" si="6"/>
        <v>4.5914687500000005E-5</v>
      </c>
      <c r="F82" s="12">
        <f>E82/Calculation!K$20*1000</f>
        <v>6.5875244604514434E-5</v>
      </c>
      <c r="G82" s="12">
        <f t="shared" si="7"/>
        <v>0.24181515552490268</v>
      </c>
    </row>
    <row r="83" spans="1:7">
      <c r="A83" s="12">
        <v>39</v>
      </c>
      <c r="B83" s="40">
        <v>0</v>
      </c>
      <c r="C83" s="12">
        <f t="shared" si="4"/>
        <v>0</v>
      </c>
      <c r="D83" s="12">
        <f t="shared" si="5"/>
        <v>0</v>
      </c>
      <c r="E83" s="12">
        <f t="shared" si="6"/>
        <v>0</v>
      </c>
      <c r="F83" s="12">
        <f>E83/Calculation!K$20*1000</f>
        <v>0</v>
      </c>
      <c r="G83" s="12">
        <f t="shared" si="7"/>
        <v>0.2428032841939704</v>
      </c>
    </row>
    <row r="84" spans="1:7">
      <c r="A84" s="12">
        <v>39.5</v>
      </c>
      <c r="B84" s="40">
        <v>121.43</v>
      </c>
      <c r="C84" s="12">
        <f t="shared" si="4"/>
        <v>0.12143000000000001</v>
      </c>
      <c r="D84" s="12">
        <f t="shared" si="5"/>
        <v>8.536529000000001E-3</v>
      </c>
      <c r="E84" s="12">
        <f t="shared" si="6"/>
        <v>3.810950446428572E-4</v>
      </c>
      <c r="F84" s="12">
        <f>E84/Calculation!K$20*1000</f>
        <v>5.4676903296829716E-4</v>
      </c>
      <c r="G84" s="12">
        <f t="shared" si="7"/>
        <v>0.25100481968849486</v>
      </c>
    </row>
    <row r="85" spans="1:7">
      <c r="A85" s="12">
        <v>40</v>
      </c>
      <c r="B85" s="40">
        <v>23.41</v>
      </c>
      <c r="C85" s="12">
        <f t="shared" si="4"/>
        <v>2.341E-2</v>
      </c>
      <c r="D85" s="12">
        <f t="shared" si="5"/>
        <v>1.645723E-3</v>
      </c>
      <c r="E85" s="12">
        <f t="shared" si="6"/>
        <v>7.3469776785714294E-5</v>
      </c>
      <c r="F85" s="12">
        <f>E85/Calculation!K$20*1000</f>
        <v>1.0540939686887784E-4</v>
      </c>
      <c r="G85" s="12">
        <f t="shared" si="7"/>
        <v>0.26078749613605251</v>
      </c>
    </row>
    <row r="86" spans="1:7">
      <c r="A86" s="12">
        <v>40.5</v>
      </c>
      <c r="B86" s="40">
        <v>79</v>
      </c>
      <c r="C86" s="12">
        <f t="shared" si="4"/>
        <v>7.9000000000000001E-2</v>
      </c>
      <c r="D86" s="12">
        <f t="shared" si="5"/>
        <v>5.5536999999999991E-3</v>
      </c>
      <c r="E86" s="12">
        <f t="shared" si="6"/>
        <v>2.4793303571428568E-4</v>
      </c>
      <c r="F86" s="12">
        <f>E86/Calculation!K$20*1000</f>
        <v>3.557173153627231E-4</v>
      </c>
      <c r="G86" s="12">
        <f t="shared" si="7"/>
        <v>0.26770439681952651</v>
      </c>
    </row>
    <row r="87" spans="1:7">
      <c r="A87" s="12">
        <v>41</v>
      </c>
      <c r="B87" s="40">
        <v>0</v>
      </c>
      <c r="C87" s="12">
        <f t="shared" si="4"/>
        <v>0</v>
      </c>
      <c r="D87" s="12">
        <f t="shared" si="5"/>
        <v>0</v>
      </c>
      <c r="E87" s="12">
        <f t="shared" si="6"/>
        <v>0</v>
      </c>
      <c r="F87" s="12">
        <f>E87/Calculation!K$20*1000</f>
        <v>0</v>
      </c>
      <c r="G87" s="12">
        <f t="shared" si="7"/>
        <v>0.27304015654996738</v>
      </c>
    </row>
    <row r="88" spans="1:7">
      <c r="A88" s="12">
        <v>41.5</v>
      </c>
      <c r="B88" s="40">
        <v>7.32</v>
      </c>
      <c r="C88" s="12">
        <f t="shared" si="4"/>
        <v>7.3200000000000001E-3</v>
      </c>
      <c r="D88" s="12">
        <f t="shared" si="5"/>
        <v>5.1459599999999998E-4</v>
      </c>
      <c r="E88" s="12">
        <f t="shared" si="6"/>
        <v>2.2973035714285714E-5</v>
      </c>
      <c r="F88" s="12">
        <f>E88/Calculation!K$20*1000</f>
        <v>3.2960136056394093E-5</v>
      </c>
      <c r="G88" s="12">
        <f t="shared" si="7"/>
        <v>0.27353455859081327</v>
      </c>
    </row>
    <row r="89" spans="1:7">
      <c r="A89" s="12">
        <v>42</v>
      </c>
      <c r="B89" s="40">
        <v>1.46</v>
      </c>
      <c r="C89" s="12">
        <f t="shared" si="4"/>
        <v>1.4599999999999999E-3</v>
      </c>
      <c r="D89" s="12">
        <f t="shared" si="5"/>
        <v>1.02638E-4</v>
      </c>
      <c r="E89" s="12">
        <f t="shared" si="6"/>
        <v>4.5820535714285715E-6</v>
      </c>
      <c r="F89" s="12">
        <f>E89/Calculation!K$20*1000</f>
        <v>6.5740162079693133E-6</v>
      </c>
      <c r="G89" s="12">
        <f t="shared" si="7"/>
        <v>0.27412757087477874</v>
      </c>
    </row>
    <row r="90" spans="1:7">
      <c r="A90" s="12">
        <v>42.5</v>
      </c>
      <c r="B90" s="40">
        <v>1.46</v>
      </c>
      <c r="C90" s="12">
        <f t="shared" si="4"/>
        <v>1.4599999999999999E-3</v>
      </c>
      <c r="D90" s="12">
        <f t="shared" si="5"/>
        <v>1.02638E-4</v>
      </c>
      <c r="E90" s="12">
        <f t="shared" si="6"/>
        <v>4.5820535714285715E-6</v>
      </c>
      <c r="F90" s="12">
        <f>E90/Calculation!K$20*1000</f>
        <v>6.5740162079693133E-6</v>
      </c>
      <c r="G90" s="12">
        <f t="shared" si="7"/>
        <v>0.27432479136101784</v>
      </c>
    </row>
    <row r="91" spans="1:7">
      <c r="A91" s="12">
        <v>43</v>
      </c>
      <c r="B91" s="40">
        <v>7.32</v>
      </c>
      <c r="C91" s="12">
        <f t="shared" si="4"/>
        <v>7.3200000000000001E-3</v>
      </c>
      <c r="D91" s="12">
        <f t="shared" si="5"/>
        <v>5.1459599999999998E-4</v>
      </c>
      <c r="E91" s="12">
        <f t="shared" si="6"/>
        <v>2.2973035714285714E-5</v>
      </c>
      <c r="F91" s="12">
        <f>E91/Calculation!K$20*1000</f>
        <v>3.2960136056394093E-5</v>
      </c>
      <c r="G91" s="12">
        <f t="shared" si="7"/>
        <v>0.27491780364498331</v>
      </c>
    </row>
    <row r="92" spans="1:7">
      <c r="A92" s="12">
        <v>43.5</v>
      </c>
      <c r="B92" s="40">
        <v>1.46</v>
      </c>
      <c r="C92" s="12">
        <f t="shared" si="4"/>
        <v>1.4599999999999999E-3</v>
      </c>
      <c r="D92" s="12">
        <f t="shared" si="5"/>
        <v>1.02638E-4</v>
      </c>
      <c r="E92" s="12">
        <f t="shared" si="6"/>
        <v>4.5820535714285715E-6</v>
      </c>
      <c r="F92" s="12">
        <f>E92/Calculation!K$20*1000</f>
        <v>6.5740162079693133E-6</v>
      </c>
      <c r="G92" s="12">
        <f t="shared" si="7"/>
        <v>0.27551081592894877</v>
      </c>
    </row>
    <row r="93" spans="1:7">
      <c r="A93" s="12">
        <v>44</v>
      </c>
      <c r="B93" s="40">
        <v>90.71</v>
      </c>
      <c r="C93" s="12">
        <f t="shared" si="4"/>
        <v>9.0709999999999999E-2</v>
      </c>
      <c r="D93" s="12">
        <f t="shared" si="5"/>
        <v>6.3769129999999997E-3</v>
      </c>
      <c r="E93" s="12">
        <f t="shared" si="6"/>
        <v>2.8468361607142856E-4</v>
      </c>
      <c r="F93" s="12">
        <f>E93/Calculation!K$20*1000</f>
        <v>4.0844452755129892E-4</v>
      </c>
      <c r="G93" s="12">
        <f t="shared" si="7"/>
        <v>0.28173609408533778</v>
      </c>
    </row>
    <row r="94" spans="1:7">
      <c r="A94" s="12">
        <v>44.5</v>
      </c>
      <c r="B94" s="40">
        <v>0</v>
      </c>
      <c r="C94" s="12">
        <f t="shared" si="4"/>
        <v>0</v>
      </c>
      <c r="D94" s="12">
        <f t="shared" si="5"/>
        <v>0</v>
      </c>
      <c r="E94" s="12">
        <f t="shared" si="6"/>
        <v>0</v>
      </c>
      <c r="F94" s="12">
        <f>E94/Calculation!K$20*1000</f>
        <v>0</v>
      </c>
      <c r="G94" s="12">
        <f t="shared" si="7"/>
        <v>0.28786276199860727</v>
      </c>
    </row>
    <row r="95" spans="1:7">
      <c r="A95" s="12">
        <v>45</v>
      </c>
      <c r="B95" s="40">
        <v>2.93</v>
      </c>
      <c r="C95" s="12">
        <f t="shared" si="4"/>
        <v>2.9300000000000003E-3</v>
      </c>
      <c r="D95" s="12">
        <f t="shared" si="5"/>
        <v>2.0597900000000001E-4</v>
      </c>
      <c r="E95" s="12">
        <f t="shared" si="6"/>
        <v>9.195491071428573E-6</v>
      </c>
      <c r="F95" s="12">
        <f>E95/Calculation!K$20*1000</f>
        <v>1.3193059924212391E-5</v>
      </c>
      <c r="G95" s="12">
        <f t="shared" si="7"/>
        <v>0.28806065789747048</v>
      </c>
    </row>
    <row r="96" spans="1:7">
      <c r="A96" s="12">
        <v>45.5</v>
      </c>
      <c r="B96" s="40">
        <v>23.41</v>
      </c>
      <c r="C96" s="12">
        <f t="shared" si="4"/>
        <v>2.341E-2</v>
      </c>
      <c r="D96" s="12">
        <f t="shared" si="5"/>
        <v>1.645723E-3</v>
      </c>
      <c r="E96" s="12">
        <f t="shared" si="6"/>
        <v>7.3469776785714294E-5</v>
      </c>
      <c r="F96" s="12">
        <f>E96/Calculation!K$20*1000</f>
        <v>1.0540939686887784E-4</v>
      </c>
      <c r="G96" s="12">
        <f t="shared" si="7"/>
        <v>0.28983969474936683</v>
      </c>
    </row>
    <row r="97" spans="1:7">
      <c r="A97" s="12">
        <v>46</v>
      </c>
      <c r="B97" s="40">
        <v>4.3899999999999997</v>
      </c>
      <c r="C97" s="12">
        <f t="shared" si="4"/>
        <v>4.3899999999999998E-3</v>
      </c>
      <c r="D97" s="12">
        <f t="shared" si="5"/>
        <v>3.0861699999999996E-4</v>
      </c>
      <c r="E97" s="12">
        <f t="shared" si="6"/>
        <v>1.3777544642857143E-5</v>
      </c>
      <c r="F97" s="12">
        <f>E97/Calculation!K$20*1000</f>
        <v>1.9767076132181704E-5</v>
      </c>
      <c r="G97" s="12">
        <f t="shared" si="7"/>
        <v>0.29171734184438269</v>
      </c>
    </row>
    <row r="98" spans="1:7">
      <c r="A98" s="12">
        <v>46.5</v>
      </c>
      <c r="B98" s="40">
        <v>1.46</v>
      </c>
      <c r="C98" s="12">
        <f t="shared" si="4"/>
        <v>1.4599999999999999E-3</v>
      </c>
      <c r="D98" s="12">
        <f t="shared" si="5"/>
        <v>1.02638E-4</v>
      </c>
      <c r="E98" s="12">
        <f t="shared" si="6"/>
        <v>4.5820535714285715E-6</v>
      </c>
      <c r="F98" s="12">
        <f>E98/Calculation!K$20*1000</f>
        <v>6.5740162079693133E-6</v>
      </c>
      <c r="G98" s="12">
        <f t="shared" si="7"/>
        <v>0.29211245822948495</v>
      </c>
    </row>
    <row r="99" spans="1:7">
      <c r="A99" s="12">
        <v>47</v>
      </c>
      <c r="B99" s="40">
        <v>4.3899999999999997</v>
      </c>
      <c r="C99" s="12">
        <f t="shared" si="4"/>
        <v>4.3899999999999998E-3</v>
      </c>
      <c r="D99" s="12">
        <f t="shared" si="5"/>
        <v>3.0861699999999996E-4</v>
      </c>
      <c r="E99" s="12">
        <f t="shared" si="6"/>
        <v>1.3777544642857143E-5</v>
      </c>
      <c r="F99" s="12">
        <f>E99/Calculation!K$20*1000</f>
        <v>1.9767076132181704E-5</v>
      </c>
      <c r="G99" s="12">
        <f t="shared" si="7"/>
        <v>0.29250757461458721</v>
      </c>
    </row>
    <row r="100" spans="1:7">
      <c r="A100" s="12">
        <v>47.5</v>
      </c>
      <c r="B100" s="40">
        <v>2.93</v>
      </c>
      <c r="C100" s="12">
        <f t="shared" si="4"/>
        <v>2.9300000000000003E-3</v>
      </c>
      <c r="D100" s="12">
        <f t="shared" si="5"/>
        <v>2.0597900000000001E-4</v>
      </c>
      <c r="E100" s="12">
        <f t="shared" si="6"/>
        <v>9.195491071428573E-6</v>
      </c>
      <c r="F100" s="12">
        <f>E100/Calculation!K$20*1000</f>
        <v>1.3193059924212391E-5</v>
      </c>
      <c r="G100" s="12">
        <f t="shared" si="7"/>
        <v>0.29300197665543309</v>
      </c>
    </row>
    <row r="101" spans="1:7">
      <c r="A101" s="12">
        <v>48</v>
      </c>
      <c r="B101" s="40">
        <v>1.46</v>
      </c>
      <c r="C101" s="12">
        <f t="shared" si="4"/>
        <v>1.4599999999999999E-3</v>
      </c>
      <c r="D101" s="12">
        <f t="shared" si="5"/>
        <v>1.02638E-4</v>
      </c>
      <c r="E101" s="12">
        <f t="shared" si="6"/>
        <v>4.5820535714285715E-6</v>
      </c>
      <c r="F101" s="12">
        <f>E101/Calculation!K$21*1000</f>
        <v>7.0987494293885501E-6</v>
      </c>
      <c r="G101" s="12">
        <f t="shared" si="7"/>
        <v>0.29330635379573711</v>
      </c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Fermentation</vt:lpstr>
      <vt:lpstr>Calculation</vt:lpstr>
      <vt:lpstr>Plate Count</vt:lpstr>
      <vt:lpstr>Flow cytometer</vt:lpstr>
      <vt:lpstr>Calibration F. prausnitzii</vt:lpstr>
      <vt:lpstr>Determination cell count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2016-04-13T16:18:04Z</dcterms:modified>
</cp:coreProperties>
</file>