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240" windowWidth="25280" windowHeight="15780" tabRatio="930" firstSheet="7" activeTab="18"/>
  </bookViews>
  <sheets>
    <sheet name="Fermentation" sheetId="1" r:id="rId1"/>
    <sheet name="Calculation" sheetId="2" r:id="rId2"/>
    <sheet name="Plate Count" sheetId="3" r:id="rId3"/>
    <sheet name="Flow cytometer" sheetId="22" r:id="rId4"/>
    <sheet name="Calibration F. prausnitzii" sheetId="27" r:id="rId5"/>
    <sheet name="Determination cell count" sheetId="26" r:id="rId6"/>
    <sheet name="OD600nm" sheetId="4" r:id="rId7"/>
    <sheet name="CDM" sheetId="5" r:id="rId8"/>
    <sheet name="H2" sheetId="17" r:id="rId9"/>
    <sheet name="CO2" sheetId="7" r:id="rId10"/>
    <sheet name="Metabolites" sheetId="8" r:id="rId11"/>
    <sheet name="D-Fructose" sheetId="19" r:id="rId12"/>
    <sheet name="Formic acid" sheetId="18" r:id="rId13"/>
    <sheet name="Acetic acid" sheetId="15" r:id="rId14"/>
    <sheet name="Propionic acid" sheetId="20" r:id="rId15"/>
    <sheet name="Butyric acid" sheetId="21" r:id="rId16"/>
    <sheet name="Lactic acid" sheetId="14" r:id="rId17"/>
    <sheet name="Ethanol" sheetId="16" r:id="rId18"/>
    <sheet name="Graph" sheetId="13" r:id="rId19"/>
    <sheet name="Graph (2)" sheetId="24" r:id="rId20"/>
    <sheet name="Carbon recovery" sheetId="23" r:id="rId21"/>
  </sheets>
  <definedNames>
    <definedName name="_2012_05_10_FPRAU_fruc1" localSheetId="9">'CO2'!$I$5:$I$293</definedName>
    <definedName name="_2012_06_08_BIF_REC_OLI_1" localSheetId="9">'CO2'!$N$5:$N$201</definedName>
    <definedName name="_2012_06_08_BIF_REC_OLI_1" localSheetId="8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5" i="26" l="1"/>
  <c r="H72" i="26"/>
  <c r="H71" i="26"/>
  <c r="H70" i="26"/>
  <c r="H69" i="26"/>
  <c r="H68" i="26"/>
  <c r="H67" i="26"/>
  <c r="H66" i="26"/>
  <c r="H65" i="26"/>
  <c r="H64" i="26"/>
  <c r="H5" i="26"/>
  <c r="I5" i="26"/>
  <c r="J5" i="26"/>
  <c r="H6" i="26"/>
  <c r="I6" i="26"/>
  <c r="J6" i="26"/>
  <c r="H7" i="26"/>
  <c r="I7" i="26"/>
  <c r="J7" i="26"/>
  <c r="H8" i="26"/>
  <c r="I8" i="26"/>
  <c r="J8" i="26"/>
  <c r="H9" i="26"/>
  <c r="I9" i="26"/>
  <c r="J9" i="26"/>
  <c r="H10" i="26"/>
  <c r="I10" i="26"/>
  <c r="J10" i="26"/>
  <c r="H11" i="26"/>
  <c r="I11" i="26"/>
  <c r="J11" i="26"/>
  <c r="H12" i="26"/>
  <c r="I12" i="26"/>
  <c r="J12" i="26"/>
  <c r="H13" i="26"/>
  <c r="I13" i="26"/>
  <c r="J13" i="26"/>
  <c r="H14" i="26"/>
  <c r="I14" i="26"/>
  <c r="J14" i="26"/>
  <c r="H15" i="26"/>
  <c r="I15" i="26"/>
  <c r="J15" i="26"/>
  <c r="H16" i="26"/>
  <c r="I16" i="26"/>
  <c r="J16" i="26"/>
  <c r="H17" i="26"/>
  <c r="I17" i="26"/>
  <c r="J17" i="26"/>
  <c r="H18" i="26"/>
  <c r="I18" i="26"/>
  <c r="J18" i="26"/>
  <c r="H19" i="26"/>
  <c r="I19" i="26"/>
  <c r="J19" i="26"/>
  <c r="H20" i="26"/>
  <c r="I20" i="26"/>
  <c r="J20" i="26"/>
  <c r="H21" i="26"/>
  <c r="I21" i="26"/>
  <c r="J21" i="26"/>
  <c r="I4" i="26"/>
  <c r="J4" i="26"/>
  <c r="H4" i="26"/>
  <c r="B25" i="26"/>
  <c r="B24" i="26"/>
  <c r="K5" i="26"/>
  <c r="L5" i="26"/>
  <c r="M5" i="26"/>
  <c r="K6" i="26"/>
  <c r="L6" i="26"/>
  <c r="M6" i="26"/>
  <c r="K7" i="26"/>
  <c r="L7" i="26"/>
  <c r="M7" i="26"/>
  <c r="K8" i="26"/>
  <c r="L8" i="26"/>
  <c r="M8" i="26"/>
  <c r="K9" i="26"/>
  <c r="L9" i="26"/>
  <c r="M9" i="26"/>
  <c r="K10" i="26"/>
  <c r="L10" i="26"/>
  <c r="M10" i="26"/>
  <c r="K11" i="26"/>
  <c r="L11" i="26"/>
  <c r="M11" i="26"/>
  <c r="K12" i="26"/>
  <c r="L12" i="26"/>
  <c r="M12" i="26"/>
  <c r="K13" i="26"/>
  <c r="L13" i="26"/>
  <c r="M13" i="26"/>
  <c r="K14" i="26"/>
  <c r="L14" i="26"/>
  <c r="M14" i="26"/>
  <c r="K15" i="26"/>
  <c r="L15" i="26"/>
  <c r="M15" i="26"/>
  <c r="K16" i="26"/>
  <c r="L16" i="26"/>
  <c r="M16" i="26"/>
  <c r="K17" i="26"/>
  <c r="L17" i="26"/>
  <c r="M17" i="26"/>
  <c r="K18" i="26"/>
  <c r="L18" i="26"/>
  <c r="M18" i="26"/>
  <c r="K19" i="26"/>
  <c r="L19" i="26"/>
  <c r="M19" i="26"/>
  <c r="K20" i="26"/>
  <c r="L20" i="26"/>
  <c r="M20" i="26"/>
  <c r="K21" i="26"/>
  <c r="L21" i="26"/>
  <c r="M21" i="26"/>
  <c r="L4" i="26"/>
  <c r="M4" i="26"/>
  <c r="K4" i="26"/>
  <c r="G4" i="27"/>
  <c r="K4" i="27"/>
  <c r="O4" i="27"/>
  <c r="P4" i="27"/>
  <c r="Q4" i="27"/>
  <c r="R4" i="27"/>
  <c r="G5" i="27"/>
  <c r="K5" i="27"/>
  <c r="O5" i="27"/>
  <c r="P5" i="27"/>
  <c r="Q5" i="27"/>
  <c r="R5" i="27"/>
  <c r="G6" i="27"/>
  <c r="K6" i="27"/>
  <c r="O6" i="27"/>
  <c r="P6" i="27"/>
  <c r="Q6" i="27"/>
  <c r="R6" i="27"/>
  <c r="D7" i="27"/>
  <c r="G7" i="27"/>
  <c r="H7" i="27"/>
  <c r="K7" i="27"/>
  <c r="L7" i="27"/>
  <c r="O7" i="27"/>
  <c r="P7" i="27"/>
  <c r="Q7" i="27"/>
  <c r="R7" i="27"/>
  <c r="D8" i="27"/>
  <c r="G8" i="27"/>
  <c r="H8" i="27"/>
  <c r="K8" i="27"/>
  <c r="L8" i="27"/>
  <c r="O8" i="27"/>
  <c r="P8" i="27"/>
  <c r="Q8" i="27"/>
  <c r="R8" i="27"/>
  <c r="G9" i="27"/>
  <c r="K9" i="27"/>
  <c r="O9" i="27"/>
  <c r="P9" i="27"/>
  <c r="Q9" i="27"/>
  <c r="R9" i="27"/>
  <c r="G10" i="27"/>
  <c r="K10" i="27"/>
  <c r="O10" i="27"/>
  <c r="P10" i="27"/>
  <c r="Q10" i="27"/>
  <c r="R10" i="27"/>
  <c r="G11" i="27"/>
  <c r="K11" i="27"/>
  <c r="O11" i="27"/>
  <c r="P11" i="27"/>
  <c r="Q11" i="27"/>
  <c r="R11" i="27"/>
  <c r="G12" i="27"/>
  <c r="K12" i="27"/>
  <c r="O12" i="27"/>
  <c r="P12" i="27"/>
  <c r="Q12" i="27"/>
  <c r="R12" i="27"/>
  <c r="G13" i="27"/>
  <c r="K13" i="27"/>
  <c r="O13" i="27"/>
  <c r="P13" i="27"/>
  <c r="Q13" i="27"/>
  <c r="R13" i="27"/>
  <c r="G14" i="27"/>
  <c r="K14" i="27"/>
  <c r="O14" i="27"/>
  <c r="P14" i="27"/>
  <c r="Q14" i="27"/>
  <c r="R14" i="27"/>
  <c r="G15" i="27"/>
  <c r="K15" i="27"/>
  <c r="O15" i="27"/>
  <c r="P15" i="27"/>
  <c r="Q15" i="27"/>
  <c r="R15" i="27"/>
  <c r="G16" i="27"/>
  <c r="K16" i="27"/>
  <c r="O16" i="27"/>
  <c r="P16" i="27"/>
  <c r="Q16" i="27"/>
  <c r="R16" i="27"/>
  <c r="G17" i="27"/>
  <c r="K17" i="27"/>
  <c r="O17" i="27"/>
  <c r="P17" i="27"/>
  <c r="Q17" i="27"/>
  <c r="R17" i="27"/>
  <c r="G18" i="27"/>
  <c r="K18" i="27"/>
  <c r="O18" i="27"/>
  <c r="P18" i="27"/>
  <c r="Q18" i="27"/>
  <c r="R18" i="27"/>
  <c r="G19" i="27"/>
  <c r="K19" i="27"/>
  <c r="O19" i="27"/>
  <c r="P19" i="27"/>
  <c r="Q19" i="27"/>
  <c r="R19" i="27"/>
  <c r="F23" i="27"/>
  <c r="G23" i="27"/>
  <c r="H23" i="27"/>
  <c r="I23" i="27"/>
  <c r="J23" i="27"/>
  <c r="K23" i="27"/>
  <c r="L23" i="27"/>
  <c r="F24" i="27"/>
  <c r="G24" i="27"/>
  <c r="H24" i="27"/>
  <c r="I24" i="27"/>
  <c r="J24" i="27"/>
  <c r="K24" i="27"/>
  <c r="L24" i="27"/>
  <c r="F25" i="27"/>
  <c r="G25" i="27"/>
  <c r="H25" i="27"/>
  <c r="I25" i="27"/>
  <c r="J25" i="27"/>
  <c r="K25" i="27"/>
  <c r="L25" i="27"/>
  <c r="F26" i="27"/>
  <c r="G26" i="27"/>
  <c r="H26" i="27"/>
  <c r="I26" i="27"/>
  <c r="J26" i="27"/>
  <c r="K26" i="27"/>
  <c r="L26" i="27"/>
  <c r="F27" i="27"/>
  <c r="G27" i="27"/>
  <c r="H27" i="27"/>
  <c r="I27" i="27"/>
  <c r="J27" i="27"/>
  <c r="K27" i="27"/>
  <c r="L27" i="27"/>
  <c r="F28" i="27"/>
  <c r="G28" i="27"/>
  <c r="H28" i="27"/>
  <c r="I28" i="27"/>
  <c r="J28" i="27"/>
  <c r="K28" i="27"/>
  <c r="L28" i="27"/>
  <c r="F29" i="27"/>
  <c r="G29" i="27"/>
  <c r="H29" i="27"/>
  <c r="I29" i="27"/>
  <c r="J29" i="27"/>
  <c r="K29" i="27"/>
  <c r="L29" i="27"/>
  <c r="F30" i="27"/>
  <c r="G30" i="27"/>
  <c r="H30" i="27"/>
  <c r="I30" i="27"/>
  <c r="J30" i="27"/>
  <c r="K30" i="27"/>
  <c r="L30" i="27"/>
  <c r="F31" i="27"/>
  <c r="G31" i="27"/>
  <c r="H31" i="27"/>
  <c r="I31" i="27"/>
  <c r="J31" i="27"/>
  <c r="K31" i="27"/>
  <c r="L31" i="27"/>
  <c r="F32" i="27"/>
  <c r="G32" i="27"/>
  <c r="H32" i="27"/>
  <c r="I32" i="27"/>
  <c r="J32" i="27"/>
  <c r="K32" i="27"/>
  <c r="L32" i="27"/>
  <c r="F33" i="27"/>
  <c r="G33" i="27"/>
  <c r="H33" i="27"/>
  <c r="I33" i="27"/>
  <c r="J33" i="27"/>
  <c r="K33" i="27"/>
  <c r="L33" i="27"/>
  <c r="F34" i="27"/>
  <c r="G34" i="27"/>
  <c r="H34" i="27"/>
  <c r="I34" i="27"/>
  <c r="J34" i="27"/>
  <c r="K34" i="27"/>
  <c r="L34" i="27"/>
  <c r="F35" i="27"/>
  <c r="G35" i="27"/>
  <c r="H35" i="27"/>
  <c r="I35" i="27"/>
  <c r="J35" i="27"/>
  <c r="K35" i="27"/>
  <c r="L35" i="27"/>
  <c r="F36" i="27"/>
  <c r="G36" i="27"/>
  <c r="H36" i="27"/>
  <c r="I36" i="27"/>
  <c r="J36" i="27"/>
  <c r="K36" i="27"/>
  <c r="L36" i="27"/>
  <c r="F37" i="27"/>
  <c r="G37" i="27"/>
  <c r="H37" i="27"/>
  <c r="I37" i="27"/>
  <c r="J37" i="27"/>
  <c r="K37" i="27"/>
  <c r="L37" i="27"/>
  <c r="F38" i="27"/>
  <c r="I38" i="27"/>
  <c r="J38" i="27"/>
  <c r="K38" i="27"/>
  <c r="L38" i="27"/>
  <c r="F40" i="27"/>
  <c r="D48" i="27"/>
  <c r="P5" i="26"/>
  <c r="R5" i="26"/>
  <c r="P6" i="26"/>
  <c r="R6" i="26"/>
  <c r="P7" i="26"/>
  <c r="R7" i="26"/>
  <c r="P8" i="26"/>
  <c r="R8" i="26"/>
  <c r="P9" i="26"/>
  <c r="R9" i="26"/>
  <c r="P10" i="26"/>
  <c r="R10" i="26"/>
  <c r="P11" i="26"/>
  <c r="R11" i="26"/>
  <c r="P12" i="26"/>
  <c r="R12" i="26"/>
  <c r="P13" i="26"/>
  <c r="R13" i="26"/>
  <c r="P14" i="26"/>
  <c r="R14" i="26"/>
  <c r="P15" i="26"/>
  <c r="R15" i="26"/>
  <c r="P16" i="26"/>
  <c r="R16" i="26"/>
  <c r="P17" i="26"/>
  <c r="R17" i="26"/>
  <c r="P18" i="26"/>
  <c r="R18" i="26"/>
  <c r="P19" i="26"/>
  <c r="R19" i="26"/>
  <c r="P20" i="26"/>
  <c r="R20" i="26"/>
  <c r="P21" i="26"/>
  <c r="R21" i="26"/>
  <c r="P4" i="26"/>
  <c r="R4" i="26"/>
  <c r="O4" i="26"/>
  <c r="S4" i="26"/>
  <c r="O5" i="26"/>
  <c r="S5" i="26"/>
  <c r="O6" i="26"/>
  <c r="S6" i="26"/>
  <c r="O7" i="26"/>
  <c r="S7" i="26"/>
  <c r="O8" i="26"/>
  <c r="S8" i="26"/>
  <c r="O9" i="26"/>
  <c r="S9" i="26"/>
  <c r="O10" i="26"/>
  <c r="S10" i="26"/>
  <c r="O11" i="26"/>
  <c r="S11" i="26"/>
  <c r="O12" i="26"/>
  <c r="S12" i="26"/>
  <c r="O13" i="26"/>
  <c r="S13" i="26"/>
  <c r="O14" i="26"/>
  <c r="S14" i="26"/>
  <c r="O15" i="26"/>
  <c r="S15" i="26"/>
  <c r="O16" i="26"/>
  <c r="S16" i="26"/>
  <c r="O17" i="26"/>
  <c r="S17" i="26"/>
  <c r="O18" i="26"/>
  <c r="S18" i="26"/>
  <c r="O19" i="26"/>
  <c r="S19" i="26"/>
  <c r="O20" i="26"/>
  <c r="S20" i="26"/>
  <c r="O21" i="26"/>
  <c r="S21" i="26"/>
  <c r="Q20" i="22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N21" i="26"/>
  <c r="Q21" i="26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4" i="26"/>
  <c r="J11" i="2"/>
  <c r="J3" i="2"/>
  <c r="F20" i="2"/>
  <c r="I21" i="2"/>
  <c r="I4" i="2"/>
  <c r="C101" i="7"/>
  <c r="D101" i="7"/>
  <c r="E101" i="7"/>
  <c r="F101" i="7"/>
  <c r="C100" i="7"/>
  <c r="D100" i="7"/>
  <c r="E100" i="7"/>
  <c r="F100" i="7"/>
  <c r="C99" i="7"/>
  <c r="D99" i="7"/>
  <c r="E99" i="7"/>
  <c r="F99" i="7"/>
  <c r="C98" i="7"/>
  <c r="D98" i="7"/>
  <c r="E98" i="7"/>
  <c r="F98" i="7"/>
  <c r="C97" i="7"/>
  <c r="D97" i="7"/>
  <c r="E97" i="7"/>
  <c r="F97" i="7"/>
  <c r="C96" i="7"/>
  <c r="D96" i="7"/>
  <c r="E96" i="7"/>
  <c r="F96" i="7"/>
  <c r="C95" i="7"/>
  <c r="D95" i="7"/>
  <c r="E95" i="7"/>
  <c r="F95" i="7"/>
  <c r="C94" i="7"/>
  <c r="D94" i="7"/>
  <c r="E94" i="7"/>
  <c r="F94" i="7"/>
  <c r="C93" i="7"/>
  <c r="D93" i="7"/>
  <c r="E93" i="7"/>
  <c r="F93" i="7"/>
  <c r="C92" i="7"/>
  <c r="D92" i="7"/>
  <c r="E92" i="7"/>
  <c r="F92" i="7"/>
  <c r="C91" i="7"/>
  <c r="D91" i="7"/>
  <c r="E91" i="7"/>
  <c r="F91" i="7"/>
  <c r="C90" i="7"/>
  <c r="D90" i="7"/>
  <c r="E90" i="7"/>
  <c r="F90" i="7"/>
  <c r="C89" i="7"/>
  <c r="D89" i="7"/>
  <c r="E89" i="7"/>
  <c r="F89" i="7"/>
  <c r="C88" i="7"/>
  <c r="D88" i="7"/>
  <c r="E88" i="7"/>
  <c r="F88" i="7"/>
  <c r="C87" i="7"/>
  <c r="D87" i="7"/>
  <c r="E87" i="7"/>
  <c r="F87" i="7"/>
  <c r="C86" i="7"/>
  <c r="D86" i="7"/>
  <c r="E86" i="7"/>
  <c r="F86" i="7"/>
  <c r="C85" i="7"/>
  <c r="D85" i="7"/>
  <c r="E85" i="7"/>
  <c r="F85" i="7"/>
  <c r="C84" i="7"/>
  <c r="D84" i="7"/>
  <c r="E84" i="7"/>
  <c r="F84" i="7"/>
  <c r="C83" i="7"/>
  <c r="D83" i="7"/>
  <c r="E83" i="7"/>
  <c r="F83" i="7"/>
  <c r="C82" i="7"/>
  <c r="D82" i="7"/>
  <c r="E82" i="7"/>
  <c r="F82" i="7"/>
  <c r="C81" i="7"/>
  <c r="D81" i="7"/>
  <c r="E81" i="7"/>
  <c r="F81" i="7"/>
  <c r="C80" i="7"/>
  <c r="D80" i="7"/>
  <c r="E80" i="7"/>
  <c r="F80" i="7"/>
  <c r="C79" i="7"/>
  <c r="D79" i="7"/>
  <c r="E79" i="7"/>
  <c r="F79" i="7"/>
  <c r="C78" i="7"/>
  <c r="D78" i="7"/>
  <c r="E78" i="7"/>
  <c r="F78" i="7"/>
  <c r="C77" i="7"/>
  <c r="D77" i="7"/>
  <c r="E77" i="7"/>
  <c r="F77" i="7"/>
  <c r="C76" i="7"/>
  <c r="D76" i="7"/>
  <c r="E76" i="7"/>
  <c r="F76" i="7"/>
  <c r="C75" i="7"/>
  <c r="D75" i="7"/>
  <c r="E75" i="7"/>
  <c r="F75" i="7"/>
  <c r="C74" i="7"/>
  <c r="D74" i="7"/>
  <c r="E74" i="7"/>
  <c r="F74" i="7"/>
  <c r="C73" i="7"/>
  <c r="D73" i="7"/>
  <c r="E73" i="7"/>
  <c r="F73" i="7"/>
  <c r="C72" i="7"/>
  <c r="D72" i="7"/>
  <c r="E72" i="7"/>
  <c r="F72" i="7"/>
  <c r="C71" i="7"/>
  <c r="D71" i="7"/>
  <c r="E71" i="7"/>
  <c r="F71" i="7"/>
  <c r="C70" i="7"/>
  <c r="D70" i="7"/>
  <c r="E70" i="7"/>
  <c r="F70" i="7"/>
  <c r="C69" i="7"/>
  <c r="D69" i="7"/>
  <c r="E69" i="7"/>
  <c r="F69" i="7"/>
  <c r="C68" i="7"/>
  <c r="D68" i="7"/>
  <c r="E68" i="7"/>
  <c r="F68" i="7"/>
  <c r="C67" i="7"/>
  <c r="D67" i="7"/>
  <c r="E67" i="7"/>
  <c r="F67" i="7"/>
  <c r="C66" i="7"/>
  <c r="D66" i="7"/>
  <c r="E66" i="7"/>
  <c r="F66" i="7"/>
  <c r="C65" i="7"/>
  <c r="D65" i="7"/>
  <c r="E65" i="7"/>
  <c r="F65" i="7"/>
  <c r="C64" i="7"/>
  <c r="D64" i="7"/>
  <c r="E64" i="7"/>
  <c r="F64" i="7"/>
  <c r="C63" i="7"/>
  <c r="D63" i="7"/>
  <c r="E63" i="7"/>
  <c r="F63" i="7"/>
  <c r="C62" i="7"/>
  <c r="D62" i="7"/>
  <c r="E62" i="7"/>
  <c r="F62" i="7"/>
  <c r="C61" i="7"/>
  <c r="D61" i="7"/>
  <c r="E61" i="7"/>
  <c r="F61" i="7"/>
  <c r="C60" i="7"/>
  <c r="D60" i="7"/>
  <c r="E60" i="7"/>
  <c r="F60" i="7"/>
  <c r="C59" i="7"/>
  <c r="D59" i="7"/>
  <c r="E59" i="7"/>
  <c r="F59" i="7"/>
  <c r="C58" i="7"/>
  <c r="D58" i="7"/>
  <c r="E58" i="7"/>
  <c r="F58" i="7"/>
  <c r="C57" i="7"/>
  <c r="D57" i="7"/>
  <c r="E57" i="7"/>
  <c r="F57" i="7"/>
  <c r="C56" i="7"/>
  <c r="D56" i="7"/>
  <c r="E56" i="7"/>
  <c r="F56" i="7"/>
  <c r="C55" i="7"/>
  <c r="D55" i="7"/>
  <c r="E55" i="7"/>
  <c r="F55" i="7"/>
  <c r="C54" i="7"/>
  <c r="D54" i="7"/>
  <c r="E54" i="7"/>
  <c r="F54" i="7"/>
  <c r="C53" i="7"/>
  <c r="D53" i="7"/>
  <c r="E53" i="7"/>
  <c r="F53" i="7"/>
  <c r="C52" i="7"/>
  <c r="D52" i="7"/>
  <c r="E52" i="7"/>
  <c r="F52" i="7"/>
  <c r="C51" i="7"/>
  <c r="D51" i="7"/>
  <c r="E51" i="7"/>
  <c r="F51" i="7"/>
  <c r="C50" i="7"/>
  <c r="D50" i="7"/>
  <c r="E50" i="7"/>
  <c r="F50" i="7"/>
  <c r="C49" i="7"/>
  <c r="D49" i="7"/>
  <c r="E49" i="7"/>
  <c r="F49" i="7"/>
  <c r="C48" i="7"/>
  <c r="D48" i="7"/>
  <c r="E48" i="7"/>
  <c r="F48" i="7"/>
  <c r="C47" i="7"/>
  <c r="D47" i="7"/>
  <c r="E47" i="7"/>
  <c r="F47" i="7"/>
  <c r="C46" i="7"/>
  <c r="D46" i="7"/>
  <c r="E46" i="7"/>
  <c r="F46" i="7"/>
  <c r="C45" i="7"/>
  <c r="D45" i="7"/>
  <c r="E45" i="7"/>
  <c r="F45" i="7"/>
  <c r="C44" i="7"/>
  <c r="D44" i="7"/>
  <c r="E44" i="7"/>
  <c r="F44" i="7"/>
  <c r="C43" i="7"/>
  <c r="D43" i="7"/>
  <c r="E43" i="7"/>
  <c r="F43" i="7"/>
  <c r="C42" i="7"/>
  <c r="D42" i="7"/>
  <c r="E42" i="7"/>
  <c r="F42" i="7"/>
  <c r="C41" i="7"/>
  <c r="D41" i="7"/>
  <c r="E41" i="7"/>
  <c r="F41" i="7"/>
  <c r="C40" i="7"/>
  <c r="D40" i="7"/>
  <c r="E40" i="7"/>
  <c r="F40" i="7"/>
  <c r="C39" i="7"/>
  <c r="D39" i="7"/>
  <c r="E39" i="7"/>
  <c r="F39" i="7"/>
  <c r="C38" i="7"/>
  <c r="D38" i="7"/>
  <c r="E38" i="7"/>
  <c r="F38" i="7"/>
  <c r="C37" i="7"/>
  <c r="D37" i="7"/>
  <c r="E37" i="7"/>
  <c r="F37" i="7"/>
  <c r="C36" i="7"/>
  <c r="D36" i="7"/>
  <c r="E36" i="7"/>
  <c r="F36" i="7"/>
  <c r="C35" i="7"/>
  <c r="D35" i="7"/>
  <c r="E35" i="7"/>
  <c r="F35" i="7"/>
  <c r="C34" i="7"/>
  <c r="D34" i="7"/>
  <c r="E34" i="7"/>
  <c r="F34" i="7"/>
  <c r="C33" i="7"/>
  <c r="D33" i="7"/>
  <c r="E33" i="7"/>
  <c r="F33" i="7"/>
  <c r="C32" i="7"/>
  <c r="D32" i="7"/>
  <c r="E32" i="7"/>
  <c r="F32" i="7"/>
  <c r="C31" i="7"/>
  <c r="D31" i="7"/>
  <c r="E31" i="7"/>
  <c r="F31" i="7"/>
  <c r="C30" i="7"/>
  <c r="D30" i="7"/>
  <c r="E30" i="7"/>
  <c r="F30" i="7"/>
  <c r="C29" i="7"/>
  <c r="D29" i="7"/>
  <c r="E29" i="7"/>
  <c r="F29" i="7"/>
  <c r="C28" i="7"/>
  <c r="D28" i="7"/>
  <c r="E28" i="7"/>
  <c r="F28" i="7"/>
  <c r="C27" i="7"/>
  <c r="D27" i="7"/>
  <c r="E27" i="7"/>
  <c r="F27" i="7"/>
  <c r="C26" i="7"/>
  <c r="D26" i="7"/>
  <c r="E26" i="7"/>
  <c r="F26" i="7"/>
  <c r="C25" i="7"/>
  <c r="D25" i="7"/>
  <c r="E25" i="7"/>
  <c r="F25" i="7"/>
  <c r="C24" i="7"/>
  <c r="D24" i="7"/>
  <c r="E24" i="7"/>
  <c r="F24" i="7"/>
  <c r="C23" i="7"/>
  <c r="D23" i="7"/>
  <c r="E23" i="7"/>
  <c r="F23" i="7"/>
  <c r="C22" i="7"/>
  <c r="D22" i="7"/>
  <c r="E22" i="7"/>
  <c r="F22" i="7"/>
  <c r="C21" i="7"/>
  <c r="D21" i="7"/>
  <c r="E21" i="7"/>
  <c r="F21" i="7"/>
  <c r="C20" i="7"/>
  <c r="D20" i="7"/>
  <c r="E20" i="7"/>
  <c r="F20" i="7"/>
  <c r="C19" i="7"/>
  <c r="D19" i="7"/>
  <c r="E19" i="7"/>
  <c r="F19" i="7"/>
  <c r="C18" i="7"/>
  <c r="D18" i="7"/>
  <c r="E18" i="7"/>
  <c r="F18" i="7"/>
  <c r="C17" i="7"/>
  <c r="D17" i="7"/>
  <c r="E17" i="7"/>
  <c r="F17" i="7"/>
  <c r="C16" i="7"/>
  <c r="D16" i="7"/>
  <c r="E16" i="7"/>
  <c r="F16" i="7"/>
  <c r="C15" i="7"/>
  <c r="D15" i="7"/>
  <c r="E15" i="7"/>
  <c r="F15" i="7"/>
  <c r="C14" i="7"/>
  <c r="D14" i="7"/>
  <c r="E14" i="7"/>
  <c r="F14" i="7"/>
  <c r="C13" i="7"/>
  <c r="D13" i="7"/>
  <c r="E13" i="7"/>
  <c r="F13" i="7"/>
  <c r="C12" i="7"/>
  <c r="D12" i="7"/>
  <c r="E12" i="7"/>
  <c r="F12" i="7"/>
  <c r="C11" i="7"/>
  <c r="D11" i="7"/>
  <c r="E11" i="7"/>
  <c r="F11" i="7"/>
  <c r="C10" i="7"/>
  <c r="D10" i="7"/>
  <c r="E10" i="7"/>
  <c r="F10" i="7"/>
  <c r="C9" i="7"/>
  <c r="D9" i="7"/>
  <c r="E9" i="7"/>
  <c r="F9" i="7"/>
  <c r="C8" i="7"/>
  <c r="D8" i="7"/>
  <c r="E8" i="7"/>
  <c r="F8" i="7"/>
  <c r="C7" i="7"/>
  <c r="D7" i="7"/>
  <c r="E7" i="7"/>
  <c r="F7" i="7"/>
  <c r="C6" i="7"/>
  <c r="D6" i="7"/>
  <c r="E6" i="7"/>
  <c r="F6" i="7"/>
  <c r="C5" i="7"/>
  <c r="D5" i="7"/>
  <c r="E5" i="7"/>
  <c r="F5" i="7"/>
  <c r="F101" i="17"/>
  <c r="F100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66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D54" i="17"/>
  <c r="E54" i="17"/>
  <c r="F54" i="17"/>
  <c r="D55" i="17"/>
  <c r="E55" i="17"/>
  <c r="F55" i="17"/>
  <c r="D56" i="17"/>
  <c r="E56" i="17"/>
  <c r="F56" i="17"/>
  <c r="D57" i="17"/>
  <c r="E57" i="17"/>
  <c r="F57" i="17"/>
  <c r="D58" i="17"/>
  <c r="E58" i="17"/>
  <c r="F58" i="17"/>
  <c r="D59" i="17"/>
  <c r="E59" i="17"/>
  <c r="F59" i="17"/>
  <c r="D60" i="17"/>
  <c r="E60" i="17"/>
  <c r="F60" i="17"/>
  <c r="D61" i="17"/>
  <c r="E61" i="17"/>
  <c r="F61" i="17"/>
  <c r="D62" i="17"/>
  <c r="E62" i="17"/>
  <c r="F62" i="17"/>
  <c r="D63" i="17"/>
  <c r="E63" i="17"/>
  <c r="F63" i="17"/>
  <c r="D64" i="17"/>
  <c r="E64" i="17"/>
  <c r="F64" i="17"/>
  <c r="D53" i="17"/>
  <c r="E53" i="17"/>
  <c r="F53" i="17"/>
  <c r="D45" i="17"/>
  <c r="E45" i="17"/>
  <c r="F45" i="17"/>
  <c r="D46" i="17"/>
  <c r="E46" i="17"/>
  <c r="F46" i="17"/>
  <c r="D47" i="17"/>
  <c r="E47" i="17"/>
  <c r="F47" i="17"/>
  <c r="D48" i="17"/>
  <c r="E48" i="17"/>
  <c r="F48" i="17"/>
  <c r="D49" i="17"/>
  <c r="E49" i="17"/>
  <c r="F49" i="17"/>
  <c r="D50" i="17"/>
  <c r="E50" i="17"/>
  <c r="F50" i="17"/>
  <c r="D51" i="17"/>
  <c r="E51" i="17"/>
  <c r="F51" i="17"/>
  <c r="D52" i="17"/>
  <c r="E52" i="17"/>
  <c r="F52" i="17"/>
  <c r="D44" i="17"/>
  <c r="E44" i="17"/>
  <c r="F44" i="17"/>
  <c r="D42" i="17"/>
  <c r="E42" i="17"/>
  <c r="F42" i="17"/>
  <c r="D43" i="17"/>
  <c r="E43" i="17"/>
  <c r="F43" i="17"/>
  <c r="D41" i="17"/>
  <c r="E41" i="17"/>
  <c r="F41" i="17"/>
  <c r="D40" i="17"/>
  <c r="E40" i="17"/>
  <c r="F40" i="17"/>
  <c r="D39" i="17"/>
  <c r="E39" i="17"/>
  <c r="F39" i="17"/>
  <c r="D37" i="17"/>
  <c r="E37" i="17"/>
  <c r="F37" i="17"/>
  <c r="D38" i="17"/>
  <c r="E38" i="17"/>
  <c r="F38" i="17"/>
  <c r="D36" i="17"/>
  <c r="E36" i="17"/>
  <c r="F36" i="17"/>
  <c r="D34" i="17"/>
  <c r="E34" i="17"/>
  <c r="F34" i="17"/>
  <c r="D35" i="17"/>
  <c r="E35" i="17"/>
  <c r="F35" i="17"/>
  <c r="D33" i="17"/>
  <c r="E33" i="17"/>
  <c r="F33" i="17"/>
  <c r="D32" i="17"/>
  <c r="E32" i="17"/>
  <c r="F32" i="17"/>
  <c r="D31" i="17"/>
  <c r="E31" i="17"/>
  <c r="F31" i="17"/>
  <c r="D30" i="17"/>
  <c r="E30" i="17"/>
  <c r="F30" i="17"/>
  <c r="D29" i="17"/>
  <c r="E29" i="17"/>
  <c r="F29" i="17"/>
  <c r="D28" i="17"/>
  <c r="E28" i="17"/>
  <c r="F28" i="17"/>
  <c r="D27" i="17"/>
  <c r="E27" i="17"/>
  <c r="F27" i="17"/>
  <c r="D26" i="17"/>
  <c r="E26" i="17"/>
  <c r="F26" i="17"/>
  <c r="D25" i="17"/>
  <c r="E25" i="17"/>
  <c r="F25" i="17"/>
  <c r="D24" i="17"/>
  <c r="E24" i="17"/>
  <c r="F24" i="17"/>
  <c r="D23" i="17"/>
  <c r="E23" i="17"/>
  <c r="F23" i="17"/>
  <c r="D21" i="17"/>
  <c r="E21" i="17"/>
  <c r="F21" i="17"/>
  <c r="D22" i="17"/>
  <c r="E22" i="17"/>
  <c r="F22" i="17"/>
  <c r="D20" i="17"/>
  <c r="E20" i="17"/>
  <c r="F20" i="17"/>
  <c r="D18" i="17"/>
  <c r="E18" i="17"/>
  <c r="F18" i="17"/>
  <c r="D19" i="17"/>
  <c r="E19" i="17"/>
  <c r="F19" i="17"/>
  <c r="D17" i="17"/>
  <c r="E17" i="17"/>
  <c r="F17" i="17"/>
  <c r="D16" i="17"/>
  <c r="E16" i="17"/>
  <c r="F16" i="17"/>
  <c r="D15" i="17"/>
  <c r="E15" i="17"/>
  <c r="F15" i="17"/>
  <c r="D13" i="17"/>
  <c r="E13" i="17"/>
  <c r="F13" i="17"/>
  <c r="D14" i="17"/>
  <c r="E14" i="17"/>
  <c r="F14" i="17"/>
  <c r="D12" i="17"/>
  <c r="E12" i="17"/>
  <c r="F12" i="17"/>
  <c r="D11" i="17"/>
  <c r="E11" i="17"/>
  <c r="F11" i="17"/>
  <c r="D10" i="17"/>
  <c r="E10" i="17"/>
  <c r="F10" i="17"/>
  <c r="U21" i="22"/>
  <c r="V21" i="22"/>
  <c r="W21" i="22"/>
  <c r="U5" i="22"/>
  <c r="V5" i="22"/>
  <c r="W5" i="22"/>
  <c r="U6" i="22"/>
  <c r="V6" i="22"/>
  <c r="W6" i="22"/>
  <c r="U7" i="22"/>
  <c r="V7" i="22"/>
  <c r="W7" i="22"/>
  <c r="U8" i="22"/>
  <c r="V8" i="22"/>
  <c r="W8" i="22"/>
  <c r="U9" i="22"/>
  <c r="V9" i="22"/>
  <c r="W9" i="22"/>
  <c r="U10" i="22"/>
  <c r="V10" i="22"/>
  <c r="W10" i="22"/>
  <c r="U11" i="22"/>
  <c r="V11" i="22"/>
  <c r="W11" i="22"/>
  <c r="U12" i="22"/>
  <c r="V12" i="22"/>
  <c r="W12" i="22"/>
  <c r="U13" i="22"/>
  <c r="V13" i="22"/>
  <c r="W13" i="22"/>
  <c r="U14" i="22"/>
  <c r="V14" i="22"/>
  <c r="W14" i="22"/>
  <c r="U15" i="22"/>
  <c r="V15" i="22"/>
  <c r="W15" i="22"/>
  <c r="U16" i="22"/>
  <c r="V16" i="22"/>
  <c r="W16" i="22"/>
  <c r="U17" i="22"/>
  <c r="V17" i="22"/>
  <c r="W17" i="22"/>
  <c r="U18" i="22"/>
  <c r="V18" i="22"/>
  <c r="W18" i="22"/>
  <c r="U19" i="22"/>
  <c r="V19" i="22"/>
  <c r="W19" i="22"/>
  <c r="U20" i="22"/>
  <c r="V20" i="22"/>
  <c r="W20" i="22"/>
  <c r="X5" i="22"/>
  <c r="X6" i="22"/>
  <c r="X7" i="22"/>
  <c r="X8" i="22"/>
  <c r="X9" i="22"/>
  <c r="X10" i="22"/>
  <c r="X11" i="22"/>
  <c r="X12" i="22"/>
  <c r="X13" i="22"/>
  <c r="X14" i="22"/>
  <c r="X15" i="22"/>
  <c r="X16" i="22"/>
  <c r="X17" i="22"/>
  <c r="X18" i="22"/>
  <c r="X19" i="22"/>
  <c r="X20" i="22"/>
  <c r="X21" i="22"/>
  <c r="X4" i="22"/>
  <c r="R4" i="22"/>
  <c r="W4" i="22"/>
  <c r="V4" i="22"/>
  <c r="U4" i="22"/>
  <c r="H4" i="22"/>
  <c r="L4" i="22"/>
  <c r="P4" i="22"/>
  <c r="H21" i="22"/>
  <c r="L21" i="22"/>
  <c r="P21" i="22"/>
  <c r="Q21" i="22"/>
  <c r="S21" i="22"/>
  <c r="H20" i="22"/>
  <c r="L20" i="22"/>
  <c r="P20" i="22"/>
  <c r="S20" i="22"/>
  <c r="H19" i="22"/>
  <c r="L19" i="22"/>
  <c r="P19" i="22"/>
  <c r="Q19" i="22"/>
  <c r="S19" i="22"/>
  <c r="H18" i="22"/>
  <c r="L18" i="22"/>
  <c r="P18" i="22"/>
  <c r="Q18" i="22"/>
  <c r="S18" i="22"/>
  <c r="H17" i="22"/>
  <c r="L17" i="22"/>
  <c r="P17" i="22"/>
  <c r="Q17" i="22"/>
  <c r="S17" i="22"/>
  <c r="H16" i="22"/>
  <c r="L16" i="22"/>
  <c r="P16" i="22"/>
  <c r="Q16" i="22"/>
  <c r="S16" i="22"/>
  <c r="H15" i="22"/>
  <c r="L15" i="22"/>
  <c r="P15" i="22"/>
  <c r="Q15" i="22"/>
  <c r="S15" i="22"/>
  <c r="H14" i="22"/>
  <c r="L14" i="22"/>
  <c r="P14" i="22"/>
  <c r="Q14" i="22"/>
  <c r="S14" i="22"/>
  <c r="H13" i="22"/>
  <c r="L13" i="22"/>
  <c r="P13" i="22"/>
  <c r="Q13" i="22"/>
  <c r="S13" i="22"/>
  <c r="H12" i="22"/>
  <c r="L12" i="22"/>
  <c r="P12" i="22"/>
  <c r="Q12" i="22"/>
  <c r="S12" i="22"/>
  <c r="H11" i="22"/>
  <c r="L11" i="22"/>
  <c r="P11" i="22"/>
  <c r="Q11" i="22"/>
  <c r="S11" i="22"/>
  <c r="H10" i="22"/>
  <c r="L10" i="22"/>
  <c r="P10" i="22"/>
  <c r="Q10" i="22"/>
  <c r="S10" i="22"/>
  <c r="H9" i="22"/>
  <c r="L9" i="22"/>
  <c r="P9" i="22"/>
  <c r="Q9" i="22"/>
  <c r="S9" i="22"/>
  <c r="H8" i="22"/>
  <c r="L8" i="22"/>
  <c r="P8" i="22"/>
  <c r="Q8" i="22"/>
  <c r="S8" i="22"/>
  <c r="H7" i="22"/>
  <c r="L7" i="22"/>
  <c r="P7" i="22"/>
  <c r="Q7" i="22"/>
  <c r="S7" i="22"/>
  <c r="H6" i="22"/>
  <c r="L6" i="22"/>
  <c r="P6" i="22"/>
  <c r="Q6" i="22"/>
  <c r="S6" i="22"/>
  <c r="H5" i="22"/>
  <c r="L5" i="22"/>
  <c r="P5" i="22"/>
  <c r="Q5" i="22"/>
  <c r="S5" i="2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I3" i="2"/>
  <c r="K3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L43" i="8"/>
  <c r="L26" i="8"/>
  <c r="B6" i="23"/>
  <c r="L21" i="8"/>
  <c r="L4" i="8"/>
  <c r="B5" i="23"/>
  <c r="T21" i="8"/>
  <c r="T4" i="8"/>
  <c r="B4" i="23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B8" i="23"/>
  <c r="H4" i="8"/>
  <c r="H21" i="8"/>
  <c r="B2" i="23"/>
  <c r="P4" i="8"/>
  <c r="P21" i="8"/>
  <c r="C17" i="23"/>
  <c r="C18" i="23"/>
  <c r="U4" i="8"/>
  <c r="U21" i="8"/>
  <c r="C4" i="23"/>
  <c r="B10" i="23"/>
  <c r="B9" i="23"/>
  <c r="M43" i="8"/>
  <c r="M26" i="8"/>
  <c r="C6" i="23"/>
  <c r="M21" i="8"/>
  <c r="M4" i="8"/>
  <c r="C5" i="23"/>
  <c r="Q4" i="8"/>
  <c r="Q21" i="8"/>
  <c r="I4" i="8"/>
  <c r="I21" i="8"/>
  <c r="C2" i="23"/>
  <c r="I25" i="8"/>
  <c r="G24" i="16"/>
  <c r="H24" i="16"/>
  <c r="G25" i="16"/>
  <c r="H25" i="16"/>
  <c r="G24" i="14"/>
  <c r="H24" i="14"/>
  <c r="G25" i="14"/>
  <c r="H25" i="14"/>
  <c r="G24" i="21"/>
  <c r="H24" i="21"/>
  <c r="G25" i="21"/>
  <c r="H25" i="21"/>
  <c r="G24" i="20"/>
  <c r="H24" i="20"/>
  <c r="G25" i="20"/>
  <c r="H25" i="20"/>
  <c r="G24" i="15"/>
  <c r="H24" i="15"/>
  <c r="G25" i="15"/>
  <c r="H25" i="15"/>
  <c r="G24" i="18"/>
  <c r="H24" i="18"/>
  <c r="G25" i="18"/>
  <c r="H25" i="18"/>
  <c r="G24" i="19"/>
  <c r="H24" i="19"/>
  <c r="G25" i="19"/>
  <c r="H25" i="19"/>
  <c r="H42" i="8"/>
  <c r="I42" i="8"/>
  <c r="L42" i="8"/>
  <c r="M42" i="8"/>
  <c r="P42" i="8"/>
  <c r="Q42" i="8"/>
  <c r="H43" i="8"/>
  <c r="I43" i="8"/>
  <c r="P43" i="8"/>
  <c r="Q43" i="8"/>
  <c r="H20" i="8"/>
  <c r="I20" i="8"/>
  <c r="L20" i="8"/>
  <c r="M20" i="8"/>
  <c r="P20" i="8"/>
  <c r="Q20" i="8"/>
  <c r="T20" i="8"/>
  <c r="U20" i="8"/>
  <c r="G20" i="5"/>
  <c r="J21" i="2"/>
  <c r="K21" i="2"/>
  <c r="G21" i="5"/>
  <c r="R20" i="22"/>
  <c r="T20" i="22"/>
  <c r="R21" i="22"/>
  <c r="T21" i="22"/>
  <c r="Q20" i="3"/>
  <c r="R20" i="3"/>
  <c r="S20" i="3"/>
  <c r="Q21" i="3"/>
  <c r="R21" i="3"/>
  <c r="S21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3" i="3"/>
  <c r="D3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D20" i="2"/>
  <c r="D21" i="2"/>
  <c r="F21" i="2"/>
  <c r="C3" i="2"/>
  <c r="H19" i="8"/>
  <c r="L41" i="8"/>
  <c r="D21" i="23"/>
  <c r="L19" i="8"/>
  <c r="T19" i="8"/>
  <c r="I20" i="4"/>
  <c r="J20" i="4"/>
  <c r="I21" i="4"/>
  <c r="J21" i="4"/>
  <c r="P19" i="8"/>
  <c r="Q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4" i="22"/>
  <c r="S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G10" i="18"/>
  <c r="H10" i="18"/>
  <c r="G11" i="18"/>
  <c r="H11" i="18"/>
  <c r="G12" i="18"/>
  <c r="H12" i="18"/>
  <c r="G13" i="18"/>
  <c r="H13" i="18"/>
  <c r="G14" i="18"/>
  <c r="H14" i="18"/>
  <c r="G15" i="18"/>
  <c r="H15" i="18"/>
  <c r="G16" i="18"/>
  <c r="H16" i="18"/>
  <c r="G17" i="18"/>
  <c r="H17" i="18"/>
  <c r="G18" i="18"/>
  <c r="H18" i="18"/>
  <c r="G19" i="18"/>
  <c r="H19" i="18"/>
  <c r="G20" i="18"/>
  <c r="H20" i="18"/>
  <c r="G21" i="18"/>
  <c r="H21" i="18"/>
  <c r="G22" i="18"/>
  <c r="H22" i="18"/>
  <c r="G23" i="18"/>
  <c r="H23" i="18"/>
  <c r="G7" i="18"/>
  <c r="H7" i="18"/>
  <c r="G8" i="18"/>
  <c r="H8" i="18"/>
  <c r="G9" i="18"/>
  <c r="H9" i="18"/>
  <c r="D22" i="23"/>
  <c r="C5" i="17"/>
  <c r="D5" i="17"/>
  <c r="E5" i="17"/>
  <c r="F5" i="17"/>
  <c r="G5" i="17"/>
  <c r="D6" i="17"/>
  <c r="E6" i="17"/>
  <c r="F6" i="17"/>
  <c r="G6" i="17"/>
  <c r="D7" i="17"/>
  <c r="E7" i="17"/>
  <c r="F7" i="17"/>
  <c r="G7" i="17"/>
  <c r="D8" i="17"/>
  <c r="E8" i="17"/>
  <c r="F8" i="17"/>
  <c r="G8" i="17"/>
  <c r="D9" i="17"/>
  <c r="E9" i="17"/>
  <c r="F9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D65" i="17"/>
  <c r="E65" i="17"/>
  <c r="F65" i="17"/>
  <c r="G65" i="17"/>
  <c r="D66" i="17"/>
  <c r="E66" i="17"/>
  <c r="G66" i="17"/>
  <c r="D67" i="17"/>
  <c r="E67" i="17"/>
  <c r="G67" i="17"/>
  <c r="D68" i="17"/>
  <c r="E68" i="17"/>
  <c r="G68" i="17"/>
  <c r="D69" i="17"/>
  <c r="E69" i="17"/>
  <c r="G69" i="17"/>
  <c r="D70" i="17"/>
  <c r="E70" i="17"/>
  <c r="G70" i="17"/>
  <c r="D71" i="17"/>
  <c r="E71" i="17"/>
  <c r="G71" i="17"/>
  <c r="D72" i="17"/>
  <c r="E72" i="17"/>
  <c r="G72" i="17"/>
  <c r="D73" i="17"/>
  <c r="E73" i="17"/>
  <c r="G73" i="17"/>
  <c r="D74" i="17"/>
  <c r="E74" i="17"/>
  <c r="G74" i="17"/>
  <c r="D75" i="17"/>
  <c r="E75" i="17"/>
  <c r="G75" i="17"/>
  <c r="D76" i="17"/>
  <c r="E76" i="17"/>
  <c r="G76" i="17"/>
  <c r="D77" i="17"/>
  <c r="E77" i="17"/>
  <c r="G77" i="17"/>
  <c r="D78" i="17"/>
  <c r="E78" i="17"/>
  <c r="G78" i="17"/>
  <c r="D79" i="17"/>
  <c r="E79" i="17"/>
  <c r="G79" i="17"/>
  <c r="D80" i="17"/>
  <c r="E80" i="17"/>
  <c r="G80" i="17"/>
  <c r="D81" i="17"/>
  <c r="E81" i="17"/>
  <c r="G81" i="17"/>
  <c r="D82" i="17"/>
  <c r="E82" i="17"/>
  <c r="G82" i="17"/>
  <c r="D83" i="17"/>
  <c r="E83" i="17"/>
  <c r="G83" i="17"/>
  <c r="D84" i="17"/>
  <c r="E84" i="17"/>
  <c r="G84" i="17"/>
  <c r="D85" i="17"/>
  <c r="E85" i="17"/>
  <c r="G85" i="17"/>
  <c r="D86" i="17"/>
  <c r="E86" i="17"/>
  <c r="G86" i="17"/>
  <c r="D87" i="17"/>
  <c r="E87" i="17"/>
  <c r="G87" i="17"/>
  <c r="D88" i="17"/>
  <c r="E88" i="17"/>
  <c r="G88" i="17"/>
  <c r="D89" i="17"/>
  <c r="E89" i="17"/>
  <c r="G89" i="17"/>
  <c r="D90" i="17"/>
  <c r="E90" i="17"/>
  <c r="G90" i="17"/>
  <c r="D91" i="17"/>
  <c r="E91" i="17"/>
  <c r="G91" i="17"/>
  <c r="D92" i="17"/>
  <c r="E92" i="17"/>
  <c r="G92" i="17"/>
  <c r="D93" i="17"/>
  <c r="E93" i="17"/>
  <c r="G93" i="17"/>
  <c r="D94" i="17"/>
  <c r="E94" i="17"/>
  <c r="G94" i="17"/>
  <c r="D95" i="17"/>
  <c r="E95" i="17"/>
  <c r="G95" i="17"/>
  <c r="D96" i="17"/>
  <c r="E96" i="17"/>
  <c r="G96" i="17"/>
  <c r="D97" i="17"/>
  <c r="E97" i="17"/>
  <c r="G97" i="17"/>
  <c r="D98" i="17"/>
  <c r="E98" i="17"/>
  <c r="G98" i="17"/>
  <c r="D99" i="17"/>
  <c r="E99" i="17"/>
  <c r="G99" i="17"/>
  <c r="D100" i="17"/>
  <c r="E100" i="17"/>
  <c r="G100" i="17"/>
  <c r="D101" i="17"/>
  <c r="E101" i="17"/>
  <c r="G101" i="17"/>
  <c r="B7" i="23"/>
  <c r="D19" i="23"/>
  <c r="D18" i="23"/>
  <c r="D17" i="23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H7" i="14"/>
  <c r="G7" i="14"/>
  <c r="J19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3" i="4"/>
  <c r="M41" i="8"/>
  <c r="M19" i="8"/>
  <c r="U19" i="8"/>
  <c r="Q19" i="8"/>
  <c r="I19" i="8"/>
  <c r="L25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T13" i="8"/>
  <c r="H7" i="21"/>
  <c r="G7" i="21"/>
  <c r="G8" i="2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3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5"/>
  <c r="H18" i="15"/>
  <c r="G19" i="15"/>
  <c r="H19" i="15"/>
  <c r="G20" i="15"/>
  <c r="H20" i="15"/>
  <c r="G21" i="15"/>
  <c r="H21" i="15"/>
  <c r="G22" i="15"/>
  <c r="H22" i="15"/>
  <c r="G23" i="15"/>
  <c r="H23" i="15"/>
  <c r="H36" i="8"/>
  <c r="I36" i="8"/>
  <c r="M36" i="8"/>
  <c r="P36" i="8"/>
  <c r="Q36" i="8"/>
  <c r="H37" i="8"/>
  <c r="I37" i="8"/>
  <c r="M37" i="8"/>
  <c r="P37" i="8"/>
  <c r="Q37" i="8"/>
  <c r="H38" i="8"/>
  <c r="I38" i="8"/>
  <c r="M38" i="8"/>
  <c r="P38" i="8"/>
  <c r="Q38" i="8"/>
  <c r="H39" i="8"/>
  <c r="I39" i="8"/>
  <c r="M39" i="8"/>
  <c r="P39" i="8"/>
  <c r="Q39" i="8"/>
  <c r="H40" i="8"/>
  <c r="I40" i="8"/>
  <c r="M40" i="8"/>
  <c r="P40" i="8"/>
  <c r="Q40" i="8"/>
  <c r="H41" i="8"/>
  <c r="I41" i="8"/>
  <c r="P41" i="8"/>
  <c r="Q41" i="8"/>
  <c r="H14" i="8"/>
  <c r="I14" i="8"/>
  <c r="L14" i="8"/>
  <c r="M14" i="8"/>
  <c r="P14" i="8"/>
  <c r="Q14" i="8"/>
  <c r="T14" i="8"/>
  <c r="U14" i="8"/>
  <c r="H15" i="8"/>
  <c r="I15" i="8"/>
  <c r="L15" i="8"/>
  <c r="M15" i="8"/>
  <c r="P15" i="8"/>
  <c r="Q15" i="8"/>
  <c r="T15" i="8"/>
  <c r="U15" i="8"/>
  <c r="H16" i="8"/>
  <c r="I16" i="8"/>
  <c r="L16" i="8"/>
  <c r="M16" i="8"/>
  <c r="P16" i="8"/>
  <c r="Q16" i="8"/>
  <c r="T16" i="8"/>
  <c r="U16" i="8"/>
  <c r="H17" i="8"/>
  <c r="I17" i="8"/>
  <c r="L17" i="8"/>
  <c r="M17" i="8"/>
  <c r="P17" i="8"/>
  <c r="Q17" i="8"/>
  <c r="T17" i="8"/>
  <c r="U17" i="8"/>
  <c r="H18" i="8"/>
  <c r="I18" i="8"/>
  <c r="L18" i="8"/>
  <c r="M18" i="8"/>
  <c r="P18" i="8"/>
  <c r="Q18" i="8"/>
  <c r="T18" i="8"/>
  <c r="U18" i="8"/>
  <c r="G18" i="19"/>
  <c r="H18" i="19"/>
  <c r="G19" i="19"/>
  <c r="H19" i="19"/>
  <c r="G20" i="19"/>
  <c r="H20" i="19"/>
  <c r="G21" i="19"/>
  <c r="H21" i="19"/>
  <c r="G22" i="19"/>
  <c r="H22" i="19"/>
  <c r="G23" i="19"/>
  <c r="H23" i="19"/>
  <c r="G13" i="5"/>
  <c r="G14" i="5"/>
  <c r="G15" i="5"/>
  <c r="G16" i="5"/>
  <c r="G17" i="5"/>
  <c r="G18" i="5"/>
  <c r="H7" i="19"/>
  <c r="G7" i="19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K8" i="7"/>
  <c r="L8" i="7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P25" i="8"/>
  <c r="H25" i="8"/>
  <c r="U3" i="8"/>
  <c r="Q3" i="8"/>
  <c r="M3" i="8"/>
  <c r="Q25" i="8"/>
  <c r="M25" i="8"/>
  <c r="T3" i="8"/>
  <c r="P3" i="8"/>
  <c r="L3" i="8"/>
  <c r="G3" i="5"/>
  <c r="P26" i="8"/>
  <c r="I26" i="8"/>
  <c r="Q26" i="8"/>
  <c r="H26" i="8"/>
  <c r="G4" i="5"/>
  <c r="P5" i="8"/>
  <c r="I5" i="8"/>
  <c r="H5" i="8"/>
  <c r="T5" i="8"/>
  <c r="Q27" i="8"/>
  <c r="Q5" i="8"/>
  <c r="P27" i="8"/>
  <c r="H27" i="8"/>
  <c r="L5" i="8"/>
  <c r="M27" i="8"/>
  <c r="U5" i="8"/>
  <c r="I27" i="8"/>
  <c r="M5" i="8"/>
  <c r="L7" i="8"/>
  <c r="G5" i="5"/>
  <c r="I6" i="8"/>
  <c r="M28" i="8"/>
  <c r="I28" i="8"/>
  <c r="Q28" i="8"/>
  <c r="P6" i="8"/>
  <c r="P28" i="8"/>
  <c r="H28" i="8"/>
  <c r="H6" i="8"/>
  <c r="L6" i="8"/>
  <c r="U6" i="8"/>
  <c r="Q6" i="8"/>
  <c r="T6" i="8"/>
  <c r="M6" i="8"/>
  <c r="P29" i="8"/>
  <c r="Q29" i="8"/>
  <c r="I29" i="8"/>
  <c r="M7" i="8"/>
  <c r="H29" i="8"/>
  <c r="I7" i="8"/>
  <c r="T7" i="8"/>
  <c r="U7" i="8"/>
  <c r="M29" i="8"/>
  <c r="Q7" i="8"/>
  <c r="H7" i="8"/>
  <c r="P7" i="8"/>
  <c r="G6" i="5"/>
  <c r="U8" i="8"/>
  <c r="M8" i="8"/>
  <c r="I30" i="8"/>
  <c r="P30" i="8"/>
  <c r="H8" i="8"/>
  <c r="H30" i="8"/>
  <c r="G7" i="5"/>
  <c r="T8" i="8"/>
  <c r="Q8" i="8"/>
  <c r="M30" i="8"/>
  <c r="T9" i="8"/>
  <c r="L8" i="8"/>
  <c r="I8" i="8"/>
  <c r="P8" i="8"/>
  <c r="Q30" i="8"/>
  <c r="L9" i="8"/>
  <c r="M31" i="8"/>
  <c r="U9" i="8"/>
  <c r="M9" i="8"/>
  <c r="H31" i="8"/>
  <c r="I31" i="8"/>
  <c r="P31" i="8"/>
  <c r="H9" i="8"/>
  <c r="P9" i="8"/>
  <c r="Q9" i="8"/>
  <c r="G8" i="5"/>
  <c r="Q31" i="8"/>
  <c r="I9" i="8"/>
  <c r="Q32" i="8"/>
  <c r="U10" i="8"/>
  <c r="M32" i="8"/>
  <c r="H32" i="8"/>
  <c r="Q10" i="8"/>
  <c r="I10" i="8"/>
  <c r="T10" i="8"/>
  <c r="L10" i="8"/>
  <c r="G9" i="5"/>
  <c r="P32" i="8"/>
  <c r="P10" i="8"/>
  <c r="M10" i="8"/>
  <c r="I32" i="8"/>
  <c r="H10" i="8"/>
  <c r="P33" i="8"/>
  <c r="T11" i="8"/>
  <c r="L11" i="8"/>
  <c r="I33" i="8"/>
  <c r="Q11" i="8"/>
  <c r="I11" i="8"/>
  <c r="G10" i="5"/>
  <c r="M33" i="8"/>
  <c r="H33" i="8"/>
  <c r="P11" i="8"/>
  <c r="Q33" i="8"/>
  <c r="U11" i="8"/>
  <c r="M11" i="8"/>
  <c r="H11" i="8"/>
  <c r="Q34" i="8"/>
  <c r="U12" i="8"/>
  <c r="M12" i="8"/>
  <c r="H12" i="8"/>
  <c r="M34" i="8"/>
  <c r="H34" i="8"/>
  <c r="P12" i="8"/>
  <c r="G11" i="5"/>
  <c r="I34" i="8"/>
  <c r="Q12" i="8"/>
  <c r="I12" i="8"/>
  <c r="P34" i="8"/>
  <c r="T12" i="8"/>
  <c r="L12" i="8"/>
  <c r="G12" i="5"/>
  <c r="H35" i="8"/>
  <c r="H13" i="8"/>
  <c r="U13" i="8"/>
  <c r="L13" i="8"/>
  <c r="Q35" i="8"/>
  <c r="I35" i="8"/>
  <c r="Q13" i="8"/>
  <c r="I13" i="8"/>
  <c r="P35" i="8"/>
  <c r="P13" i="8"/>
  <c r="M35" i="8"/>
  <c r="M13" i="8"/>
  <c r="B3" i="23"/>
  <c r="C3" i="23"/>
  <c r="D20" i="23"/>
  <c r="C20" i="23"/>
  <c r="C15" i="23"/>
  <c r="C16" i="23"/>
  <c r="D15" i="23"/>
  <c r="B12" i="23"/>
  <c r="D16" i="23"/>
  <c r="C19" i="23"/>
  <c r="C21" i="23"/>
  <c r="C22" i="23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<sst xmlns="http://schemas.openxmlformats.org/spreadsheetml/2006/main" count="570" uniqueCount="276">
  <si>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</si>
  <si>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</si>
  <si>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</si>
  <si>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</si>
  <si>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</si>
  <si>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</si>
  <si>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</si>
  <si>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</si>
  <si>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</si>
  <si>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</si>
  <si>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</si>
  <si>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</si>
  <si>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</si>
  <si>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</si>
  <si>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</si>
  <si>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</si>
  <si>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</si>
  <si>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</si>
  <si>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</si>
  <si>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</si>
  <si>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</si>
  <si>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</si>
  <si>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</si>
  <si>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</si>
  <si>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</si>
  <si>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</si>
  <si>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</si>
  <si>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</si>
  <si>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</si>
  <si>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</si>
  <si>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</si>
  <si>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</si>
  <si>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</si>
  <si>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</si>
  <si>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</si>
  <si>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</si>
  <si>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</si>
  <si>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</si>
  <si>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</si>
  <si>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</si>
  <si>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</si>
  <si>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</si>
  <si>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</si>
  <si>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</si>
  <si>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</si>
  <si>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</si>
  <si>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</si>
  <si>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</si>
  <si>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</si>
  <si>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</si>
  <si>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</si>
  <si>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</si>
  <si>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</si>
  <si>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</si>
  <si>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</si>
  <si>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</si>
  <si>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</si>
  <si>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</si>
  <si>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</si>
  <si>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</si>
  <si>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</si>
  <si>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</si>
  <si>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</si>
  <si>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</si>
  <si>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</si>
  <si>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</si>
  <si>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</si>
  <si>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</si>
  <si>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</si>
  <si>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</si>
  <si>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</si>
  <si>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</si>
  <si>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</si>
  <si>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</si>
  <si>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</si>
  <si>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</si>
  <si>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</si>
  <si>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</si>
  <si>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</si>
  <si>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</si>
  <si>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</si>
  <si>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</si>
  <si>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</si>
  <si>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</si>
  <si>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</si>
  <si>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</si>
  <si>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</si>
  <si>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</si>
  <si>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</si>
  <si>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</si>
  <si>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</si>
  <si>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</si>
  <si>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</si>
  <si>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Na-acetate trihydrate (50 mM)</t>
  </si>
  <si>
    <t>4.50</t>
  </si>
  <si>
    <t>1.00</t>
  </si>
  <si>
    <t>2.00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</si>
  <si>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</si>
  <si>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</si>
  <si>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</si>
  <si>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</si>
  <si>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</si>
  <si>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</si>
  <si>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</si>
  <si>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</si>
  <si>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</si>
  <si>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</si>
  <si>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</si>
  <si>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</si>
  <si>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</si>
  <si>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</si>
  <si>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</si>
  <si>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</si>
  <si>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</si>
  <si>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</si>
  <si>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</si>
  <si>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</si>
  <si>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</si>
  <si>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</si>
  <si>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</si>
  <si>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</si>
  <si>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</si>
  <si>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</si>
  <si>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</si>
  <si>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Acetic acid consumed</t>
  </si>
  <si>
    <t>Formic acid produced</t>
  </si>
  <si>
    <t>Lactic acid produced</t>
  </si>
  <si>
    <t>Butyric acid produced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</si>
  <si>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</si>
  <si>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</si>
  <si>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r>
      <rPr>
        <i/>
        <sz val="11"/>
        <color theme="1"/>
        <rFont val="Calibri"/>
        <family val="2"/>
        <scheme val="minor"/>
      </rPr>
      <t xml:space="preserve">Faecalibacterium prausnitzii </t>
    </r>
    <r>
      <rPr>
        <sz val="11"/>
        <color theme="1"/>
        <rFont val="Calibri"/>
        <family val="2"/>
        <scheme val="minor"/>
      </rPr>
      <t>DSM 17677</t>
    </r>
    <r>
      <rPr>
        <vertAlign val="superscript"/>
        <sz val="11"/>
        <color theme="1"/>
        <rFont val="Calibri"/>
        <family val="2"/>
        <scheme val="minor"/>
      </rPr>
      <t>T</t>
    </r>
  </si>
  <si>
    <t>Theoretical</t>
  </si>
  <si>
    <t>Experimental</t>
  </si>
  <si>
    <t>x</t>
  </si>
  <si>
    <t>2x</t>
  </si>
  <si>
    <t>z</t>
  </si>
  <si>
    <t>f</t>
  </si>
  <si>
    <t>2x-z-f</t>
  </si>
  <si>
    <t>y</t>
  </si>
  <si>
    <t>LN(Count/mL)</t>
  </si>
  <si>
    <t>2x-z+y</t>
  </si>
  <si>
    <t>(2x-2+Y)/2</t>
  </si>
  <si>
    <t>Left (mL) after inoculation</t>
  </si>
  <si>
    <t>D-Fructose</t>
  </si>
  <si>
    <t>D - Fructose</t>
  </si>
  <si>
    <t>D-Fructose consumed</t>
  </si>
  <si>
    <t>6.80</t>
  </si>
  <si>
    <t>D -Fructose (50 mM)</t>
  </si>
  <si>
    <t>9.00</t>
  </si>
  <si>
    <r>
      <t>9.00 g in 100 ml MilliQ.H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l</t>
    </r>
  </si>
  <si>
    <t>STDEV LOG(Count/mL)</t>
  </si>
  <si>
    <t>LOG</t>
  </si>
  <si>
    <t>0.40</t>
  </si>
  <si>
    <t>0.20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</si>
  <si>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</si>
  <si>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</si>
  <si>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</si>
  <si>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</si>
  <si>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</si>
  <si>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</si>
  <si>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</si>
  <si>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</si>
  <si>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</si>
  <si>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</si>
  <si>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</si>
  <si>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</si>
  <si>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</si>
  <si>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</si>
  <si>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</si>
  <si>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</si>
  <si>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</si>
  <si>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</si>
  <si>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</si>
  <si>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2x moles pyruvate produced</t>
  </si>
  <si>
    <t>z moles lactate produced</t>
  </si>
  <si>
    <t>f moles formate produced</t>
  </si>
  <si>
    <t>2x-z-f moles CO2 produced</t>
  </si>
  <si>
    <t>y moles acetate consumed</t>
  </si>
  <si>
    <t>2x-z+y moles acetyl-CoA produced</t>
  </si>
  <si>
    <t>(2x-2+y)/2 moles butyrate produced</t>
  </si>
  <si>
    <t>0 moles H2</t>
  </si>
  <si>
    <t>x moles D-fructose consumed</t>
  </si>
  <si>
    <t xml:space="preserve">Volume (ul) </t>
  </si>
  <si>
    <t>10_0</t>
  </si>
  <si>
    <t>10_1</t>
  </si>
  <si>
    <t>10_2</t>
  </si>
  <si>
    <t>10_3</t>
  </si>
  <si>
    <t>10_4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</si>
  <si>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</si>
  <si>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</si>
  <si>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</si>
  <si>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</si>
  <si>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</si>
  <si>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</si>
  <si>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</si>
  <si>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</si>
  <si>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</si>
  <si>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</si>
  <si>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</si>
  <si>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CT1</t>
  </si>
  <si>
    <t>CT2</t>
  </si>
  <si>
    <t>Log Dilution for 1 ml</t>
  </si>
  <si>
    <t>AUTO</t>
  </si>
  <si>
    <t>baseline</t>
  </si>
  <si>
    <t>Rico</t>
  </si>
  <si>
    <t>intercept</t>
  </si>
  <si>
    <t>Efficiency E (%)</t>
  </si>
  <si>
    <t>IPC FP10 epp</t>
  </si>
  <si>
    <t>Ct1</t>
  </si>
  <si>
    <t>Ct2</t>
  </si>
  <si>
    <t>Ct3</t>
  </si>
  <si>
    <t>Ct1 IPC corrected</t>
  </si>
  <si>
    <t>Ct2 IPC corrected</t>
  </si>
  <si>
    <t>Ct3 IPC corrected</t>
  </si>
  <si>
    <t>Log (cells/ml) 1</t>
  </si>
  <si>
    <t>Log (cells/ml) 2</t>
  </si>
  <si>
    <t>Log (cells/ml) 3</t>
  </si>
  <si>
    <t>Log (cells/ml)</t>
  </si>
  <si>
    <t>STDV Log (cells/ml)</t>
  </si>
  <si>
    <t>cells/ml medium</t>
  </si>
  <si>
    <t>STDV Log (cells/ml medium)</t>
  </si>
  <si>
    <t>Dilution log (10x)</t>
  </si>
  <si>
    <t xml:space="preserve">Dilution </t>
  </si>
  <si>
    <t>F. prausnitzii</t>
  </si>
  <si>
    <t>CT1 normalized per mL</t>
  </si>
  <si>
    <t>CT2 normalized per mL</t>
  </si>
  <si>
    <t>CT3 normalized per mL</t>
  </si>
  <si>
    <t>Average CT normalized per mL</t>
  </si>
  <si>
    <t>Ct Threshold</t>
  </si>
  <si>
    <t>Threshold</t>
  </si>
  <si>
    <t>Total Average</t>
  </si>
  <si>
    <t>STDV  (cells/ml medium)</t>
  </si>
  <si>
    <t>Log (cells/ml medium)</t>
  </si>
  <si>
    <t>outliers</t>
  </si>
  <si>
    <t>Outliers</t>
  </si>
  <si>
    <t>IPC value epp 10 plate 20150709</t>
  </si>
  <si>
    <t>IPC value epp 10 plate 20150707</t>
  </si>
  <si>
    <t>IPC value  epp 10 plate 20150702</t>
  </si>
  <si>
    <t>IPC value epp 10 plate 20150708</t>
  </si>
  <si>
    <t>IPC value epp 9 plate 20150714</t>
  </si>
  <si>
    <t>IPC value epp 9 plate 20150715</t>
  </si>
  <si>
    <t>IPC value epp 9 plate 20150717</t>
  </si>
  <si>
    <t>IPC value epp 9 plate 201507120</t>
  </si>
  <si>
    <t>IPC value epp 8 plate 20150722</t>
  </si>
  <si>
    <t>IPC value epp 8 plate 20150729</t>
  </si>
  <si>
    <t>IPC value epp 7 plate 20150730</t>
  </si>
  <si>
    <t>IPC value epp 7 plate 20150804</t>
  </si>
  <si>
    <t>IPC value epp 6 plate 20150804</t>
  </si>
  <si>
    <t>IPC value epp 6 plate 20150807</t>
  </si>
  <si>
    <t>IPC value epp 6 plate 20150820</t>
  </si>
  <si>
    <t>IPC value epp 6 plate 20150902</t>
  </si>
  <si>
    <t>IPC value epp 5 plate 20150910</t>
  </si>
  <si>
    <t>IPC value epp 5 plate 20150911</t>
  </si>
  <si>
    <t>IPC value epp 5 plate 20150922</t>
  </si>
  <si>
    <t>IPC value epp 4 plate 20150929</t>
  </si>
  <si>
    <t>IPC value epp 4 plate 20151002</t>
  </si>
  <si>
    <t>IPC value epp 4 plate 20151007</t>
  </si>
  <si>
    <t>IPC value epp 4 plate 20151009</t>
  </si>
  <si>
    <t>IPC value epp 3 plate 20151020</t>
  </si>
  <si>
    <t>IPC value epp 3 plate 20151111</t>
  </si>
  <si>
    <t>Dilution for 1 ml</t>
  </si>
  <si>
    <t>Average CT</t>
  </si>
  <si>
    <t>CT3</t>
  </si>
  <si>
    <t>IPC value epp 2 plate 20151111</t>
  </si>
  <si>
    <t>IPC value epp 2 plate 20151112</t>
  </si>
  <si>
    <t>IPC value epp 2 plate 20151204</t>
  </si>
  <si>
    <t>IPC value epp 1 plate 20160119</t>
  </si>
  <si>
    <t>IPC value epp 1 plate 20160208</t>
  </si>
  <si>
    <t>IPC value epp 1 plate 20160222</t>
  </si>
  <si>
    <t>IPC value epp 1 plate 20160223</t>
  </si>
  <si>
    <t>IPC value epp 9 plate 20160223</t>
  </si>
  <si>
    <t>IPC value epp 9 plate 20160225</t>
  </si>
  <si>
    <t>IPC value epp 9 plate 20160308</t>
  </si>
  <si>
    <t>IPC value epp 9 plate 20160310</t>
  </si>
  <si>
    <t>IPC value epp 8 plate 20160325</t>
  </si>
  <si>
    <t>IPC value epp 8 plate 20160405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</si>
</sst>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0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8000"/>
      <name val="Calibri"/>
      <scheme val="minor"/>
    </font>
    <font>
      <sz val="11"/>
      <color theme="1"/>
      <name val="Calibri"/>
      <family val="2"/>
      <scheme val="minor"/>
    </font>
    <font>
      <i/>
      <sz val="11"/>
      <name val="Calibri"/>
      <scheme val="minor"/>
    </font>
    <font>
      <sz val="11"/>
      <color theme="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22F40D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400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24" fillId="0" borderId="16" xfId="0" applyFont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164" fontId="18" fillId="0" borderId="16" xfId="0" applyNumberFormat="1" applyFont="1" applyBorder="1" applyAlignment="1">
      <alignment horizontal="center" vertical="center"/>
    </xf>
    <xf numFmtId="164" fontId="18" fillId="0" borderId="18" xfId="0" applyNumberFormat="1" applyFont="1" applyBorder="1" applyAlignment="1">
      <alignment horizontal="center" vertical="center"/>
    </xf>
    <xf numFmtId="164" fontId="24" fillId="0" borderId="3" xfId="0" applyNumberFormat="1" applyFont="1" applyBorder="1" applyAlignment="1">
      <alignment horizontal="center" vertical="center"/>
    </xf>
    <xf numFmtId="164" fontId="24" fillId="0" borderId="20" xfId="0" applyNumberFormat="1" applyFont="1" applyBorder="1" applyAlignment="1">
      <alignment horizontal="center" vertical="center"/>
    </xf>
    <xf numFmtId="164" fontId="18" fillId="0" borderId="16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5" fillId="0" borderId="0" xfId="0" applyFont="1"/>
    <xf numFmtId="1" fontId="25" fillId="0" borderId="0" xfId="0" applyNumberFormat="1" applyFont="1"/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/>
    </xf>
    <xf numFmtId="0" fontId="25" fillId="0" borderId="16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18" fillId="11" borderId="0" xfId="0" applyFont="1" applyFill="1"/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5" fontId="0" fillId="0" borderId="0" xfId="0" applyNumberFormat="1"/>
    <xf numFmtId="165" fontId="25" fillId="0" borderId="0" xfId="0" applyNumberFormat="1" applyFont="1"/>
    <xf numFmtId="165" fontId="26" fillId="0" borderId="0" xfId="0" applyNumberFormat="1" applyFont="1"/>
    <xf numFmtId="0" fontId="27" fillId="0" borderId="0" xfId="297"/>
    <xf numFmtId="0" fontId="27" fillId="0" borderId="3" xfId="297" applyFill="1" applyBorder="1" applyAlignment="1">
      <alignment horizontal="center" vertical="center"/>
    </xf>
    <xf numFmtId="0" fontId="27" fillId="0" borderId="16" xfId="297" applyFill="1" applyBorder="1" applyAlignment="1">
      <alignment horizontal="center" vertical="center"/>
    </xf>
    <xf numFmtId="11" fontId="27" fillId="0" borderId="16" xfId="297" applyNumberFormat="1" applyFill="1" applyBorder="1" applyAlignment="1">
      <alignment horizontal="center" vertical="center"/>
    </xf>
    <xf numFmtId="0" fontId="0" fillId="0" borderId="16" xfId="297" applyFont="1" applyBorder="1" applyAlignment="1">
      <alignment horizontal="center" vertical="center"/>
    </xf>
    <xf numFmtId="0" fontId="27" fillId="0" borderId="16" xfId="297" applyBorder="1" applyAlignment="1">
      <alignment horizontal="center" vertical="center"/>
    </xf>
    <xf numFmtId="11" fontId="27" fillId="0" borderId="16" xfId="297" applyNumberFormat="1" applyBorder="1" applyAlignment="1">
      <alignment horizontal="center" vertical="center"/>
    </xf>
    <xf numFmtId="2" fontId="27" fillId="0" borderId="16" xfId="297" applyNumberFormat="1" applyBorder="1" applyAlignment="1">
      <alignment horizontal="center" vertical="center"/>
    </xf>
    <xf numFmtId="0" fontId="27" fillId="2" borderId="21" xfId="297" applyFill="1" applyBorder="1" applyAlignment="1">
      <alignment wrapText="1"/>
    </xf>
    <xf numFmtId="0" fontId="0" fillId="2" borderId="21" xfId="297" applyFont="1" applyFill="1" applyBorder="1" applyAlignment="1">
      <alignment wrapText="1"/>
    </xf>
    <xf numFmtId="0" fontId="0" fillId="2" borderId="21" xfId="297" applyFont="1" applyFill="1" applyBorder="1" applyAlignment="1">
      <alignment horizontal="center" vertical="center" wrapText="1"/>
    </xf>
    <xf numFmtId="0" fontId="27" fillId="0" borderId="16" xfId="297" applyBorder="1"/>
    <xf numFmtId="0" fontId="27" fillId="2" borderId="16" xfId="297" applyFill="1" applyBorder="1"/>
    <xf numFmtId="0" fontId="0" fillId="0" borderId="0" xfId="297" applyFont="1"/>
    <xf numFmtId="0" fontId="28" fillId="12" borderId="0" xfId="297" applyFont="1" applyFill="1"/>
    <xf numFmtId="165" fontId="27" fillId="0" borderId="16" xfId="297" applyNumberFormat="1" applyBorder="1"/>
    <xf numFmtId="0" fontId="0" fillId="0" borderId="16" xfId="297" applyFont="1" applyBorder="1"/>
    <xf numFmtId="165" fontId="27" fillId="0" borderId="16" xfId="297" applyNumberFormat="1" applyBorder="1" applyAlignment="1">
      <alignment horizontal="center" vertical="center"/>
    </xf>
    <xf numFmtId="165" fontId="27" fillId="0" borderId="0" xfId="297" applyNumberFormat="1"/>
    <xf numFmtId="165" fontId="25" fillId="0" borderId="16" xfId="0" applyNumberFormat="1" applyFont="1" applyBorder="1" applyAlignment="1">
      <alignment horizontal="center" vertical="center"/>
    </xf>
    <xf numFmtId="165" fontId="25" fillId="0" borderId="18" xfId="0" applyNumberFormat="1" applyFont="1" applyBorder="1" applyAlignment="1">
      <alignment horizontal="center" vertical="center"/>
    </xf>
    <xf numFmtId="2" fontId="27" fillId="0" borderId="16" xfId="297" applyNumberFormat="1" applyBorder="1"/>
    <xf numFmtId="1" fontId="27" fillId="0" borderId="16" xfId="297" applyNumberFormat="1" applyBorder="1"/>
    <xf numFmtId="0" fontId="29" fillId="0" borderId="16" xfId="297" applyFont="1" applyBorder="1"/>
    <xf numFmtId="165" fontId="25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5" fontId="27" fillId="0" borderId="0" xfId="297" applyNumberFormat="1" applyBorder="1" applyAlignment="1">
      <alignment horizontal="center" vertical="center"/>
    </xf>
    <xf numFmtId="165" fontId="27" fillId="0" borderId="0" xfId="297" applyNumberFormat="1" applyBorder="1"/>
    <xf numFmtId="2" fontId="27" fillId="0" borderId="0" xfId="297" applyNumberFormat="1" applyBorder="1"/>
    <xf numFmtId="1" fontId="27" fillId="0" borderId="0" xfId="297" applyNumberFormat="1" applyBorder="1"/>
    <xf numFmtId="0" fontId="27" fillId="2" borderId="4" xfId="297" applyFill="1" applyBorder="1" applyAlignment="1">
      <alignment horizontal="center" vertical="center"/>
    </xf>
    <xf numFmtId="0" fontId="27" fillId="2" borderId="3" xfId="297" applyFill="1" applyBorder="1" applyAlignment="1">
      <alignment horizontal="center" vertical="center"/>
    </xf>
    <xf numFmtId="0" fontId="27" fillId="2" borderId="16" xfId="297" applyFill="1" applyBorder="1" applyAlignment="1">
      <alignment horizontal="center" vertical="center"/>
    </xf>
    <xf numFmtId="165" fontId="25" fillId="0" borderId="3" xfId="0" applyNumberFormat="1" applyFont="1" applyBorder="1" applyAlignment="1">
      <alignment horizontal="center" vertical="center"/>
    </xf>
    <xf numFmtId="165" fontId="25" fillId="0" borderId="20" xfId="0" applyNumberFormat="1" applyFont="1" applyBorder="1" applyAlignment="1">
      <alignment horizontal="center" vertical="center"/>
    </xf>
    <xf numFmtId="165" fontId="25" fillId="0" borderId="0" xfId="0" applyNumberFormat="1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0" fillId="0" borderId="22" xfId="297" applyFont="1" applyBorder="1" applyAlignment="1">
      <alignment horizontal="center"/>
    </xf>
    <xf numFmtId="0" fontId="27" fillId="0" borderId="22" xfId="297" applyBorder="1" applyAlignment="1">
      <alignment horizontal="center"/>
    </xf>
    <xf numFmtId="0" fontId="27" fillId="0" borderId="17" xfId="297" applyNumberFormat="1" applyFill="1" applyBorder="1" applyAlignment="1">
      <alignment horizontal="center" vertical="center"/>
    </xf>
    <xf numFmtId="0" fontId="27" fillId="0" borderId="5" xfId="297" applyNumberFormat="1" applyFill="1" applyBorder="1" applyAlignment="1">
      <alignment horizontal="center" vertical="center"/>
    </xf>
    <xf numFmtId="0" fontId="27" fillId="0" borderId="18" xfId="297" applyNumberFormat="1" applyFill="1" applyBorder="1" applyAlignment="1">
      <alignment horizontal="center" vertical="center"/>
    </xf>
    <xf numFmtId="0" fontId="27" fillId="2" borderId="4" xfId="297" applyFill="1" applyBorder="1" applyAlignment="1">
      <alignment horizontal="center" vertical="center"/>
    </xf>
    <xf numFmtId="0" fontId="27" fillId="2" borderId="3" xfId="297" applyFill="1" applyBorder="1" applyAlignment="1">
      <alignment horizontal="center" vertical="center"/>
    </xf>
    <xf numFmtId="0" fontId="0" fillId="2" borderId="4" xfId="297" applyFont="1" applyFill="1" applyBorder="1" applyAlignment="1">
      <alignment horizontal="center" vertical="center"/>
    </xf>
    <xf numFmtId="0" fontId="27" fillId="2" borderId="16" xfId="297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400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Input" xfId="10"/>
    <cellStyle name="Linked Cell" xfId="11"/>
    <cellStyle name="Neutral" xfId="12"/>
    <cellStyle name="Normal" xfId="0" builtinId="0"/>
    <cellStyle name="Normal 2" xfId="297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1425FF"/>
      <color rgb="FFBF0000"/>
      <color rgb="FFDE00FD"/>
      <color rgb="FFFEC009"/>
      <color rgb="FF67FF65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hartsheet" Target="chartsheets/sheet2.xml"/><Relationship Id="rId21" Type="http://schemas.openxmlformats.org/officeDocument/2006/relationships/worksheet" Target="worksheets/sheet19.xml"/><Relationship Id="rId22" Type="http://schemas.openxmlformats.org/officeDocument/2006/relationships/theme" Target="theme/theme1.xml"/><Relationship Id="rId23" Type="http://schemas.openxmlformats.org/officeDocument/2006/relationships/connections" Target="connections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('Calibration F. prausnitzii'!$R$4:$R$5,'Calibration F. prausnitzii'!$R$7:$R$9,'Calibration F. prausnitzii'!$R$12:$R$18)</c:f>
              <c:numCache>
                <c:formatCode>0.00</c:formatCode>
                <c:ptCount val="12"/>
                <c:pt idx="0">
                  <c:v>8.615856001921256</c:v>
                </c:pt>
                <c:pt idx="1">
                  <c:v>7.578787169009893</c:v>
                </c:pt>
                <c:pt idx="2">
                  <c:v>5.16625245195416</c:v>
                </c:pt>
                <c:pt idx="3">
                  <c:v>4.327142945090009</c:v>
                </c:pt>
                <c:pt idx="4">
                  <c:v>8.5970052819172</c:v>
                </c:pt>
                <c:pt idx="5">
                  <c:v>7.638654956108294</c:v>
                </c:pt>
                <c:pt idx="6">
                  <c:v>7.317915960046743</c:v>
                </c:pt>
                <c:pt idx="7">
                  <c:v>6.979500247162297</c:v>
                </c:pt>
                <c:pt idx="8">
                  <c:v>6.727141401256697</c:v>
                </c:pt>
                <c:pt idx="9">
                  <c:v>6.258345785566837</c:v>
                </c:pt>
                <c:pt idx="10">
                  <c:v>5.898754948228658</c:v>
                </c:pt>
                <c:pt idx="11">
                  <c:v>5.513685518117733</c:v>
                </c:pt>
              </c:numCache>
            </c:numRef>
          </c:xVal>
          <c:yVal>
            <c:numRef>
              <c:f>('Calibration F. prausnitzii'!$L$23:$L$24,'Calibration F. prausnitzii'!$L$26:$L$28,'Calibration F. prausnitzii'!$L$31:$L$37)</c:f>
              <c:numCache>
                <c:formatCode>0.0</c:formatCode>
                <c:ptCount val="12"/>
                <c:pt idx="0">
                  <c:v>7.615938071690805</c:v>
                </c:pt>
                <c:pt idx="1">
                  <c:v>10.99721674549859</c:v>
                </c:pt>
                <c:pt idx="2">
                  <c:v>18.92516283619683</c:v>
                </c:pt>
                <c:pt idx="3">
                  <c:v>22.15071698455295</c:v>
                </c:pt>
                <c:pt idx="4">
                  <c:v>7.926772761510367</c:v>
                </c:pt>
                <c:pt idx="5">
                  <c:v>11.08311685737625</c:v>
                </c:pt>
                <c:pt idx="6">
                  <c:v>13.44173781888341</c:v>
                </c:pt>
                <c:pt idx="7">
                  <c:v>14.0348183395133</c:v>
                </c:pt>
                <c:pt idx="8">
                  <c:v>13.99912230985021</c:v>
                </c:pt>
                <c:pt idx="9">
                  <c:v>15.79201794481929</c:v>
                </c:pt>
                <c:pt idx="10">
                  <c:v>16.9694255274202</c:v>
                </c:pt>
                <c:pt idx="11">
                  <c:v>17.46778266446447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503992"/>
        <c:axId val="-2090009928"/>
      </c:scatterChart>
      <c:valAx>
        <c:axId val="-2089503992"/>
        <c:scaling>
          <c:orientation val="minMax"/>
          <c:max val="15.0"/>
          <c:min val="0.0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2090009928"/>
        <c:crosses val="autoZero"/>
        <c:crossBetween val="midCat"/>
        <c:majorUnit val="2.0"/>
      </c:valAx>
      <c:valAx>
        <c:axId val="-209000992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crossAx val="-2089503992"/>
        <c:crosses val="autoZero"/>
        <c:crossBetween val="midCat"/>
        <c:minorUnit val="1.0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858719504324"/>
          <c:y val="0.0157103087009521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Metabolites!$M$4:$M$21</c:f>
                <c:numCache>
                  <c:formatCode>General</c:formatCode>
                  <c:ptCount val="18"/>
                  <c:pt idx="0">
                    <c:v>0.0558750328246799</c:v>
                  </c:pt>
                  <c:pt idx="1">
                    <c:v>0.044404973357016</c:v>
                  </c:pt>
                  <c:pt idx="2">
                    <c:v>0.022202486678508</c:v>
                  </c:pt>
                  <c:pt idx="3">
                    <c:v>0.0256372233210313</c:v>
                  </c:pt>
                  <c:pt idx="4">
                    <c:v>0.0558750328246799</c:v>
                  </c:pt>
                  <c:pt idx="5">
                    <c:v>0.0339413545901238</c:v>
                  </c:pt>
                  <c:pt idx="6">
                    <c:v>0.0384858786026263</c:v>
                  </c:pt>
                  <c:pt idx="7">
                    <c:v>0.0462936348968138</c:v>
                  </c:pt>
                  <c:pt idx="8">
                    <c:v>0.0128622891658833</c:v>
                  </c:pt>
                  <c:pt idx="9">
                    <c:v>0.0128979846954833</c:v>
                  </c:pt>
                  <c:pt idx="10">
                    <c:v>0.046685120078052</c:v>
                  </c:pt>
                  <c:pt idx="11">
                    <c:v>0.0450353900879809</c:v>
                  </c:pt>
                  <c:pt idx="12">
                    <c:v>0.0130690214914682</c:v>
                  </c:pt>
                  <c:pt idx="13">
                    <c:v>0.0730048541769179</c:v>
                  </c:pt>
                  <c:pt idx="14">
                    <c:v>0.0131270099202215</c:v>
                  </c:pt>
                  <c:pt idx="15">
                    <c:v>0.126894789766341</c:v>
                  </c:pt>
                  <c:pt idx="16">
                    <c:v>0.0131583767300668</c:v>
                  </c:pt>
                  <c:pt idx="17">
                    <c:v>0.057433858083338</c:v>
                  </c:pt>
                </c:numCache>
              </c:numRef>
            </c:plus>
            <c:minus>
              <c:numRef>
                <c:f>Metabolites!$M$4:$M$21</c:f>
                <c:numCache>
                  <c:formatCode>General</c:formatCode>
                  <c:ptCount val="18"/>
                  <c:pt idx="0">
                    <c:v>0.0558750328246799</c:v>
                  </c:pt>
                  <c:pt idx="1">
                    <c:v>0.044404973357016</c:v>
                  </c:pt>
                  <c:pt idx="2">
                    <c:v>0.022202486678508</c:v>
                  </c:pt>
                  <c:pt idx="3">
                    <c:v>0.0256372233210313</c:v>
                  </c:pt>
                  <c:pt idx="4">
                    <c:v>0.0558750328246799</c:v>
                  </c:pt>
                  <c:pt idx="5">
                    <c:v>0.0339413545901238</c:v>
                  </c:pt>
                  <c:pt idx="6">
                    <c:v>0.0384858786026263</c:v>
                  </c:pt>
                  <c:pt idx="7">
                    <c:v>0.0462936348968138</c:v>
                  </c:pt>
                  <c:pt idx="8">
                    <c:v>0.0128622891658833</c:v>
                  </c:pt>
                  <c:pt idx="9">
                    <c:v>0.0128979846954833</c:v>
                  </c:pt>
                  <c:pt idx="10">
                    <c:v>0.046685120078052</c:v>
                  </c:pt>
                  <c:pt idx="11">
                    <c:v>0.0450353900879809</c:v>
                  </c:pt>
                  <c:pt idx="12">
                    <c:v>0.0130690214914682</c:v>
                  </c:pt>
                  <c:pt idx="13">
                    <c:v>0.0730048541769179</c:v>
                  </c:pt>
                  <c:pt idx="14">
                    <c:v>0.0131270099202215</c:v>
                  </c:pt>
                  <c:pt idx="15">
                    <c:v>0.126894789766341</c:v>
                  </c:pt>
                  <c:pt idx="16">
                    <c:v>0.0131583767300668</c:v>
                  </c:pt>
                  <c:pt idx="17">
                    <c:v>0.057433858083338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Metabolites!$L$4:$L$21</c:f>
              <c:numCache>
                <c:formatCode>0</c:formatCode>
                <c:ptCount val="18"/>
                <c:pt idx="0">
                  <c:v>0.096210775606868</c:v>
                </c:pt>
                <c:pt idx="1">
                  <c:v>0.11101243339254</c:v>
                </c:pt>
                <c:pt idx="2">
                  <c:v>0.133214920071048</c:v>
                </c:pt>
                <c:pt idx="3">
                  <c:v>0.192421551213736</c:v>
                </c:pt>
                <c:pt idx="4">
                  <c:v>0.1850207223209</c:v>
                </c:pt>
                <c:pt idx="5">
                  <c:v>0.207385102131439</c:v>
                </c:pt>
                <c:pt idx="6">
                  <c:v>0.222198323712256</c:v>
                </c:pt>
                <c:pt idx="7">
                  <c:v>0.22980034295756</c:v>
                </c:pt>
                <c:pt idx="8">
                  <c:v>0.215355337257208</c:v>
                </c:pt>
                <c:pt idx="9">
                  <c:v>0.253186267821993</c:v>
                </c:pt>
                <c:pt idx="10">
                  <c:v>0.216792460559751</c:v>
                </c:pt>
                <c:pt idx="11">
                  <c:v>0.225176950439905</c:v>
                </c:pt>
                <c:pt idx="12">
                  <c:v>0.347088541502632</c:v>
                </c:pt>
                <c:pt idx="13">
                  <c:v>0.507206798657428</c:v>
                </c:pt>
                <c:pt idx="14">
                  <c:v>0.810940450087147</c:v>
                </c:pt>
                <c:pt idx="15">
                  <c:v>1.435831553621289</c:v>
                </c:pt>
                <c:pt idx="16">
                  <c:v>1.724517262814988</c:v>
                </c:pt>
                <c:pt idx="17">
                  <c:v>2.160473297197944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circ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Metabolites!$Q$4:$Q$21</c:f>
                <c:numCache>
                  <c:formatCode>General</c:formatCode>
                  <c:ptCount val="18"/>
                  <c:pt idx="0">
                    <c:v>0.14517565174157</c:v>
                  </c:pt>
                  <c:pt idx="1">
                    <c:v>0.195152881834551</c:v>
                  </c:pt>
                  <c:pt idx="2">
                    <c:v>0.288434772284574</c:v>
                  </c:pt>
                  <c:pt idx="3">
                    <c:v>0.0693310907399218</c:v>
                  </c:pt>
                  <c:pt idx="4">
                    <c:v>0.211518833008687</c:v>
                  </c:pt>
                  <c:pt idx="5">
                    <c:v>0.541916170488743</c:v>
                  </c:pt>
                  <c:pt idx="6">
                    <c:v>0.101829715952651</c:v>
                  </c:pt>
                  <c:pt idx="7">
                    <c:v>0.0882621737439779</c:v>
                  </c:pt>
                  <c:pt idx="8">
                    <c:v>0.308712075420554</c:v>
                  </c:pt>
                  <c:pt idx="9">
                    <c:v>0.585578280242439</c:v>
                  </c:pt>
                  <c:pt idx="10">
                    <c:v>0.343632584554947</c:v>
                  </c:pt>
                  <c:pt idx="11">
                    <c:v>1.18240545040148</c:v>
                  </c:pt>
                  <c:pt idx="12">
                    <c:v>0.357750751452574</c:v>
                  </c:pt>
                  <c:pt idx="13">
                    <c:v>1.97682598990152</c:v>
                  </c:pt>
                  <c:pt idx="14">
                    <c:v>0.245948103678959</c:v>
                  </c:pt>
                  <c:pt idx="15">
                    <c:v>0.375034553556105</c:v>
                  </c:pt>
                  <c:pt idx="16">
                    <c:v>0.120065585786218</c:v>
                  </c:pt>
                  <c:pt idx="17">
                    <c:v>0.227946210416983</c:v>
                  </c:pt>
                </c:numCache>
              </c:numRef>
            </c:plus>
            <c:minus>
              <c:numRef>
                <c:f>Metabolites!$Q$4:$Q$21</c:f>
                <c:numCache>
                  <c:formatCode>General</c:formatCode>
                  <c:ptCount val="18"/>
                  <c:pt idx="0">
                    <c:v>0.14517565174157</c:v>
                  </c:pt>
                  <c:pt idx="1">
                    <c:v>0.195152881834551</c:v>
                  </c:pt>
                  <c:pt idx="2">
                    <c:v>0.288434772284574</c:v>
                  </c:pt>
                  <c:pt idx="3">
                    <c:v>0.0693310907399218</c:v>
                  </c:pt>
                  <c:pt idx="4">
                    <c:v>0.211518833008687</c:v>
                  </c:pt>
                  <c:pt idx="5">
                    <c:v>0.541916170488743</c:v>
                  </c:pt>
                  <c:pt idx="6">
                    <c:v>0.101829715952651</c:v>
                  </c:pt>
                  <c:pt idx="7">
                    <c:v>0.0882621737439779</c:v>
                  </c:pt>
                  <c:pt idx="8">
                    <c:v>0.308712075420554</c:v>
                  </c:pt>
                  <c:pt idx="9">
                    <c:v>0.585578280242439</c:v>
                  </c:pt>
                  <c:pt idx="10">
                    <c:v>0.343632584554947</c:v>
                  </c:pt>
                  <c:pt idx="11">
                    <c:v>1.18240545040148</c:v>
                  </c:pt>
                  <c:pt idx="12">
                    <c:v>0.357750751452574</c:v>
                  </c:pt>
                  <c:pt idx="13">
                    <c:v>1.97682598990152</c:v>
                  </c:pt>
                  <c:pt idx="14">
                    <c:v>0.245948103678959</c:v>
                  </c:pt>
                  <c:pt idx="15">
                    <c:v>0.375034553556105</c:v>
                  </c:pt>
                  <c:pt idx="16">
                    <c:v>0.120065585786218</c:v>
                  </c:pt>
                  <c:pt idx="17">
                    <c:v>0.227946210416983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Metabolites!$P$4:$P$21</c:f>
              <c:numCache>
                <c:formatCode>0</c:formatCode>
                <c:ptCount val="18"/>
                <c:pt idx="0">
                  <c:v>47.59367194004996</c:v>
                </c:pt>
                <c:pt idx="1">
                  <c:v>47.58257008048849</c:v>
                </c:pt>
                <c:pt idx="2">
                  <c:v>47.66028309741882</c:v>
                </c:pt>
                <c:pt idx="3">
                  <c:v>47.84901470996392</c:v>
                </c:pt>
                <c:pt idx="4">
                  <c:v>47.57146822092701</c:v>
                </c:pt>
                <c:pt idx="5">
                  <c:v>47.54197023313905</c:v>
                </c:pt>
                <c:pt idx="6">
                  <c:v>46.9864435886761</c:v>
                </c:pt>
                <c:pt idx="7">
                  <c:v>46.40371268623664</c:v>
                </c:pt>
                <c:pt idx="8">
                  <c:v>45.59474089814187</c:v>
                </c:pt>
                <c:pt idx="9">
                  <c:v>44.9616748282096</c:v>
                </c:pt>
                <c:pt idx="10">
                  <c:v>42.09745202932767</c:v>
                </c:pt>
                <c:pt idx="11">
                  <c:v>37.44900551077107</c:v>
                </c:pt>
                <c:pt idx="12">
                  <c:v>36.33313252636144</c:v>
                </c:pt>
                <c:pt idx="13">
                  <c:v>35.02192379403242</c:v>
                </c:pt>
                <c:pt idx="14">
                  <c:v>34.65257518847308</c:v>
                </c:pt>
                <c:pt idx="15">
                  <c:v>34.9974878255318</c:v>
                </c:pt>
                <c:pt idx="16">
                  <c:v>34.78096152508078</c:v>
                </c:pt>
                <c:pt idx="17">
                  <c:v>35.04497424049181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Metabolites!$U$4:$U$21</c:f>
                <c:numCache>
                  <c:formatCode>General</c:formatCode>
                  <c:ptCount val="18"/>
                  <c:pt idx="0">
                    <c:v>0.175600777072665</c:v>
                  </c:pt>
                  <c:pt idx="1">
                    <c:v>0.0663708551662805</c:v>
                  </c:pt>
                  <c:pt idx="2">
                    <c:v>0.214333385284217</c:v>
                  </c:pt>
                  <c:pt idx="3">
                    <c:v>0.199112565498841</c:v>
                  </c:pt>
                  <c:pt idx="4">
                    <c:v>0.0868998479252661</c:v>
                  </c:pt>
                  <c:pt idx="5">
                    <c:v>2.30963884346955E-17</c:v>
                  </c:pt>
                  <c:pt idx="6">
                    <c:v>0.0502108471942151</c:v>
                  </c:pt>
                  <c:pt idx="7">
                    <c:v>0.0870417535279951</c:v>
                  </c:pt>
                  <c:pt idx="8">
                    <c:v>0.109719159517576</c:v>
                  </c:pt>
                  <c:pt idx="9">
                    <c:v>0.315261951148751</c:v>
                  </c:pt>
                  <c:pt idx="10">
                    <c:v>0.154132800262079</c:v>
                  </c:pt>
                  <c:pt idx="11">
                    <c:v>2.285674494624707</c:v>
                  </c:pt>
                  <c:pt idx="12">
                    <c:v>2.260536855268588</c:v>
                  </c:pt>
                  <c:pt idx="13">
                    <c:v>2.022595191062473</c:v>
                  </c:pt>
                  <c:pt idx="14">
                    <c:v>1.068195422805325</c:v>
                  </c:pt>
                  <c:pt idx="15">
                    <c:v>0.843115573852424</c:v>
                  </c:pt>
                  <c:pt idx="16">
                    <c:v>0.051501480592849</c:v>
                  </c:pt>
                  <c:pt idx="17">
                    <c:v>0.189485277794459</c:v>
                  </c:pt>
                </c:numCache>
              </c:numRef>
            </c:plus>
            <c:minus>
              <c:numRef>
                <c:f>Metabolites!$U$4:$U$21</c:f>
                <c:numCache>
                  <c:formatCode>General</c:formatCode>
                  <c:ptCount val="18"/>
                  <c:pt idx="0">
                    <c:v>0.175600777072665</c:v>
                  </c:pt>
                  <c:pt idx="1">
                    <c:v>0.0663708551662805</c:v>
                  </c:pt>
                  <c:pt idx="2">
                    <c:v>0.214333385284217</c:v>
                  </c:pt>
                  <c:pt idx="3">
                    <c:v>0.199112565498841</c:v>
                  </c:pt>
                  <c:pt idx="4">
                    <c:v>0.0868998479252661</c:v>
                  </c:pt>
                  <c:pt idx="5">
                    <c:v>2.30963884346955E-17</c:v>
                  </c:pt>
                  <c:pt idx="6">
                    <c:v>0.0502108471942151</c:v>
                  </c:pt>
                  <c:pt idx="7">
                    <c:v>0.0870417535279951</c:v>
                  </c:pt>
                  <c:pt idx="8">
                    <c:v>0.109719159517576</c:v>
                  </c:pt>
                  <c:pt idx="9">
                    <c:v>0.315261951148751</c:v>
                  </c:pt>
                  <c:pt idx="10">
                    <c:v>0.154132800262079</c:v>
                  </c:pt>
                  <c:pt idx="11">
                    <c:v>2.285674494624707</c:v>
                  </c:pt>
                  <c:pt idx="12">
                    <c:v>2.260536855268588</c:v>
                  </c:pt>
                  <c:pt idx="13">
                    <c:v>2.022595191062473</c:v>
                  </c:pt>
                  <c:pt idx="14">
                    <c:v>1.068195422805325</c:v>
                  </c:pt>
                  <c:pt idx="15">
                    <c:v>0.843115573852424</c:v>
                  </c:pt>
                  <c:pt idx="16">
                    <c:v>0.051501480592849</c:v>
                  </c:pt>
                  <c:pt idx="17">
                    <c:v>0.189485277794459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Metabolites!$T$4:$T$21</c:f>
              <c:numCache>
                <c:formatCode>0</c:formatCode>
                <c:ptCount val="18"/>
                <c:pt idx="0">
                  <c:v>0.535882395539141</c:v>
                </c:pt>
                <c:pt idx="1">
                  <c:v>0.506915779564052</c:v>
                </c:pt>
                <c:pt idx="2">
                  <c:v>0.448982547613875</c:v>
                </c:pt>
                <c:pt idx="3">
                  <c:v>0.434499239626331</c:v>
                </c:pt>
                <c:pt idx="4">
                  <c:v>0.347599391701064</c:v>
                </c:pt>
                <c:pt idx="5">
                  <c:v>0.130451607647187</c:v>
                </c:pt>
                <c:pt idx="6">
                  <c:v>0.159440853791006</c:v>
                </c:pt>
                <c:pt idx="7">
                  <c:v>0.435208767639976</c:v>
                </c:pt>
                <c:pt idx="8">
                  <c:v>1.3660698235275</c:v>
                </c:pt>
                <c:pt idx="9">
                  <c:v>3.541236289832361</c:v>
                </c:pt>
                <c:pt idx="10">
                  <c:v>6.129818312634311</c:v>
                </c:pt>
                <c:pt idx="11">
                  <c:v>11.11951795900451</c:v>
                </c:pt>
                <c:pt idx="12">
                  <c:v>16.78921196275557</c:v>
                </c:pt>
                <c:pt idx="13">
                  <c:v>18.7556177002005</c:v>
                </c:pt>
                <c:pt idx="14">
                  <c:v>20.83861797164174</c:v>
                </c:pt>
                <c:pt idx="15">
                  <c:v>22.99955351453196</c:v>
                </c:pt>
                <c:pt idx="16">
                  <c:v>22.3751312471691</c:v>
                </c:pt>
                <c:pt idx="17">
                  <c:v>22.59902679364001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0.00668892238451087</c:v>
                </c:pt>
                <c:pt idx="2">
                  <c:v>0.0216061268682065</c:v>
                </c:pt>
                <c:pt idx="3">
                  <c:v>0.0390425441576087</c:v>
                </c:pt>
                <c:pt idx="4">
                  <c:v>0.058316066576087</c:v>
                </c:pt>
                <c:pt idx="5">
                  <c:v>0.0812878351068688</c:v>
                </c:pt>
                <c:pt idx="6">
                  <c:v>0.110421894980818</c:v>
                </c:pt>
                <c:pt idx="7">
                  <c:v>0.14745001414091</c:v>
                </c:pt>
                <c:pt idx="8">
                  <c:v>0.193671285034805</c:v>
                </c:pt>
                <c:pt idx="9">
                  <c:v>0.247316247789166</c:v>
                </c:pt>
                <c:pt idx="10">
                  <c:v>0.306455676290925</c:v>
                </c:pt>
                <c:pt idx="11">
                  <c:v>0.371363101102955</c:v>
                </c:pt>
                <c:pt idx="12">
                  <c:v>0.442892217167041</c:v>
                </c:pt>
                <c:pt idx="13">
                  <c:v>0.519215703495166</c:v>
                </c:pt>
                <c:pt idx="14">
                  <c:v>0.599073125370166</c:v>
                </c:pt>
                <c:pt idx="15">
                  <c:v>0.683977762710003</c:v>
                </c:pt>
                <c:pt idx="16">
                  <c:v>0.773740933977435</c:v>
                </c:pt>
                <c:pt idx="17">
                  <c:v>0.867350246948221</c:v>
                </c:pt>
                <c:pt idx="18">
                  <c:v>0.967177460395502</c:v>
                </c:pt>
                <c:pt idx="19">
                  <c:v>1.075251454951685</c:v>
                </c:pt>
                <c:pt idx="20">
                  <c:v>1.193480589529186</c:v>
                </c:pt>
                <c:pt idx="21">
                  <c:v>1.323051469019574</c:v>
                </c:pt>
                <c:pt idx="22">
                  <c:v>1.463875748257078</c:v>
                </c:pt>
                <c:pt idx="23">
                  <c:v>1.623630927078033</c:v>
                </c:pt>
                <c:pt idx="24">
                  <c:v>1.808239808295468</c:v>
                </c:pt>
                <c:pt idx="25">
                  <c:v>2.020616578207147</c:v>
                </c:pt>
                <c:pt idx="26">
                  <c:v>2.277240526844752</c:v>
                </c:pt>
                <c:pt idx="27">
                  <c:v>2.591392264994617</c:v>
                </c:pt>
                <c:pt idx="28">
                  <c:v>2.977129781827767</c:v>
                </c:pt>
                <c:pt idx="29">
                  <c:v>3.446387456409303</c:v>
                </c:pt>
                <c:pt idx="30">
                  <c:v>3.999644512314254</c:v>
                </c:pt>
                <c:pt idx="31">
                  <c:v>4.647573230384317</c:v>
                </c:pt>
                <c:pt idx="32">
                  <c:v>5.373853703118254</c:v>
                </c:pt>
                <c:pt idx="33">
                  <c:v>6.141419332716233</c:v>
                </c:pt>
                <c:pt idx="34">
                  <c:v>6.95327465027991</c:v>
                </c:pt>
                <c:pt idx="35">
                  <c:v>7.800717540700064</c:v>
                </c:pt>
                <c:pt idx="36">
                  <c:v>8.662460782036405</c:v>
                </c:pt>
                <c:pt idx="37">
                  <c:v>9.520448128872552</c:v>
                </c:pt>
                <c:pt idx="38">
                  <c:v>10.35769806972092</c:v>
                </c:pt>
                <c:pt idx="39">
                  <c:v>11.18314369758417</c:v>
                </c:pt>
                <c:pt idx="40">
                  <c:v>11.96112773884759</c:v>
                </c:pt>
                <c:pt idx="41">
                  <c:v>12.65435337892749</c:v>
                </c:pt>
                <c:pt idx="42">
                  <c:v>13.26672392374281</c:v>
                </c:pt>
                <c:pt idx="43">
                  <c:v>13.80182610194726</c:v>
                </c:pt>
                <c:pt idx="44">
                  <c:v>14.268215528836</c:v>
                </c:pt>
                <c:pt idx="45">
                  <c:v>14.67153209721051</c:v>
                </c:pt>
                <c:pt idx="46">
                  <c:v>15.01709912260703</c:v>
                </c:pt>
                <c:pt idx="47">
                  <c:v>15.31835393351231</c:v>
                </c:pt>
                <c:pt idx="48">
                  <c:v>15.5906584091818</c:v>
                </c:pt>
                <c:pt idx="49">
                  <c:v>15.83455211386795</c:v>
                </c:pt>
                <c:pt idx="50">
                  <c:v>16.04292105709195</c:v>
                </c:pt>
                <c:pt idx="51">
                  <c:v>16.21972087622976</c:v>
                </c:pt>
                <c:pt idx="52">
                  <c:v>16.37156262481588</c:v>
                </c:pt>
                <c:pt idx="53">
                  <c:v>16.50500670643713</c:v>
                </c:pt>
                <c:pt idx="54">
                  <c:v>16.62171653949662</c:v>
                </c:pt>
                <c:pt idx="55">
                  <c:v>16.72392319242064</c:v>
                </c:pt>
                <c:pt idx="56">
                  <c:v>16.81505541959301</c:v>
                </c:pt>
                <c:pt idx="57">
                  <c:v>16.89525837635153</c:v>
                </c:pt>
                <c:pt idx="58">
                  <c:v>16.96500767805841</c:v>
                </c:pt>
                <c:pt idx="59">
                  <c:v>17.02595562483554</c:v>
                </c:pt>
                <c:pt idx="60">
                  <c:v>17.068576101317</c:v>
                </c:pt>
                <c:pt idx="61">
                  <c:v>17.10796691071348</c:v>
                </c:pt>
                <c:pt idx="62">
                  <c:v>17.15680644918808</c:v>
                </c:pt>
                <c:pt idx="63">
                  <c:v>17.20143163024678</c:v>
                </c:pt>
                <c:pt idx="64">
                  <c:v>17.24236671864636</c:v>
                </c:pt>
                <c:pt idx="65">
                  <c:v>17.28036448806621</c:v>
                </c:pt>
                <c:pt idx="66">
                  <c:v>17.31621100920018</c:v>
                </c:pt>
                <c:pt idx="67">
                  <c:v>17.34925144076428</c:v>
                </c:pt>
                <c:pt idx="68">
                  <c:v>17.37910319353377</c:v>
                </c:pt>
                <c:pt idx="69">
                  <c:v>17.40728421963752</c:v>
                </c:pt>
                <c:pt idx="70">
                  <c:v>17.43461388678383</c:v>
                </c:pt>
                <c:pt idx="71">
                  <c:v>17.45921385162869</c:v>
                </c:pt>
                <c:pt idx="72">
                  <c:v>17.48162992405586</c:v>
                </c:pt>
                <c:pt idx="73">
                  <c:v>17.49265776466189</c:v>
                </c:pt>
                <c:pt idx="74">
                  <c:v>17.49265776466189</c:v>
                </c:pt>
                <c:pt idx="75">
                  <c:v>17.49265776466189</c:v>
                </c:pt>
                <c:pt idx="76">
                  <c:v>17.49265776466189</c:v>
                </c:pt>
                <c:pt idx="77">
                  <c:v>17.49265776466189</c:v>
                </c:pt>
                <c:pt idx="78">
                  <c:v>17.49265776466189</c:v>
                </c:pt>
                <c:pt idx="79">
                  <c:v>17.49265776466189</c:v>
                </c:pt>
                <c:pt idx="80">
                  <c:v>17.49265776466189</c:v>
                </c:pt>
                <c:pt idx="81">
                  <c:v>17.49265776466189</c:v>
                </c:pt>
                <c:pt idx="82">
                  <c:v>17.49265776466189</c:v>
                </c:pt>
                <c:pt idx="83">
                  <c:v>17.49265776466189</c:v>
                </c:pt>
                <c:pt idx="84">
                  <c:v>17.49265776466189</c:v>
                </c:pt>
                <c:pt idx="85">
                  <c:v>17.49265776466189</c:v>
                </c:pt>
                <c:pt idx="86">
                  <c:v>17.49265776466189</c:v>
                </c:pt>
                <c:pt idx="87">
                  <c:v>17.49265776466189</c:v>
                </c:pt>
                <c:pt idx="88">
                  <c:v>17.49265776466189</c:v>
                </c:pt>
                <c:pt idx="89">
                  <c:v>17.49265776466189</c:v>
                </c:pt>
                <c:pt idx="90">
                  <c:v>17.49265776466189</c:v>
                </c:pt>
                <c:pt idx="91">
                  <c:v>17.49265776466189</c:v>
                </c:pt>
                <c:pt idx="92">
                  <c:v>17.49265776466189</c:v>
                </c:pt>
                <c:pt idx="93">
                  <c:v>17.49265776466189</c:v>
                </c:pt>
                <c:pt idx="94">
                  <c:v>17.49265776466189</c:v>
                </c:pt>
                <c:pt idx="95">
                  <c:v>17.49265776466189</c:v>
                </c:pt>
                <c:pt idx="96">
                  <c:v>17.49265776466189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Metabolites!$I$4:$I$21</c:f>
                <c:numCache>
                  <c:formatCode>General</c:formatCode>
                  <c:ptCount val="18"/>
                  <c:pt idx="0">
                    <c:v>0.0631243417304327</c:v>
                  </c:pt>
                  <c:pt idx="1">
                    <c:v>0.0339148586068388</c:v>
                  </c:pt>
                  <c:pt idx="2">
                    <c:v>0.267430157861973</c:v>
                  </c:pt>
                  <c:pt idx="3">
                    <c:v>0.0833209757933501</c:v>
                  </c:pt>
                  <c:pt idx="4">
                    <c:v>0.28018271456758</c:v>
                  </c:pt>
                  <c:pt idx="5">
                    <c:v>0.437679938807892</c:v>
                  </c:pt>
                  <c:pt idx="6">
                    <c:v>0.285490981052705</c:v>
                  </c:pt>
                  <c:pt idx="7">
                    <c:v>0.123820080008249</c:v>
                  </c:pt>
                  <c:pt idx="8">
                    <c:v>0.231074166134793</c:v>
                  </c:pt>
                  <c:pt idx="9">
                    <c:v>0.62315422086879</c:v>
                  </c:pt>
                  <c:pt idx="10">
                    <c:v>0.24163084161931</c:v>
                  </c:pt>
                  <c:pt idx="11">
                    <c:v>1.14277764533176</c:v>
                  </c:pt>
                  <c:pt idx="12">
                    <c:v>0.147714635295912</c:v>
                  </c:pt>
                  <c:pt idx="13">
                    <c:v>1.82086562626487</c:v>
                  </c:pt>
                  <c:pt idx="14">
                    <c:v>0.236923437763981</c:v>
                  </c:pt>
                  <c:pt idx="15">
                    <c:v>0.172946327523688</c:v>
                  </c:pt>
                  <c:pt idx="16">
                    <c:v>0.155552940262499</c:v>
                  </c:pt>
                  <c:pt idx="17">
                    <c:v>0.0970489992756726</c:v>
                  </c:pt>
                </c:numCache>
              </c:numRef>
            </c:plus>
            <c:minus>
              <c:numRef>
                <c:f>Metabolites!$I$4:$I$21</c:f>
                <c:numCache>
                  <c:formatCode>General</c:formatCode>
                  <c:ptCount val="18"/>
                  <c:pt idx="0">
                    <c:v>0.0631243417304327</c:v>
                  </c:pt>
                  <c:pt idx="1">
                    <c:v>0.0339148586068388</c:v>
                  </c:pt>
                  <c:pt idx="2">
                    <c:v>0.267430157861973</c:v>
                  </c:pt>
                  <c:pt idx="3">
                    <c:v>0.0833209757933501</c:v>
                  </c:pt>
                  <c:pt idx="4">
                    <c:v>0.28018271456758</c:v>
                  </c:pt>
                  <c:pt idx="5">
                    <c:v>0.437679938807892</c:v>
                  </c:pt>
                  <c:pt idx="6">
                    <c:v>0.285490981052705</c:v>
                  </c:pt>
                  <c:pt idx="7">
                    <c:v>0.123820080008249</c:v>
                  </c:pt>
                  <c:pt idx="8">
                    <c:v>0.231074166134793</c:v>
                  </c:pt>
                  <c:pt idx="9">
                    <c:v>0.62315422086879</c:v>
                  </c:pt>
                  <c:pt idx="10">
                    <c:v>0.24163084161931</c:v>
                  </c:pt>
                  <c:pt idx="11">
                    <c:v>1.14277764533176</c:v>
                  </c:pt>
                  <c:pt idx="12">
                    <c:v>0.147714635295912</c:v>
                  </c:pt>
                  <c:pt idx="13">
                    <c:v>1.82086562626487</c:v>
                  </c:pt>
                  <c:pt idx="14">
                    <c:v>0.236923437763981</c:v>
                  </c:pt>
                  <c:pt idx="15">
                    <c:v>0.172946327523688</c:v>
                  </c:pt>
                  <c:pt idx="16">
                    <c:v>0.155552940262499</c:v>
                  </c:pt>
                  <c:pt idx="17">
                    <c:v>0.0970489992756726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Metabolites!$H$4:$H$21</c:f>
              <c:numCache>
                <c:formatCode>0</c:formatCode>
                <c:ptCount val="18"/>
                <c:pt idx="0">
                  <c:v>49.4634399052694</c:v>
                </c:pt>
                <c:pt idx="1">
                  <c:v>49.54854943753702</c:v>
                </c:pt>
                <c:pt idx="2">
                  <c:v>49.39683244523386</c:v>
                </c:pt>
                <c:pt idx="3">
                  <c:v>49.6299585553582</c:v>
                </c:pt>
                <c:pt idx="4">
                  <c:v>49.38943161634104</c:v>
                </c:pt>
                <c:pt idx="5">
                  <c:v>49.63910551731794</c:v>
                </c:pt>
                <c:pt idx="6">
                  <c:v>49.45764355295294</c:v>
                </c:pt>
                <c:pt idx="7">
                  <c:v>48.72508562129172</c:v>
                </c:pt>
                <c:pt idx="8">
                  <c:v>47.86086719388636</c:v>
                </c:pt>
                <c:pt idx="9">
                  <c:v>46.34798032129657</c:v>
                </c:pt>
                <c:pt idx="10">
                  <c:v>42.8426755678597</c:v>
                </c:pt>
                <c:pt idx="11">
                  <c:v>36.74512536261842</c:v>
                </c:pt>
                <c:pt idx="12">
                  <c:v>34.56926419335451</c:v>
                </c:pt>
                <c:pt idx="13">
                  <c:v>31.71556541754168</c:v>
                </c:pt>
                <c:pt idx="14">
                  <c:v>29.49322207022555</c:v>
                </c:pt>
                <c:pt idx="15">
                  <c:v>27.59607470121341</c:v>
                </c:pt>
                <c:pt idx="16">
                  <c:v>26.80978599327794</c:v>
                </c:pt>
                <c:pt idx="17">
                  <c:v>26.21856062955182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Metabolites!$J$23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Metabolites!$M$26:$M$43</c:f>
                <c:numCache>
                  <c:formatCode>General</c:formatCode>
                  <c:ptCount val="18"/>
                  <c:pt idx="0">
                    <c:v>0.0262104310153048</c:v>
                  </c:pt>
                  <c:pt idx="1">
                    <c:v>0.0729667518707142</c:v>
                  </c:pt>
                  <c:pt idx="2">
                    <c:v>0.0346731411111553</c:v>
                  </c:pt>
                  <c:pt idx="3">
                    <c:v>0.0226988991033934</c:v>
                  </c:pt>
                  <c:pt idx="4">
                    <c:v>0.0453977982067869</c:v>
                  </c:pt>
                  <c:pt idx="5">
                    <c:v>0.0393463618718032</c:v>
                  </c:pt>
                  <c:pt idx="6">
                    <c:v>0.0262309079145355</c:v>
                  </c:pt>
                  <c:pt idx="7">
                    <c:v>0.0656330802287101</c:v>
                  </c:pt>
                  <c:pt idx="8">
                    <c:v>0.148191504015571</c:v>
                  </c:pt>
                  <c:pt idx="9">
                    <c:v>0.146837126177476</c:v>
                  </c:pt>
                  <c:pt idx="10">
                    <c:v>0.0700469122717447</c:v>
                  </c:pt>
                  <c:pt idx="11">
                    <c:v>0.544293331371502</c:v>
                  </c:pt>
                  <c:pt idx="12">
                    <c:v>0.0876154056824165</c:v>
                  </c:pt>
                  <c:pt idx="13">
                    <c:v>1.509978112573318</c:v>
                  </c:pt>
                  <c:pt idx="14">
                    <c:v>0.248551306155371</c:v>
                  </c:pt>
                  <c:pt idx="15">
                    <c:v>0.071184347453271</c:v>
                  </c:pt>
                  <c:pt idx="16">
                    <c:v>0.155142688455346</c:v>
                  </c:pt>
                  <c:pt idx="17">
                    <c:v>0.198437722273356</c:v>
                  </c:pt>
                </c:numCache>
              </c:numRef>
            </c:plus>
            <c:minus>
              <c:numRef>
                <c:f>Metabolites!$M$26:$M$43</c:f>
                <c:numCache>
                  <c:formatCode>General</c:formatCode>
                  <c:ptCount val="18"/>
                  <c:pt idx="0">
                    <c:v>0.0262104310153048</c:v>
                  </c:pt>
                  <c:pt idx="1">
                    <c:v>0.0729667518707142</c:v>
                  </c:pt>
                  <c:pt idx="2">
                    <c:v>0.0346731411111553</c:v>
                  </c:pt>
                  <c:pt idx="3">
                    <c:v>0.0226988991033934</c:v>
                  </c:pt>
                  <c:pt idx="4">
                    <c:v>0.0453977982067869</c:v>
                  </c:pt>
                  <c:pt idx="5">
                    <c:v>0.0393463618718032</c:v>
                  </c:pt>
                  <c:pt idx="6">
                    <c:v>0.0262309079145355</c:v>
                  </c:pt>
                  <c:pt idx="7">
                    <c:v>0.0656330802287101</c:v>
                  </c:pt>
                  <c:pt idx="8">
                    <c:v>0.148191504015571</c:v>
                  </c:pt>
                  <c:pt idx="9">
                    <c:v>0.146837126177476</c:v>
                  </c:pt>
                  <c:pt idx="10">
                    <c:v>0.0700469122717447</c:v>
                  </c:pt>
                  <c:pt idx="11">
                    <c:v>0.544293331371502</c:v>
                  </c:pt>
                  <c:pt idx="12">
                    <c:v>0.0876154056824165</c:v>
                  </c:pt>
                  <c:pt idx="13">
                    <c:v>1.509978112573318</c:v>
                  </c:pt>
                  <c:pt idx="14">
                    <c:v>0.248551306155371</c:v>
                  </c:pt>
                  <c:pt idx="15">
                    <c:v>0.071184347453271</c:v>
                  </c:pt>
                  <c:pt idx="16">
                    <c:v>0.155142688455346</c:v>
                  </c:pt>
                  <c:pt idx="17">
                    <c:v>0.198437722273356</c:v>
                  </c:pt>
                </c:numCache>
              </c:numRef>
            </c:minus>
          </c:errBars>
          <c:xVal>
            <c:numRef>
              <c:f>Metabolites!$E$26:$E$43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Metabolites!$L$26:$L$43</c:f>
              <c:numCache>
                <c:formatCode>0</c:formatCode>
                <c:ptCount val="18"/>
                <c:pt idx="0">
                  <c:v>0.105928195815836</c:v>
                </c:pt>
                <c:pt idx="1">
                  <c:v>0.189157492528279</c:v>
                </c:pt>
                <c:pt idx="2">
                  <c:v>0.39344758445882</c:v>
                </c:pt>
                <c:pt idx="3">
                  <c:v>0.794461468618772</c:v>
                </c:pt>
                <c:pt idx="4">
                  <c:v>1.112246056066281</c:v>
                </c:pt>
                <c:pt idx="5">
                  <c:v>1.635597548518897</c:v>
                </c:pt>
                <c:pt idx="6">
                  <c:v>2.347385370559528</c:v>
                </c:pt>
                <c:pt idx="7">
                  <c:v>3.061776744253436</c:v>
                </c:pt>
                <c:pt idx="8">
                  <c:v>4.5704326040873</c:v>
                </c:pt>
                <c:pt idx="9">
                  <c:v>7.438047884089004</c:v>
                </c:pt>
                <c:pt idx="10">
                  <c:v>11.08197982477718</c:v>
                </c:pt>
                <c:pt idx="11">
                  <c:v>15.67740657442029</c:v>
                </c:pt>
                <c:pt idx="12">
                  <c:v>21.60721184186228</c:v>
                </c:pt>
                <c:pt idx="13">
                  <c:v>25.4320283428243</c:v>
                </c:pt>
                <c:pt idx="14">
                  <c:v>27.25864084368468</c:v>
                </c:pt>
                <c:pt idx="15">
                  <c:v>28.74510836935501</c:v>
                </c:pt>
                <c:pt idx="16">
                  <c:v>29.38975684129678</c:v>
                </c:pt>
                <c:pt idx="17">
                  <c:v>30.09071233430383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996328"/>
        <c:axId val="-2091505640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12143.0</c:v>
                </c:pt>
                <c:pt idx="1">
                  <c:v>28227.0</c:v>
                </c:pt>
                <c:pt idx="2">
                  <c:v>4079.0</c:v>
                </c:pt>
                <c:pt idx="3">
                  <c:v>5345.0</c:v>
                </c:pt>
                <c:pt idx="4">
                  <c:v>6171.0</c:v>
                </c:pt>
                <c:pt idx="5">
                  <c:v>6533.0</c:v>
                </c:pt>
                <c:pt idx="6">
                  <c:v>8955.0</c:v>
                </c:pt>
                <c:pt idx="7">
                  <c:v>13092.0</c:v>
                </c:pt>
                <c:pt idx="8">
                  <c:v>23378.0</c:v>
                </c:pt>
                <c:pt idx="9">
                  <c:v>37062.0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cytometer'!$X$4:$X$21</c:f>
                <c:numCache>
                  <c:formatCode>General</c:formatCode>
                  <c:ptCount val="18"/>
                  <c:pt idx="0">
                    <c:v>0.0213911744288505</c:v>
                  </c:pt>
                  <c:pt idx="1">
                    <c:v>0.00285641645378409</c:v>
                  </c:pt>
                  <c:pt idx="2">
                    <c:v>0.000697105396617488</c:v>
                  </c:pt>
                  <c:pt idx="3">
                    <c:v>0.0230796423012348</c:v>
                  </c:pt>
                  <c:pt idx="4">
                    <c:v>0.0172659765639079</c:v>
                  </c:pt>
                  <c:pt idx="5">
                    <c:v>0.0269425014761834</c:v>
                  </c:pt>
                  <c:pt idx="6">
                    <c:v>0.0135823886941657</c:v>
                  </c:pt>
                  <c:pt idx="7">
                    <c:v>0.0181938552396125</c:v>
                  </c:pt>
                  <c:pt idx="8">
                    <c:v>0.0245257901891112</c:v>
                  </c:pt>
                  <c:pt idx="9">
                    <c:v>0.010837973085393</c:v>
                  </c:pt>
                  <c:pt idx="10">
                    <c:v>0.0431327758284478</c:v>
                  </c:pt>
                  <c:pt idx="11">
                    <c:v>0.0119089038848271</c:v>
                  </c:pt>
                  <c:pt idx="12">
                    <c:v>0.00829472632208173</c:v>
                  </c:pt>
                  <c:pt idx="13">
                    <c:v>0.00926900592851465</c:v>
                  </c:pt>
                  <c:pt idx="14">
                    <c:v>0.0370014135419346</c:v>
                  </c:pt>
                  <c:pt idx="15">
                    <c:v>0.0171393381726224</c:v>
                  </c:pt>
                  <c:pt idx="16">
                    <c:v>0.0344510977655677</c:v>
                  </c:pt>
                  <c:pt idx="17">
                    <c:v>0.065080873142392</c:v>
                  </c:pt>
                </c:numCache>
              </c:numRef>
            </c:plus>
            <c:minus>
              <c:numRef>
                <c:f>'Flow cytometer'!$X$4:$X$21</c:f>
                <c:numCache>
                  <c:formatCode>General</c:formatCode>
                  <c:ptCount val="18"/>
                  <c:pt idx="0">
                    <c:v>0.0213911744288505</c:v>
                  </c:pt>
                  <c:pt idx="1">
                    <c:v>0.00285641645378409</c:v>
                  </c:pt>
                  <c:pt idx="2">
                    <c:v>0.000697105396617488</c:v>
                  </c:pt>
                  <c:pt idx="3">
                    <c:v>0.0230796423012348</c:v>
                  </c:pt>
                  <c:pt idx="4">
                    <c:v>0.0172659765639079</c:v>
                  </c:pt>
                  <c:pt idx="5">
                    <c:v>0.0269425014761834</c:v>
                  </c:pt>
                  <c:pt idx="6">
                    <c:v>0.0135823886941657</c:v>
                  </c:pt>
                  <c:pt idx="7">
                    <c:v>0.0181938552396125</c:v>
                  </c:pt>
                  <c:pt idx="8">
                    <c:v>0.0245257901891112</c:v>
                  </c:pt>
                  <c:pt idx="9">
                    <c:v>0.010837973085393</c:v>
                  </c:pt>
                  <c:pt idx="10">
                    <c:v>0.0431327758284478</c:v>
                  </c:pt>
                  <c:pt idx="11">
                    <c:v>0.0119089038848271</c:v>
                  </c:pt>
                  <c:pt idx="12">
                    <c:v>0.00829472632208173</c:v>
                  </c:pt>
                  <c:pt idx="13">
                    <c:v>0.00926900592851465</c:v>
                  </c:pt>
                  <c:pt idx="14">
                    <c:v>0.0370014135419346</c:v>
                  </c:pt>
                  <c:pt idx="15">
                    <c:v>0.0171393381726224</c:v>
                  </c:pt>
                  <c:pt idx="16">
                    <c:v>0.0344510977655677</c:v>
                  </c:pt>
                  <c:pt idx="17">
                    <c:v>0.065080873142392</c:v>
                  </c:pt>
                </c:numCache>
              </c:numRef>
            </c:minus>
          </c:errBars>
          <c:xVal>
            <c:numRef>
              <c:f>'Flow cytometer'!$D$4:$D$21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'Flow cytometer'!$S$4:$S$21</c:f>
              <c:numCache>
                <c:formatCode>0.00</c:formatCode>
                <c:ptCount val="18"/>
                <c:pt idx="0">
                  <c:v>7.241451130253688</c:v>
                </c:pt>
                <c:pt idx="1">
                  <c:v>7.61265642480154</c:v>
                </c:pt>
                <c:pt idx="2">
                  <c:v>7.77480049404409</c:v>
                </c:pt>
                <c:pt idx="3">
                  <c:v>7.898275300328985</c:v>
                </c:pt>
                <c:pt idx="4">
                  <c:v>7.95209468766802</c:v>
                </c:pt>
                <c:pt idx="5">
                  <c:v>7.987967125761027</c:v>
                </c:pt>
                <c:pt idx="6">
                  <c:v>8.104407578334567</c:v>
                </c:pt>
                <c:pt idx="7">
                  <c:v>8.263672689809354</c:v>
                </c:pt>
                <c:pt idx="8">
                  <c:v>8.513932957958495</c:v>
                </c:pt>
                <c:pt idx="9">
                  <c:v>8.729885525252381</c:v>
                </c:pt>
                <c:pt idx="10">
                  <c:v>8.754305208374895</c:v>
                </c:pt>
                <c:pt idx="11">
                  <c:v>8.921762562687853</c:v>
                </c:pt>
                <c:pt idx="12">
                  <c:v>8.892055244145438</c:v>
                </c:pt>
                <c:pt idx="13">
                  <c:v>8.897053070593158</c:v>
                </c:pt>
                <c:pt idx="14">
                  <c:v>8.828462264305288</c:v>
                </c:pt>
                <c:pt idx="15">
                  <c:v>8.736398123741575</c:v>
                </c:pt>
                <c:pt idx="16">
                  <c:v>8.729320311468765</c:v>
                </c:pt>
                <c:pt idx="17">
                  <c:v>8.7366332486743</c:v>
                </c:pt>
              </c:numCache>
            </c:numRef>
          </c:yVal>
          <c:smooth val="0"/>
        </c:ser>
        <c:ser>
          <c:idx val="5"/>
          <c:order val="9"/>
          <c:tx>
            <c:v>qPCR</c:v>
          </c:tx>
          <c:spPr>
            <a:ln>
              <a:solidFill>
                <a:srgbClr val="1425FF"/>
              </a:solidFill>
            </a:ln>
          </c:spPr>
          <c:marker>
            <c:symbol val="circle"/>
            <c:size val="8"/>
            <c:spPr>
              <a:solidFill>
                <a:srgbClr val="0000FF"/>
              </a:solidFill>
              <a:ln w="25400">
                <a:solidFill>
                  <a:srgbClr val="1425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'Determination cell count'!$S$4:$S$21</c:f>
                <c:numCache>
                  <c:formatCode>General</c:formatCode>
                  <c:ptCount val="18"/>
                  <c:pt idx="0">
                    <c:v>0.204729828931934</c:v>
                  </c:pt>
                  <c:pt idx="1">
                    <c:v>0.0712575658022104</c:v>
                  </c:pt>
                  <c:pt idx="2">
                    <c:v>0.375822144284317</c:v>
                  </c:pt>
                  <c:pt idx="3">
                    <c:v>0.02459279945571</c:v>
                  </c:pt>
                  <c:pt idx="4">
                    <c:v>0.120961502836952</c:v>
                  </c:pt>
                  <c:pt idx="5">
                    <c:v>0.0597786290820289</c:v>
                  </c:pt>
                  <c:pt idx="6">
                    <c:v>0.039408394342375</c:v>
                  </c:pt>
                  <c:pt idx="7">
                    <c:v>0.286658271635491</c:v>
                  </c:pt>
                  <c:pt idx="8">
                    <c:v>0.112789153341636</c:v>
                  </c:pt>
                  <c:pt idx="9">
                    <c:v>0.117321087578981</c:v>
                  </c:pt>
                  <c:pt idx="10">
                    <c:v>0.0924422452792878</c:v>
                  </c:pt>
                  <c:pt idx="11">
                    <c:v>0.0185783941835864</c:v>
                  </c:pt>
                  <c:pt idx="12">
                    <c:v>0.0239107573535171</c:v>
                  </c:pt>
                  <c:pt idx="13">
                    <c:v>0.0392317658949512</c:v>
                  </c:pt>
                  <c:pt idx="14">
                    <c:v>0.0298235421561147</c:v>
                  </c:pt>
                  <c:pt idx="15">
                    <c:v>0.0431457541296614</c:v>
                  </c:pt>
                  <c:pt idx="16">
                    <c:v>0.080175787392557</c:v>
                  </c:pt>
                  <c:pt idx="17">
                    <c:v>0.0509296937824691</c:v>
                  </c:pt>
                </c:numCache>
              </c:numRef>
            </c:plus>
            <c:minus>
              <c:numRef>
                <c:f>'Determination cell count'!$S$4:$S$21</c:f>
                <c:numCache>
                  <c:formatCode>General</c:formatCode>
                  <c:ptCount val="18"/>
                  <c:pt idx="0">
                    <c:v>0.204729828931934</c:v>
                  </c:pt>
                  <c:pt idx="1">
                    <c:v>0.0712575658022104</c:v>
                  </c:pt>
                  <c:pt idx="2">
                    <c:v>0.375822144284317</c:v>
                  </c:pt>
                  <c:pt idx="3">
                    <c:v>0.02459279945571</c:v>
                  </c:pt>
                  <c:pt idx="4">
                    <c:v>0.120961502836952</c:v>
                  </c:pt>
                  <c:pt idx="5">
                    <c:v>0.0597786290820289</c:v>
                  </c:pt>
                  <c:pt idx="6">
                    <c:v>0.039408394342375</c:v>
                  </c:pt>
                  <c:pt idx="7">
                    <c:v>0.286658271635491</c:v>
                  </c:pt>
                  <c:pt idx="8">
                    <c:v>0.112789153341636</c:v>
                  </c:pt>
                  <c:pt idx="9">
                    <c:v>0.117321087578981</c:v>
                  </c:pt>
                  <c:pt idx="10">
                    <c:v>0.0924422452792878</c:v>
                  </c:pt>
                  <c:pt idx="11">
                    <c:v>0.0185783941835864</c:v>
                  </c:pt>
                  <c:pt idx="12">
                    <c:v>0.0239107573535171</c:v>
                  </c:pt>
                  <c:pt idx="13">
                    <c:v>0.0392317658949512</c:v>
                  </c:pt>
                  <c:pt idx="14">
                    <c:v>0.0298235421561147</c:v>
                  </c:pt>
                  <c:pt idx="15">
                    <c:v>0.0431457541296614</c:v>
                  </c:pt>
                  <c:pt idx="16">
                    <c:v>0.080175787392557</c:v>
                  </c:pt>
                  <c:pt idx="17">
                    <c:v>0.0509296937824691</c:v>
                  </c:pt>
                </c:numCache>
              </c:numRef>
            </c:minus>
          </c:errBars>
          <c:xVal>
            <c:numRef>
              <c:f>'Determination cell count'!$D$4:$D$21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'Determination cell count'!$R$4:$R$21</c:f>
              <c:numCache>
                <c:formatCode>0.00</c:formatCode>
                <c:ptCount val="18"/>
                <c:pt idx="0">
                  <c:v>5.782985418079328</c:v>
                </c:pt>
                <c:pt idx="1">
                  <c:v>6.751109711797796</c:v>
                </c:pt>
                <c:pt idx="2">
                  <c:v>7.158537079433034</c:v>
                </c:pt>
                <c:pt idx="3">
                  <c:v>7.479078608875675</c:v>
                </c:pt>
                <c:pt idx="4">
                  <c:v>7.576273517870895</c:v>
                </c:pt>
                <c:pt idx="5">
                  <c:v>7.694044105214404</c:v>
                </c:pt>
                <c:pt idx="6">
                  <c:v>7.89984247345069</c:v>
                </c:pt>
                <c:pt idx="7">
                  <c:v>7.770529177351996</c:v>
                </c:pt>
                <c:pt idx="8">
                  <c:v>8.289202223008777</c:v>
                </c:pt>
                <c:pt idx="9">
                  <c:v>8.47610470135245</c:v>
                </c:pt>
                <c:pt idx="10">
                  <c:v>8.627164007696335</c:v>
                </c:pt>
                <c:pt idx="11">
                  <c:v>8.86769258570361</c:v>
                </c:pt>
                <c:pt idx="12">
                  <c:v>8.95469079904931</c:v>
                </c:pt>
                <c:pt idx="13">
                  <c:v>9.015860416662421</c:v>
                </c:pt>
                <c:pt idx="14">
                  <c:v>8.989496730391603</c:v>
                </c:pt>
                <c:pt idx="15">
                  <c:v>9.015620860063798</c:v>
                </c:pt>
                <c:pt idx="16">
                  <c:v>8.884641475806207</c:v>
                </c:pt>
                <c:pt idx="17">
                  <c:v>8.63179613194143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485752"/>
        <c:axId val="-2092829048"/>
      </c:scatterChart>
      <c:valAx>
        <c:axId val="-2111996328"/>
        <c:scaling>
          <c:orientation val="minMax"/>
          <c:max val="48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91505640"/>
        <c:crosses val="autoZero"/>
        <c:crossBetween val="midCat"/>
        <c:majorUnit val="6.0"/>
      </c:valAx>
      <c:valAx>
        <c:axId val="-209150564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11996328"/>
        <c:crosses val="autoZero"/>
        <c:crossBetween val="midCat"/>
      </c:valAx>
      <c:valAx>
        <c:axId val="-2092829048"/>
        <c:scaling>
          <c:orientation val="minMax"/>
          <c:max val="12.0"/>
          <c:min val="5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Bacterial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107485752"/>
        <c:crosses val="max"/>
        <c:crossBetween val="midCat"/>
        <c:majorUnit val="1.0"/>
        <c:minorUnit val="0.2"/>
      </c:valAx>
      <c:valAx>
        <c:axId val="-2107485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09282904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Metabolites!$M$4:$M$21</c:f>
                <c:numCache>
                  <c:formatCode>General</c:formatCode>
                  <c:ptCount val="18"/>
                  <c:pt idx="0">
                    <c:v>0.0558750328246799</c:v>
                  </c:pt>
                  <c:pt idx="1">
                    <c:v>0.044404973357016</c:v>
                  </c:pt>
                  <c:pt idx="2">
                    <c:v>0.022202486678508</c:v>
                  </c:pt>
                  <c:pt idx="3">
                    <c:v>0.0256372233210313</c:v>
                  </c:pt>
                  <c:pt idx="4">
                    <c:v>0.0558750328246799</c:v>
                  </c:pt>
                  <c:pt idx="5">
                    <c:v>0.0339413545901238</c:v>
                  </c:pt>
                  <c:pt idx="6">
                    <c:v>0.0384858786026263</c:v>
                  </c:pt>
                  <c:pt idx="7">
                    <c:v>0.0462936348968138</c:v>
                  </c:pt>
                  <c:pt idx="8">
                    <c:v>0.0128622891658833</c:v>
                  </c:pt>
                  <c:pt idx="9">
                    <c:v>0.0128979846954833</c:v>
                  </c:pt>
                  <c:pt idx="10">
                    <c:v>0.046685120078052</c:v>
                  </c:pt>
                  <c:pt idx="11">
                    <c:v>0.0450353900879809</c:v>
                  </c:pt>
                  <c:pt idx="12">
                    <c:v>0.0130690214914682</c:v>
                  </c:pt>
                  <c:pt idx="13">
                    <c:v>0.0730048541769179</c:v>
                  </c:pt>
                  <c:pt idx="14">
                    <c:v>0.0131270099202215</c:v>
                  </c:pt>
                  <c:pt idx="15">
                    <c:v>0.126894789766341</c:v>
                  </c:pt>
                  <c:pt idx="16">
                    <c:v>0.0131583767300668</c:v>
                  </c:pt>
                  <c:pt idx="17">
                    <c:v>0.057433858083338</c:v>
                  </c:pt>
                </c:numCache>
              </c:numRef>
            </c:plus>
            <c:minus>
              <c:numRef>
                <c:f>Metabolites!$M$4:$M$21</c:f>
                <c:numCache>
                  <c:formatCode>General</c:formatCode>
                  <c:ptCount val="18"/>
                  <c:pt idx="0">
                    <c:v>0.0558750328246799</c:v>
                  </c:pt>
                  <c:pt idx="1">
                    <c:v>0.044404973357016</c:v>
                  </c:pt>
                  <c:pt idx="2">
                    <c:v>0.022202486678508</c:v>
                  </c:pt>
                  <c:pt idx="3">
                    <c:v>0.0256372233210313</c:v>
                  </c:pt>
                  <c:pt idx="4">
                    <c:v>0.0558750328246799</c:v>
                  </c:pt>
                  <c:pt idx="5">
                    <c:v>0.0339413545901238</c:v>
                  </c:pt>
                  <c:pt idx="6">
                    <c:v>0.0384858786026263</c:v>
                  </c:pt>
                  <c:pt idx="7">
                    <c:v>0.0462936348968138</c:v>
                  </c:pt>
                  <c:pt idx="8">
                    <c:v>0.0128622891658833</c:v>
                  </c:pt>
                  <c:pt idx="9">
                    <c:v>0.0128979846954833</c:v>
                  </c:pt>
                  <c:pt idx="10">
                    <c:v>0.046685120078052</c:v>
                  </c:pt>
                  <c:pt idx="11">
                    <c:v>0.0450353900879809</c:v>
                  </c:pt>
                  <c:pt idx="12">
                    <c:v>0.0130690214914682</c:v>
                  </c:pt>
                  <c:pt idx="13">
                    <c:v>0.0730048541769179</c:v>
                  </c:pt>
                  <c:pt idx="14">
                    <c:v>0.0131270099202215</c:v>
                  </c:pt>
                  <c:pt idx="15">
                    <c:v>0.126894789766341</c:v>
                  </c:pt>
                  <c:pt idx="16">
                    <c:v>0.0131583767300668</c:v>
                  </c:pt>
                  <c:pt idx="17">
                    <c:v>0.057433858083338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Metabolites!$L$4:$L$21</c:f>
              <c:numCache>
                <c:formatCode>0</c:formatCode>
                <c:ptCount val="18"/>
                <c:pt idx="0">
                  <c:v>0.096210775606868</c:v>
                </c:pt>
                <c:pt idx="1">
                  <c:v>0.11101243339254</c:v>
                </c:pt>
                <c:pt idx="2">
                  <c:v>0.133214920071048</c:v>
                </c:pt>
                <c:pt idx="3">
                  <c:v>0.192421551213736</c:v>
                </c:pt>
                <c:pt idx="4">
                  <c:v>0.1850207223209</c:v>
                </c:pt>
                <c:pt idx="5">
                  <c:v>0.207385102131439</c:v>
                </c:pt>
                <c:pt idx="6">
                  <c:v>0.222198323712256</c:v>
                </c:pt>
                <c:pt idx="7">
                  <c:v>0.22980034295756</c:v>
                </c:pt>
                <c:pt idx="8">
                  <c:v>0.215355337257208</c:v>
                </c:pt>
                <c:pt idx="9">
                  <c:v>0.253186267821993</c:v>
                </c:pt>
                <c:pt idx="10">
                  <c:v>0.216792460559751</c:v>
                </c:pt>
                <c:pt idx="11">
                  <c:v>0.225176950439905</c:v>
                </c:pt>
                <c:pt idx="12">
                  <c:v>0.347088541502632</c:v>
                </c:pt>
                <c:pt idx="13">
                  <c:v>0.507206798657428</c:v>
                </c:pt>
                <c:pt idx="14">
                  <c:v>0.810940450087147</c:v>
                </c:pt>
                <c:pt idx="15">
                  <c:v>1.435831553621289</c:v>
                </c:pt>
                <c:pt idx="16">
                  <c:v>1.724517262814988</c:v>
                </c:pt>
                <c:pt idx="17">
                  <c:v>2.160473297197944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009"/>
              </a:solidFill>
            </a:ln>
          </c:spPr>
          <c:marker>
            <c:symbol val="triangle"/>
            <c:size val="8"/>
            <c:spPr>
              <a:solidFill>
                <a:srgbClr val="FEC009"/>
              </a:solidFill>
              <a:ln>
                <a:solidFill>
                  <a:srgbClr val="FEC0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Metabolites!$Q$4:$Q$21</c:f>
                <c:numCache>
                  <c:formatCode>General</c:formatCode>
                  <c:ptCount val="18"/>
                  <c:pt idx="0">
                    <c:v>0.14517565174157</c:v>
                  </c:pt>
                  <c:pt idx="1">
                    <c:v>0.195152881834551</c:v>
                  </c:pt>
                  <c:pt idx="2">
                    <c:v>0.288434772284574</c:v>
                  </c:pt>
                  <c:pt idx="3">
                    <c:v>0.0693310907399218</c:v>
                  </c:pt>
                  <c:pt idx="4">
                    <c:v>0.211518833008687</c:v>
                  </c:pt>
                  <c:pt idx="5">
                    <c:v>0.541916170488743</c:v>
                  </c:pt>
                  <c:pt idx="6">
                    <c:v>0.101829715952651</c:v>
                  </c:pt>
                  <c:pt idx="7">
                    <c:v>0.0882621737439779</c:v>
                  </c:pt>
                  <c:pt idx="8">
                    <c:v>0.308712075420554</c:v>
                  </c:pt>
                  <c:pt idx="9">
                    <c:v>0.585578280242439</c:v>
                  </c:pt>
                  <c:pt idx="10">
                    <c:v>0.343632584554947</c:v>
                  </c:pt>
                  <c:pt idx="11">
                    <c:v>1.18240545040148</c:v>
                  </c:pt>
                  <c:pt idx="12">
                    <c:v>0.357750751452574</c:v>
                  </c:pt>
                  <c:pt idx="13">
                    <c:v>1.97682598990152</c:v>
                  </c:pt>
                  <c:pt idx="14">
                    <c:v>0.245948103678959</c:v>
                  </c:pt>
                  <c:pt idx="15">
                    <c:v>0.375034553556105</c:v>
                  </c:pt>
                  <c:pt idx="16">
                    <c:v>0.120065585786218</c:v>
                  </c:pt>
                  <c:pt idx="17">
                    <c:v>0.227946210416983</c:v>
                  </c:pt>
                </c:numCache>
              </c:numRef>
            </c:plus>
            <c:minus>
              <c:numRef>
                <c:f>Metabolites!$Q$4:$Q$21</c:f>
                <c:numCache>
                  <c:formatCode>General</c:formatCode>
                  <c:ptCount val="18"/>
                  <c:pt idx="0">
                    <c:v>0.14517565174157</c:v>
                  </c:pt>
                  <c:pt idx="1">
                    <c:v>0.195152881834551</c:v>
                  </c:pt>
                  <c:pt idx="2">
                    <c:v>0.288434772284574</c:v>
                  </c:pt>
                  <c:pt idx="3">
                    <c:v>0.0693310907399218</c:v>
                  </c:pt>
                  <c:pt idx="4">
                    <c:v>0.211518833008687</c:v>
                  </c:pt>
                  <c:pt idx="5">
                    <c:v>0.541916170488743</c:v>
                  </c:pt>
                  <c:pt idx="6">
                    <c:v>0.101829715952651</c:v>
                  </c:pt>
                  <c:pt idx="7">
                    <c:v>0.0882621737439779</c:v>
                  </c:pt>
                  <c:pt idx="8">
                    <c:v>0.308712075420554</c:v>
                  </c:pt>
                  <c:pt idx="9">
                    <c:v>0.585578280242439</c:v>
                  </c:pt>
                  <c:pt idx="10">
                    <c:v>0.343632584554947</c:v>
                  </c:pt>
                  <c:pt idx="11">
                    <c:v>1.18240545040148</c:v>
                  </c:pt>
                  <c:pt idx="12">
                    <c:v>0.357750751452574</c:v>
                  </c:pt>
                  <c:pt idx="13">
                    <c:v>1.97682598990152</c:v>
                  </c:pt>
                  <c:pt idx="14">
                    <c:v>0.245948103678959</c:v>
                  </c:pt>
                  <c:pt idx="15">
                    <c:v>0.375034553556105</c:v>
                  </c:pt>
                  <c:pt idx="16">
                    <c:v>0.120065585786218</c:v>
                  </c:pt>
                  <c:pt idx="17">
                    <c:v>0.227946210416983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Metabolites!$P$4:$P$21</c:f>
              <c:numCache>
                <c:formatCode>0</c:formatCode>
                <c:ptCount val="18"/>
                <c:pt idx="0">
                  <c:v>47.59367194004996</c:v>
                </c:pt>
                <c:pt idx="1">
                  <c:v>47.58257008048849</c:v>
                </c:pt>
                <c:pt idx="2">
                  <c:v>47.66028309741882</c:v>
                </c:pt>
                <c:pt idx="3">
                  <c:v>47.84901470996392</c:v>
                </c:pt>
                <c:pt idx="4">
                  <c:v>47.57146822092701</c:v>
                </c:pt>
                <c:pt idx="5">
                  <c:v>47.54197023313905</c:v>
                </c:pt>
                <c:pt idx="6">
                  <c:v>46.9864435886761</c:v>
                </c:pt>
                <c:pt idx="7">
                  <c:v>46.40371268623664</c:v>
                </c:pt>
                <c:pt idx="8">
                  <c:v>45.59474089814187</c:v>
                </c:pt>
                <c:pt idx="9">
                  <c:v>44.9616748282096</c:v>
                </c:pt>
                <c:pt idx="10">
                  <c:v>42.09745202932767</c:v>
                </c:pt>
                <c:pt idx="11">
                  <c:v>37.44900551077107</c:v>
                </c:pt>
                <c:pt idx="12">
                  <c:v>36.33313252636144</c:v>
                </c:pt>
                <c:pt idx="13">
                  <c:v>35.02192379403242</c:v>
                </c:pt>
                <c:pt idx="14">
                  <c:v>34.65257518847308</c:v>
                </c:pt>
                <c:pt idx="15">
                  <c:v>34.9974878255318</c:v>
                </c:pt>
                <c:pt idx="16">
                  <c:v>34.78096152508078</c:v>
                </c:pt>
                <c:pt idx="17">
                  <c:v>35.04497424049181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DE00FD"/>
              </a:solidFill>
            </a:ln>
          </c:spPr>
          <c:marker>
            <c:symbol val="triangle"/>
            <c:size val="8"/>
            <c:spPr>
              <a:solidFill>
                <a:srgbClr val="DE00FD"/>
              </a:solidFill>
              <a:ln>
                <a:solidFill>
                  <a:srgbClr val="DE00FD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Metabolites!$U$4:$U$21</c:f>
                <c:numCache>
                  <c:formatCode>General</c:formatCode>
                  <c:ptCount val="18"/>
                  <c:pt idx="0">
                    <c:v>0.175600777072665</c:v>
                  </c:pt>
                  <c:pt idx="1">
                    <c:v>0.0663708551662805</c:v>
                  </c:pt>
                  <c:pt idx="2">
                    <c:v>0.214333385284217</c:v>
                  </c:pt>
                  <c:pt idx="3">
                    <c:v>0.199112565498841</c:v>
                  </c:pt>
                  <c:pt idx="4">
                    <c:v>0.0868998479252661</c:v>
                  </c:pt>
                  <c:pt idx="5">
                    <c:v>2.30963884346955E-17</c:v>
                  </c:pt>
                  <c:pt idx="6">
                    <c:v>0.0502108471942151</c:v>
                  </c:pt>
                  <c:pt idx="7">
                    <c:v>0.0870417535279951</c:v>
                  </c:pt>
                  <c:pt idx="8">
                    <c:v>0.109719159517576</c:v>
                  </c:pt>
                  <c:pt idx="9">
                    <c:v>0.315261951148751</c:v>
                  </c:pt>
                  <c:pt idx="10">
                    <c:v>0.154132800262079</c:v>
                  </c:pt>
                  <c:pt idx="11">
                    <c:v>2.285674494624707</c:v>
                  </c:pt>
                  <c:pt idx="12">
                    <c:v>2.260536855268588</c:v>
                  </c:pt>
                  <c:pt idx="13">
                    <c:v>2.022595191062473</c:v>
                  </c:pt>
                  <c:pt idx="14">
                    <c:v>1.068195422805325</c:v>
                  </c:pt>
                  <c:pt idx="15">
                    <c:v>0.843115573852424</c:v>
                  </c:pt>
                  <c:pt idx="16">
                    <c:v>0.051501480592849</c:v>
                  </c:pt>
                  <c:pt idx="17">
                    <c:v>0.189485277794459</c:v>
                  </c:pt>
                </c:numCache>
              </c:numRef>
            </c:plus>
            <c:minus>
              <c:numRef>
                <c:f>Metabolites!$U$4:$U$21</c:f>
                <c:numCache>
                  <c:formatCode>General</c:formatCode>
                  <c:ptCount val="18"/>
                  <c:pt idx="0">
                    <c:v>0.175600777072665</c:v>
                  </c:pt>
                  <c:pt idx="1">
                    <c:v>0.0663708551662805</c:v>
                  </c:pt>
                  <c:pt idx="2">
                    <c:v>0.214333385284217</c:v>
                  </c:pt>
                  <c:pt idx="3">
                    <c:v>0.199112565498841</c:v>
                  </c:pt>
                  <c:pt idx="4">
                    <c:v>0.0868998479252661</c:v>
                  </c:pt>
                  <c:pt idx="5">
                    <c:v>2.30963884346955E-17</c:v>
                  </c:pt>
                  <c:pt idx="6">
                    <c:v>0.0502108471942151</c:v>
                  </c:pt>
                  <c:pt idx="7">
                    <c:v>0.0870417535279951</c:v>
                  </c:pt>
                  <c:pt idx="8">
                    <c:v>0.109719159517576</c:v>
                  </c:pt>
                  <c:pt idx="9">
                    <c:v>0.315261951148751</c:v>
                  </c:pt>
                  <c:pt idx="10">
                    <c:v>0.154132800262079</c:v>
                  </c:pt>
                  <c:pt idx="11">
                    <c:v>2.285674494624707</c:v>
                  </c:pt>
                  <c:pt idx="12">
                    <c:v>2.260536855268588</c:v>
                  </c:pt>
                  <c:pt idx="13">
                    <c:v>2.022595191062473</c:v>
                  </c:pt>
                  <c:pt idx="14">
                    <c:v>1.068195422805325</c:v>
                  </c:pt>
                  <c:pt idx="15">
                    <c:v>0.843115573852424</c:v>
                  </c:pt>
                  <c:pt idx="16">
                    <c:v>0.051501480592849</c:v>
                  </c:pt>
                  <c:pt idx="17">
                    <c:v>0.189485277794459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Metabolites!$T$4:$T$21</c:f>
              <c:numCache>
                <c:formatCode>0</c:formatCode>
                <c:ptCount val="18"/>
                <c:pt idx="0">
                  <c:v>0.535882395539141</c:v>
                </c:pt>
                <c:pt idx="1">
                  <c:v>0.506915779564052</c:v>
                </c:pt>
                <c:pt idx="2">
                  <c:v>0.448982547613875</c:v>
                </c:pt>
                <c:pt idx="3">
                  <c:v>0.434499239626331</c:v>
                </c:pt>
                <c:pt idx="4">
                  <c:v>0.347599391701064</c:v>
                </c:pt>
                <c:pt idx="5">
                  <c:v>0.130451607647187</c:v>
                </c:pt>
                <c:pt idx="6">
                  <c:v>0.159440853791006</c:v>
                </c:pt>
                <c:pt idx="7">
                  <c:v>0.435208767639976</c:v>
                </c:pt>
                <c:pt idx="8">
                  <c:v>1.3660698235275</c:v>
                </c:pt>
                <c:pt idx="9">
                  <c:v>3.541236289832361</c:v>
                </c:pt>
                <c:pt idx="10">
                  <c:v>6.129818312634311</c:v>
                </c:pt>
                <c:pt idx="11">
                  <c:v>11.11951795900451</c:v>
                </c:pt>
                <c:pt idx="12">
                  <c:v>16.78921196275557</c:v>
                </c:pt>
                <c:pt idx="13">
                  <c:v>18.7556177002005</c:v>
                </c:pt>
                <c:pt idx="14">
                  <c:v>20.83861797164174</c:v>
                </c:pt>
                <c:pt idx="15">
                  <c:v>22.99955351453196</c:v>
                </c:pt>
                <c:pt idx="16">
                  <c:v>22.3751312471691</c:v>
                </c:pt>
                <c:pt idx="17">
                  <c:v>22.59902679364001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0.00668892238451087</c:v>
                </c:pt>
                <c:pt idx="2">
                  <c:v>0.0216061268682065</c:v>
                </c:pt>
                <c:pt idx="3">
                  <c:v>0.0390425441576087</c:v>
                </c:pt>
                <c:pt idx="4">
                  <c:v>0.058316066576087</c:v>
                </c:pt>
                <c:pt idx="5">
                  <c:v>0.0812878351068688</c:v>
                </c:pt>
                <c:pt idx="6">
                  <c:v>0.110421894980818</c:v>
                </c:pt>
                <c:pt idx="7">
                  <c:v>0.14745001414091</c:v>
                </c:pt>
                <c:pt idx="8">
                  <c:v>0.193671285034805</c:v>
                </c:pt>
                <c:pt idx="9">
                  <c:v>0.247316247789166</c:v>
                </c:pt>
                <c:pt idx="10">
                  <c:v>0.306455676290925</c:v>
                </c:pt>
                <c:pt idx="11">
                  <c:v>0.371363101102955</c:v>
                </c:pt>
                <c:pt idx="12">
                  <c:v>0.442892217167041</c:v>
                </c:pt>
                <c:pt idx="13">
                  <c:v>0.519215703495166</c:v>
                </c:pt>
                <c:pt idx="14">
                  <c:v>0.599073125370166</c:v>
                </c:pt>
                <c:pt idx="15">
                  <c:v>0.683977762710003</c:v>
                </c:pt>
                <c:pt idx="16">
                  <c:v>0.773740933977435</c:v>
                </c:pt>
                <c:pt idx="17">
                  <c:v>0.867350246948221</c:v>
                </c:pt>
                <c:pt idx="18">
                  <c:v>0.967177460395502</c:v>
                </c:pt>
                <c:pt idx="19">
                  <c:v>1.075251454951685</c:v>
                </c:pt>
                <c:pt idx="20">
                  <c:v>1.193480589529186</c:v>
                </c:pt>
                <c:pt idx="21">
                  <c:v>1.323051469019574</c:v>
                </c:pt>
                <c:pt idx="22">
                  <c:v>1.463875748257078</c:v>
                </c:pt>
                <c:pt idx="23">
                  <c:v>1.623630927078033</c:v>
                </c:pt>
                <c:pt idx="24">
                  <c:v>1.808239808295468</c:v>
                </c:pt>
                <c:pt idx="25">
                  <c:v>2.020616578207147</c:v>
                </c:pt>
                <c:pt idx="26">
                  <c:v>2.277240526844752</c:v>
                </c:pt>
                <c:pt idx="27">
                  <c:v>2.591392264994617</c:v>
                </c:pt>
                <c:pt idx="28">
                  <c:v>2.977129781827767</c:v>
                </c:pt>
                <c:pt idx="29">
                  <c:v>3.446387456409303</c:v>
                </c:pt>
                <c:pt idx="30">
                  <c:v>3.999644512314254</c:v>
                </c:pt>
                <c:pt idx="31">
                  <c:v>4.647573230384317</c:v>
                </c:pt>
                <c:pt idx="32">
                  <c:v>5.373853703118254</c:v>
                </c:pt>
                <c:pt idx="33">
                  <c:v>6.141419332716233</c:v>
                </c:pt>
                <c:pt idx="34">
                  <c:v>6.95327465027991</c:v>
                </c:pt>
                <c:pt idx="35">
                  <c:v>7.800717540700064</c:v>
                </c:pt>
                <c:pt idx="36">
                  <c:v>8.662460782036405</c:v>
                </c:pt>
                <c:pt idx="37">
                  <c:v>9.520448128872552</c:v>
                </c:pt>
                <c:pt idx="38">
                  <c:v>10.35769806972092</c:v>
                </c:pt>
                <c:pt idx="39">
                  <c:v>11.18314369758417</c:v>
                </c:pt>
                <c:pt idx="40">
                  <c:v>11.96112773884759</c:v>
                </c:pt>
                <c:pt idx="41">
                  <c:v>12.65435337892749</c:v>
                </c:pt>
                <c:pt idx="42">
                  <c:v>13.26672392374281</c:v>
                </c:pt>
                <c:pt idx="43">
                  <c:v>13.80182610194726</c:v>
                </c:pt>
                <c:pt idx="44">
                  <c:v>14.268215528836</c:v>
                </c:pt>
                <c:pt idx="45">
                  <c:v>14.67153209721051</c:v>
                </c:pt>
                <c:pt idx="46">
                  <c:v>15.01709912260703</c:v>
                </c:pt>
                <c:pt idx="47">
                  <c:v>15.31835393351231</c:v>
                </c:pt>
                <c:pt idx="48">
                  <c:v>15.5906584091818</c:v>
                </c:pt>
                <c:pt idx="49">
                  <c:v>15.83455211386795</c:v>
                </c:pt>
                <c:pt idx="50">
                  <c:v>16.04292105709195</c:v>
                </c:pt>
                <c:pt idx="51">
                  <c:v>16.21972087622976</c:v>
                </c:pt>
                <c:pt idx="52">
                  <c:v>16.37156262481588</c:v>
                </c:pt>
                <c:pt idx="53">
                  <c:v>16.50500670643713</c:v>
                </c:pt>
                <c:pt idx="54">
                  <c:v>16.62171653949662</c:v>
                </c:pt>
                <c:pt idx="55">
                  <c:v>16.72392319242064</c:v>
                </c:pt>
                <c:pt idx="56">
                  <c:v>16.81505541959301</c:v>
                </c:pt>
                <c:pt idx="57">
                  <c:v>16.89525837635153</c:v>
                </c:pt>
                <c:pt idx="58">
                  <c:v>16.96500767805841</c:v>
                </c:pt>
                <c:pt idx="59">
                  <c:v>17.02595562483554</c:v>
                </c:pt>
                <c:pt idx="60">
                  <c:v>17.068576101317</c:v>
                </c:pt>
                <c:pt idx="61">
                  <c:v>17.10796691071348</c:v>
                </c:pt>
                <c:pt idx="62">
                  <c:v>17.15680644918808</c:v>
                </c:pt>
                <c:pt idx="63">
                  <c:v>17.20143163024678</c:v>
                </c:pt>
                <c:pt idx="64">
                  <c:v>17.24236671864636</c:v>
                </c:pt>
                <c:pt idx="65">
                  <c:v>17.28036448806621</c:v>
                </c:pt>
                <c:pt idx="66">
                  <c:v>17.31621100920018</c:v>
                </c:pt>
                <c:pt idx="67">
                  <c:v>17.34925144076428</c:v>
                </c:pt>
                <c:pt idx="68">
                  <c:v>17.37910319353377</c:v>
                </c:pt>
                <c:pt idx="69">
                  <c:v>17.40728421963752</c:v>
                </c:pt>
                <c:pt idx="70">
                  <c:v>17.43461388678383</c:v>
                </c:pt>
                <c:pt idx="71">
                  <c:v>17.45921385162869</c:v>
                </c:pt>
                <c:pt idx="72">
                  <c:v>17.48162992405586</c:v>
                </c:pt>
                <c:pt idx="73">
                  <c:v>17.49265776466189</c:v>
                </c:pt>
                <c:pt idx="74">
                  <c:v>17.49265776466189</c:v>
                </c:pt>
                <c:pt idx="75">
                  <c:v>17.49265776466189</c:v>
                </c:pt>
                <c:pt idx="76">
                  <c:v>17.49265776466189</c:v>
                </c:pt>
                <c:pt idx="77">
                  <c:v>17.49265776466189</c:v>
                </c:pt>
                <c:pt idx="78">
                  <c:v>17.49265776466189</c:v>
                </c:pt>
                <c:pt idx="79">
                  <c:v>17.49265776466189</c:v>
                </c:pt>
                <c:pt idx="80">
                  <c:v>17.49265776466189</c:v>
                </c:pt>
                <c:pt idx="81">
                  <c:v>17.49265776466189</c:v>
                </c:pt>
                <c:pt idx="82">
                  <c:v>17.49265776466189</c:v>
                </c:pt>
                <c:pt idx="83">
                  <c:v>17.49265776466189</c:v>
                </c:pt>
                <c:pt idx="84">
                  <c:v>17.49265776466189</c:v>
                </c:pt>
                <c:pt idx="85">
                  <c:v>17.49265776466189</c:v>
                </c:pt>
                <c:pt idx="86">
                  <c:v>17.49265776466189</c:v>
                </c:pt>
                <c:pt idx="87">
                  <c:v>17.49265776466189</c:v>
                </c:pt>
                <c:pt idx="88">
                  <c:v>17.49265776466189</c:v>
                </c:pt>
                <c:pt idx="89">
                  <c:v>17.49265776466189</c:v>
                </c:pt>
                <c:pt idx="90">
                  <c:v>17.49265776466189</c:v>
                </c:pt>
                <c:pt idx="91">
                  <c:v>17.49265776466189</c:v>
                </c:pt>
                <c:pt idx="92">
                  <c:v>17.49265776466189</c:v>
                </c:pt>
                <c:pt idx="93">
                  <c:v>17.49265776466189</c:v>
                </c:pt>
                <c:pt idx="94">
                  <c:v>17.49265776466189</c:v>
                </c:pt>
                <c:pt idx="95">
                  <c:v>17.49265776466189</c:v>
                </c:pt>
                <c:pt idx="96">
                  <c:v>17.49265776466189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Metabolites!$I$4:$I$21</c:f>
                <c:numCache>
                  <c:formatCode>General</c:formatCode>
                  <c:ptCount val="18"/>
                  <c:pt idx="0">
                    <c:v>0.0631243417304327</c:v>
                  </c:pt>
                  <c:pt idx="1">
                    <c:v>0.0339148586068388</c:v>
                  </c:pt>
                  <c:pt idx="2">
                    <c:v>0.267430157861973</c:v>
                  </c:pt>
                  <c:pt idx="3">
                    <c:v>0.0833209757933501</c:v>
                  </c:pt>
                  <c:pt idx="4">
                    <c:v>0.28018271456758</c:v>
                  </c:pt>
                  <c:pt idx="5">
                    <c:v>0.437679938807892</c:v>
                  </c:pt>
                  <c:pt idx="6">
                    <c:v>0.285490981052705</c:v>
                  </c:pt>
                  <c:pt idx="7">
                    <c:v>0.123820080008249</c:v>
                  </c:pt>
                  <c:pt idx="8">
                    <c:v>0.231074166134793</c:v>
                  </c:pt>
                  <c:pt idx="9">
                    <c:v>0.62315422086879</c:v>
                  </c:pt>
                  <c:pt idx="10">
                    <c:v>0.24163084161931</c:v>
                  </c:pt>
                  <c:pt idx="11">
                    <c:v>1.14277764533176</c:v>
                  </c:pt>
                  <c:pt idx="12">
                    <c:v>0.147714635295912</c:v>
                  </c:pt>
                  <c:pt idx="13">
                    <c:v>1.82086562626487</c:v>
                  </c:pt>
                  <c:pt idx="14">
                    <c:v>0.236923437763981</c:v>
                  </c:pt>
                  <c:pt idx="15">
                    <c:v>0.172946327523688</c:v>
                  </c:pt>
                  <c:pt idx="16">
                    <c:v>0.155552940262499</c:v>
                  </c:pt>
                  <c:pt idx="17">
                    <c:v>0.0970489992756726</c:v>
                  </c:pt>
                </c:numCache>
              </c:numRef>
            </c:plus>
            <c:minus>
              <c:numRef>
                <c:f>Metabolites!$I$4:$I$21</c:f>
                <c:numCache>
                  <c:formatCode>General</c:formatCode>
                  <c:ptCount val="18"/>
                  <c:pt idx="0">
                    <c:v>0.0631243417304327</c:v>
                  </c:pt>
                  <c:pt idx="1">
                    <c:v>0.0339148586068388</c:v>
                  </c:pt>
                  <c:pt idx="2">
                    <c:v>0.267430157861973</c:v>
                  </c:pt>
                  <c:pt idx="3">
                    <c:v>0.0833209757933501</c:v>
                  </c:pt>
                  <c:pt idx="4">
                    <c:v>0.28018271456758</c:v>
                  </c:pt>
                  <c:pt idx="5">
                    <c:v>0.437679938807892</c:v>
                  </c:pt>
                  <c:pt idx="6">
                    <c:v>0.285490981052705</c:v>
                  </c:pt>
                  <c:pt idx="7">
                    <c:v>0.123820080008249</c:v>
                  </c:pt>
                  <c:pt idx="8">
                    <c:v>0.231074166134793</c:v>
                  </c:pt>
                  <c:pt idx="9">
                    <c:v>0.62315422086879</c:v>
                  </c:pt>
                  <c:pt idx="10">
                    <c:v>0.24163084161931</c:v>
                  </c:pt>
                  <c:pt idx="11">
                    <c:v>1.14277764533176</c:v>
                  </c:pt>
                  <c:pt idx="12">
                    <c:v>0.147714635295912</c:v>
                  </c:pt>
                  <c:pt idx="13">
                    <c:v>1.82086562626487</c:v>
                  </c:pt>
                  <c:pt idx="14">
                    <c:v>0.236923437763981</c:v>
                  </c:pt>
                  <c:pt idx="15">
                    <c:v>0.172946327523688</c:v>
                  </c:pt>
                  <c:pt idx="16">
                    <c:v>0.155552940262499</c:v>
                  </c:pt>
                  <c:pt idx="17">
                    <c:v>0.0970489992756726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Metabolites!$H$4:$H$21</c:f>
              <c:numCache>
                <c:formatCode>0</c:formatCode>
                <c:ptCount val="18"/>
                <c:pt idx="0">
                  <c:v>49.4634399052694</c:v>
                </c:pt>
                <c:pt idx="1">
                  <c:v>49.54854943753702</c:v>
                </c:pt>
                <c:pt idx="2">
                  <c:v>49.39683244523386</c:v>
                </c:pt>
                <c:pt idx="3">
                  <c:v>49.6299585553582</c:v>
                </c:pt>
                <c:pt idx="4">
                  <c:v>49.38943161634104</c:v>
                </c:pt>
                <c:pt idx="5">
                  <c:v>49.63910551731794</c:v>
                </c:pt>
                <c:pt idx="6">
                  <c:v>49.45764355295294</c:v>
                </c:pt>
                <c:pt idx="7">
                  <c:v>48.72508562129172</c:v>
                </c:pt>
                <c:pt idx="8">
                  <c:v>47.86086719388636</c:v>
                </c:pt>
                <c:pt idx="9">
                  <c:v>46.34798032129657</c:v>
                </c:pt>
                <c:pt idx="10">
                  <c:v>42.8426755678597</c:v>
                </c:pt>
                <c:pt idx="11">
                  <c:v>36.74512536261842</c:v>
                </c:pt>
                <c:pt idx="12">
                  <c:v>34.56926419335451</c:v>
                </c:pt>
                <c:pt idx="13">
                  <c:v>31.71556541754168</c:v>
                </c:pt>
                <c:pt idx="14">
                  <c:v>29.49322207022555</c:v>
                </c:pt>
                <c:pt idx="15">
                  <c:v>27.59607470121341</c:v>
                </c:pt>
                <c:pt idx="16">
                  <c:v>26.80978599327794</c:v>
                </c:pt>
                <c:pt idx="17">
                  <c:v>26.21856062955182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Metabolites!$J$23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BF0000"/>
              </a:solidFill>
            </a:ln>
          </c:spPr>
          <c:marker>
            <c:symbol val="triangle"/>
            <c:size val="8"/>
            <c:spPr>
              <a:solidFill>
                <a:srgbClr val="BF0000"/>
              </a:solidFill>
              <a:ln>
                <a:solidFill>
                  <a:srgbClr val="B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Metabolites!$M$26:$M$43</c:f>
                <c:numCache>
                  <c:formatCode>General</c:formatCode>
                  <c:ptCount val="18"/>
                  <c:pt idx="0">
                    <c:v>0.0262104310153048</c:v>
                  </c:pt>
                  <c:pt idx="1">
                    <c:v>0.0729667518707142</c:v>
                  </c:pt>
                  <c:pt idx="2">
                    <c:v>0.0346731411111553</c:v>
                  </c:pt>
                  <c:pt idx="3">
                    <c:v>0.0226988991033934</c:v>
                  </c:pt>
                  <c:pt idx="4">
                    <c:v>0.0453977982067869</c:v>
                  </c:pt>
                  <c:pt idx="5">
                    <c:v>0.0393463618718032</c:v>
                  </c:pt>
                  <c:pt idx="6">
                    <c:v>0.0262309079145355</c:v>
                  </c:pt>
                  <c:pt idx="7">
                    <c:v>0.0656330802287101</c:v>
                  </c:pt>
                  <c:pt idx="8">
                    <c:v>0.148191504015571</c:v>
                  </c:pt>
                  <c:pt idx="9">
                    <c:v>0.146837126177476</c:v>
                  </c:pt>
                  <c:pt idx="10">
                    <c:v>0.0700469122717447</c:v>
                  </c:pt>
                  <c:pt idx="11">
                    <c:v>0.544293331371502</c:v>
                  </c:pt>
                  <c:pt idx="12">
                    <c:v>0.0876154056824165</c:v>
                  </c:pt>
                  <c:pt idx="13">
                    <c:v>1.509978112573318</c:v>
                  </c:pt>
                  <c:pt idx="14">
                    <c:v>0.248551306155371</c:v>
                  </c:pt>
                  <c:pt idx="15">
                    <c:v>0.071184347453271</c:v>
                  </c:pt>
                  <c:pt idx="16">
                    <c:v>0.155142688455346</c:v>
                  </c:pt>
                  <c:pt idx="17">
                    <c:v>0.198437722273356</c:v>
                  </c:pt>
                </c:numCache>
              </c:numRef>
            </c:plus>
            <c:minus>
              <c:numRef>
                <c:f>Metabolites!$M$26:$M$43</c:f>
                <c:numCache>
                  <c:formatCode>General</c:formatCode>
                  <c:ptCount val="18"/>
                  <c:pt idx="0">
                    <c:v>0.0262104310153048</c:v>
                  </c:pt>
                  <c:pt idx="1">
                    <c:v>0.0729667518707142</c:v>
                  </c:pt>
                  <c:pt idx="2">
                    <c:v>0.0346731411111553</c:v>
                  </c:pt>
                  <c:pt idx="3">
                    <c:v>0.0226988991033934</c:v>
                  </c:pt>
                  <c:pt idx="4">
                    <c:v>0.0453977982067869</c:v>
                  </c:pt>
                  <c:pt idx="5">
                    <c:v>0.0393463618718032</c:v>
                  </c:pt>
                  <c:pt idx="6">
                    <c:v>0.0262309079145355</c:v>
                  </c:pt>
                  <c:pt idx="7">
                    <c:v>0.0656330802287101</c:v>
                  </c:pt>
                  <c:pt idx="8">
                    <c:v>0.148191504015571</c:v>
                  </c:pt>
                  <c:pt idx="9">
                    <c:v>0.146837126177476</c:v>
                  </c:pt>
                  <c:pt idx="10">
                    <c:v>0.0700469122717447</c:v>
                  </c:pt>
                  <c:pt idx="11">
                    <c:v>0.544293331371502</c:v>
                  </c:pt>
                  <c:pt idx="12">
                    <c:v>0.0876154056824165</c:v>
                  </c:pt>
                  <c:pt idx="13">
                    <c:v>1.509978112573318</c:v>
                  </c:pt>
                  <c:pt idx="14">
                    <c:v>0.248551306155371</c:v>
                  </c:pt>
                  <c:pt idx="15">
                    <c:v>0.071184347453271</c:v>
                  </c:pt>
                  <c:pt idx="16">
                    <c:v>0.155142688455346</c:v>
                  </c:pt>
                  <c:pt idx="17">
                    <c:v>0.198437722273356</c:v>
                  </c:pt>
                </c:numCache>
              </c:numRef>
            </c:minus>
          </c:errBars>
          <c:xVal>
            <c:numRef>
              <c:f>Metabolites!$E$4:$E$21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Metabolites!$L$26:$L$43</c:f>
              <c:numCache>
                <c:formatCode>0</c:formatCode>
                <c:ptCount val="18"/>
                <c:pt idx="0">
                  <c:v>0.105928195815836</c:v>
                </c:pt>
                <c:pt idx="1">
                  <c:v>0.189157492528279</c:v>
                </c:pt>
                <c:pt idx="2">
                  <c:v>0.39344758445882</c:v>
                </c:pt>
                <c:pt idx="3">
                  <c:v>0.794461468618772</c:v>
                </c:pt>
                <c:pt idx="4">
                  <c:v>1.112246056066281</c:v>
                </c:pt>
                <c:pt idx="5">
                  <c:v>1.635597548518897</c:v>
                </c:pt>
                <c:pt idx="6">
                  <c:v>2.347385370559528</c:v>
                </c:pt>
                <c:pt idx="7">
                  <c:v>3.061776744253436</c:v>
                </c:pt>
                <c:pt idx="8">
                  <c:v>4.5704326040873</c:v>
                </c:pt>
                <c:pt idx="9">
                  <c:v>7.438047884089004</c:v>
                </c:pt>
                <c:pt idx="10">
                  <c:v>11.08197982477718</c:v>
                </c:pt>
                <c:pt idx="11">
                  <c:v>15.67740657442029</c:v>
                </c:pt>
                <c:pt idx="12">
                  <c:v>21.60721184186228</c:v>
                </c:pt>
                <c:pt idx="13">
                  <c:v>25.4320283428243</c:v>
                </c:pt>
                <c:pt idx="14">
                  <c:v>27.25864084368468</c:v>
                </c:pt>
                <c:pt idx="15">
                  <c:v>28.74510836935501</c:v>
                </c:pt>
                <c:pt idx="16">
                  <c:v>29.38975684129678</c:v>
                </c:pt>
                <c:pt idx="17">
                  <c:v>30.09071233430383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767064"/>
        <c:axId val="-2127498760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12143.0</c:v>
                </c:pt>
                <c:pt idx="1">
                  <c:v>28227.0</c:v>
                </c:pt>
                <c:pt idx="2">
                  <c:v>4079.0</c:v>
                </c:pt>
                <c:pt idx="3">
                  <c:v>5345.0</c:v>
                </c:pt>
                <c:pt idx="4">
                  <c:v>6171.0</c:v>
                </c:pt>
                <c:pt idx="5">
                  <c:v>6533.0</c:v>
                </c:pt>
                <c:pt idx="6">
                  <c:v>8955.0</c:v>
                </c:pt>
                <c:pt idx="7">
                  <c:v>13092.0</c:v>
                </c:pt>
                <c:pt idx="8">
                  <c:v>23378.0</c:v>
                </c:pt>
                <c:pt idx="9">
                  <c:v>37062.0</c:v>
                </c:pt>
              </c:numCache>
            </c:numRef>
          </c:yVal>
          <c:smooth val="0"/>
        </c:ser>
        <c:ser>
          <c:idx val="5"/>
          <c:order val="8"/>
          <c:tx>
            <c:v>OD 600 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OD600nm!$J$4:$J$21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5.44133936696422E-17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1.08826787339284E-16</c:v>
                  </c:pt>
                  <c:pt idx="8">
                    <c:v>0.0562147365406379</c:v>
                  </c:pt>
                  <c:pt idx="9">
                    <c:v>0.0489021927661053</c:v>
                  </c:pt>
                  <c:pt idx="10">
                    <c:v>0.0721795607934361</c:v>
                  </c:pt>
                  <c:pt idx="11">
                    <c:v>0.0978043855322107</c:v>
                  </c:pt>
                  <c:pt idx="12">
                    <c:v>0.195608771064422</c:v>
                  </c:pt>
                  <c:pt idx="13">
                    <c:v>0.308731835462428</c:v>
                  </c:pt>
                  <c:pt idx="14">
                    <c:v>0.208091</c:v>
                  </c:pt>
                  <c:pt idx="15">
                    <c:v>0.0333212276534544</c:v>
                  </c:pt>
                  <c:pt idx="16">
                    <c:v>0.0805667998702526</c:v>
                  </c:pt>
                  <c:pt idx="17">
                    <c:v>0.153811639755687</c:v>
                  </c:pt>
                </c:numCache>
              </c:numRef>
            </c:plus>
            <c:minus>
              <c:numRef>
                <c:f>OD600nm!$J$4:$J$21</c:f>
                <c:numCache>
                  <c:formatCode>General</c:formatCode>
                  <c:ptCount val="18"/>
                  <c:pt idx="0">
                    <c:v>0.0</c:v>
                  </c:pt>
                  <c:pt idx="1">
                    <c:v>0.0</c:v>
                  </c:pt>
                  <c:pt idx="2">
                    <c:v>5.44133936696422E-17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1.08826787339284E-16</c:v>
                  </c:pt>
                  <c:pt idx="8">
                    <c:v>0.0562147365406379</c:v>
                  </c:pt>
                  <c:pt idx="9">
                    <c:v>0.0489021927661053</c:v>
                  </c:pt>
                  <c:pt idx="10">
                    <c:v>0.0721795607934361</c:v>
                  </c:pt>
                  <c:pt idx="11">
                    <c:v>0.0978043855322107</c:v>
                  </c:pt>
                  <c:pt idx="12">
                    <c:v>0.195608771064422</c:v>
                  </c:pt>
                  <c:pt idx="13">
                    <c:v>0.308731835462428</c:v>
                  </c:pt>
                  <c:pt idx="14">
                    <c:v>0.208091</c:v>
                  </c:pt>
                  <c:pt idx="15">
                    <c:v>0.0333212276534544</c:v>
                  </c:pt>
                  <c:pt idx="16">
                    <c:v>0.0805667998702526</c:v>
                  </c:pt>
                  <c:pt idx="17">
                    <c:v>0.153811639755687</c:v>
                  </c:pt>
                </c:numCache>
              </c:numRef>
            </c:minus>
          </c:errBars>
          <c:xVal>
            <c:numRef>
              <c:f>OD600nm!$D$4:$D$21</c:f>
              <c:numCache>
                <c:formatCode>0</c:formatCode>
                <c:ptCount val="18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8.666666666666665</c:v>
                </c:pt>
                <c:pt idx="7">
                  <c:v>10.0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19.33333333333333</c:v>
                </c:pt>
                <c:pt idx="15">
                  <c:v>24.0</c:v>
                </c:pt>
                <c:pt idx="16">
                  <c:v>30.0</c:v>
                </c:pt>
                <c:pt idx="17">
                  <c:v>48.0</c:v>
                </c:pt>
              </c:numCache>
            </c:numRef>
          </c:xVal>
          <c:yVal>
            <c:numRef>
              <c:f>OD600nm!$I$4:$I$21</c:f>
              <c:numCache>
                <c:formatCode>0.000</c:formatCode>
                <c:ptCount val="18"/>
                <c:pt idx="0">
                  <c:v>0.1546728</c:v>
                </c:pt>
                <c:pt idx="1">
                  <c:v>0.2090966</c:v>
                </c:pt>
                <c:pt idx="2">
                  <c:v>0.2683225</c:v>
                </c:pt>
                <c:pt idx="3">
                  <c:v>0.3339512</c:v>
                </c:pt>
                <c:pt idx="4">
                  <c:v>0.3691666</c:v>
                </c:pt>
                <c:pt idx="5">
                  <c:v>0.4123855</c:v>
                </c:pt>
                <c:pt idx="6">
                  <c:v>0.4700107</c:v>
                </c:pt>
                <c:pt idx="7">
                  <c:v>0.5836604</c:v>
                </c:pt>
                <c:pt idx="8">
                  <c:v>1.029168333333333</c:v>
                </c:pt>
                <c:pt idx="9">
                  <c:v>1.765490333333333</c:v>
                </c:pt>
                <c:pt idx="10">
                  <c:v>2.357749333333333</c:v>
                </c:pt>
                <c:pt idx="11">
                  <c:v>3.110078333333334</c:v>
                </c:pt>
                <c:pt idx="12">
                  <c:v>3.638309333333333</c:v>
                </c:pt>
                <c:pt idx="13">
                  <c:v>4.379967</c:v>
                </c:pt>
                <c:pt idx="14">
                  <c:v>4.187883</c:v>
                </c:pt>
                <c:pt idx="15">
                  <c:v>3.600959666666668</c:v>
                </c:pt>
                <c:pt idx="16">
                  <c:v>3.318169333333333</c:v>
                </c:pt>
                <c:pt idx="17">
                  <c:v>2.448455666666666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733832"/>
        <c:axId val="-2106993368"/>
      </c:scatterChart>
      <c:valAx>
        <c:axId val="-2112767064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27498760"/>
        <c:crosses val="autoZero"/>
        <c:crossBetween val="midCat"/>
        <c:majorUnit val="6.0"/>
      </c:valAx>
      <c:valAx>
        <c:axId val="-2127498760"/>
        <c:scaling>
          <c:orientation val="minMax"/>
          <c:max val="6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12767064"/>
        <c:crosses val="autoZero"/>
        <c:crossBetween val="midCat"/>
      </c:valAx>
      <c:valAx>
        <c:axId val="-2106993368"/>
        <c:scaling>
          <c:orientation val="minMax"/>
          <c:max val="5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</a:t>
                </a:r>
                <a:r>
                  <a:rPr lang="nl-NL" sz="1050" baseline="0"/>
                  <a:t> 600 nm)</a:t>
                </a:r>
                <a:endParaRPr lang="nl-NL" sz="1050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106733832"/>
        <c:crosses val="max"/>
        <c:crossBetween val="midCat"/>
        <c:majorUnit val="1.0"/>
        <c:minorUnit val="0.2"/>
      </c:valAx>
      <c:valAx>
        <c:axId val="-2106733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0699336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20</xdr:col>
      <xdr:colOff>360680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35" sqref="C35"/>
    </sheetView>
  </sheetViews>
  <sheetFormatPr baseColWidth="10" defaultColWidth="8.83203125" defaultRowHeight="14" x14ac:dyDescent="0"/>
  <cols>
    <col min="1" max="1" width="23.33203125" style="2" customWidth="1"/>
    <col min="2" max="2" width="13.6640625" style="2" bestFit="1" customWidth="1"/>
    <col min="3" max="3" width="38.6640625" style="2" customWidth="1"/>
    <col min="4" max="16384" width="8.83203125" style="2"/>
  </cols>
  <sheetData>
    <row r="1" spans="1:3">
      <c r="A1" s="118" t="s">
        <v>0</v>
      </c>
      <c r="B1" s="119"/>
      <c r="C1" s="34">
        <v>41941</v>
      </c>
    </row>
    <row r="2" spans="1:3" ht="16">
      <c r="A2" s="118" t="s">
        <v>1</v>
      </c>
      <c r="B2" s="120"/>
      <c r="C2" s="32" t="s">
        <v>130</v>
      </c>
    </row>
    <row r="3" spans="1:3">
      <c r="A3" s="11"/>
      <c r="B3" s="11"/>
      <c r="C3" s="10"/>
    </row>
    <row r="4" spans="1:3">
      <c r="A4" s="121" t="s">
        <v>49</v>
      </c>
      <c r="B4" s="121"/>
      <c r="C4" s="7" t="s">
        <v>108</v>
      </c>
    </row>
    <row r="6" spans="1:3">
      <c r="A6" s="42" t="s">
        <v>83</v>
      </c>
      <c r="B6" s="42" t="s">
        <v>84</v>
      </c>
      <c r="C6" s="42" t="s">
        <v>69</v>
      </c>
    </row>
    <row r="7" spans="1:3">
      <c r="A7" s="38" t="s">
        <v>85</v>
      </c>
      <c r="B7" s="38" t="s">
        <v>86</v>
      </c>
      <c r="C7" s="38" t="s">
        <v>102</v>
      </c>
    </row>
    <row r="8" spans="1:3">
      <c r="A8" s="38" t="s">
        <v>87</v>
      </c>
      <c r="B8" s="38" t="s">
        <v>88</v>
      </c>
      <c r="C8" s="38" t="s">
        <v>102</v>
      </c>
    </row>
    <row r="9" spans="1:3">
      <c r="A9" s="38" t="s">
        <v>89</v>
      </c>
      <c r="B9" s="38" t="s">
        <v>90</v>
      </c>
      <c r="C9" s="38" t="s">
        <v>102</v>
      </c>
    </row>
    <row r="10" spans="1:3">
      <c r="A10" s="38" t="s">
        <v>91</v>
      </c>
      <c r="B10" s="38" t="s">
        <v>92</v>
      </c>
      <c r="C10" s="38" t="s">
        <v>102</v>
      </c>
    </row>
    <row r="11" spans="1:3">
      <c r="A11" s="30" t="s">
        <v>93</v>
      </c>
      <c r="B11" s="30" t="s">
        <v>146</v>
      </c>
      <c r="C11" s="30" t="s">
        <v>102</v>
      </c>
    </row>
    <row r="12" spans="1:3">
      <c r="A12" s="38" t="s">
        <v>73</v>
      </c>
      <c r="B12" s="38" t="s">
        <v>94</v>
      </c>
      <c r="C12" s="38" t="s">
        <v>102</v>
      </c>
    </row>
    <row r="13" spans="1:3" ht="16">
      <c r="A13" s="41" t="s">
        <v>77</v>
      </c>
      <c r="B13" s="38" t="s">
        <v>95</v>
      </c>
      <c r="C13" s="38" t="s">
        <v>102</v>
      </c>
    </row>
    <row r="14" spans="1:3" ht="16">
      <c r="A14" s="10" t="s">
        <v>76</v>
      </c>
      <c r="B14" s="38" t="s">
        <v>95</v>
      </c>
      <c r="C14" s="38" t="s">
        <v>102</v>
      </c>
    </row>
    <row r="15" spans="1:3" ht="16">
      <c r="A15" s="38" t="s">
        <v>110</v>
      </c>
      <c r="B15" s="38" t="s">
        <v>96</v>
      </c>
      <c r="C15" s="38" t="s">
        <v>102</v>
      </c>
    </row>
    <row r="16" spans="1:3" ht="16">
      <c r="A16" s="38" t="s">
        <v>109</v>
      </c>
      <c r="B16" s="38" t="s">
        <v>95</v>
      </c>
      <c r="C16" s="38" t="s">
        <v>102</v>
      </c>
    </row>
    <row r="17" spans="1:3" ht="16">
      <c r="A17" s="38" t="s">
        <v>111</v>
      </c>
      <c r="B17" s="38" t="s">
        <v>95</v>
      </c>
      <c r="C17" s="38" t="s">
        <v>102</v>
      </c>
    </row>
    <row r="18" spans="1:3" ht="16">
      <c r="A18" s="38" t="s">
        <v>112</v>
      </c>
      <c r="B18" s="38" t="s">
        <v>152</v>
      </c>
      <c r="C18" s="38" t="s">
        <v>102</v>
      </c>
    </row>
    <row r="19" spans="1:3" ht="16">
      <c r="A19" s="38" t="s">
        <v>75</v>
      </c>
      <c r="B19" s="38" t="s">
        <v>153</v>
      </c>
      <c r="C19" s="38" t="s">
        <v>102</v>
      </c>
    </row>
    <row r="20" spans="1:3" ht="16">
      <c r="A20" s="38" t="s">
        <v>113</v>
      </c>
      <c r="B20" s="38" t="s">
        <v>97</v>
      </c>
      <c r="C20" s="38" t="s">
        <v>102</v>
      </c>
    </row>
    <row r="21" spans="1:3" ht="16">
      <c r="A21" s="38" t="s">
        <v>114</v>
      </c>
      <c r="B21" s="38" t="s">
        <v>98</v>
      </c>
      <c r="C21" s="38" t="s">
        <v>102</v>
      </c>
    </row>
    <row r="22" spans="1:3" ht="16">
      <c r="A22" s="38" t="s">
        <v>115</v>
      </c>
      <c r="B22" s="38" t="s">
        <v>99</v>
      </c>
      <c r="C22" s="38" t="s">
        <v>102</v>
      </c>
    </row>
    <row r="23" spans="1:3" ht="16">
      <c r="A23" s="38" t="s">
        <v>116</v>
      </c>
      <c r="B23" s="38" t="s">
        <v>99</v>
      </c>
      <c r="C23" s="38" t="s">
        <v>102</v>
      </c>
    </row>
    <row r="24" spans="1:3">
      <c r="A24" s="38" t="s">
        <v>100</v>
      </c>
      <c r="B24" s="38" t="s">
        <v>99</v>
      </c>
      <c r="C24" s="38" t="s">
        <v>102</v>
      </c>
    </row>
    <row r="25" spans="1:3">
      <c r="A25" s="38" t="s">
        <v>101</v>
      </c>
      <c r="B25" s="38" t="s">
        <v>99</v>
      </c>
      <c r="C25" s="38" t="s">
        <v>102</v>
      </c>
    </row>
    <row r="26" spans="1:3">
      <c r="A26" s="38" t="s">
        <v>74</v>
      </c>
      <c r="B26" s="38" t="s">
        <v>103</v>
      </c>
      <c r="C26" s="38" t="s">
        <v>104</v>
      </c>
    </row>
    <row r="27" spans="1:3">
      <c r="A27" s="38" t="s">
        <v>105</v>
      </c>
      <c r="B27" s="38" t="s">
        <v>102</v>
      </c>
      <c r="C27" s="38" t="s">
        <v>107</v>
      </c>
    </row>
    <row r="28" spans="1:3">
      <c r="A28" s="38" t="s">
        <v>106</v>
      </c>
      <c r="B28" s="38" t="s">
        <v>102</v>
      </c>
      <c r="C28" s="38" t="s">
        <v>107</v>
      </c>
    </row>
    <row r="29" spans="1:3" ht="16">
      <c r="A29" s="30" t="s">
        <v>147</v>
      </c>
      <c r="B29" s="30" t="s">
        <v>148</v>
      </c>
      <c r="C29" s="30" t="s">
        <v>149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152"/>
  <sheetViews>
    <sheetView topLeftCell="A82" zoomScale="98" zoomScaleNormal="98" zoomScalePageLayoutView="98" workbookViewId="0">
      <selection activeCell="B5" sqref="B5:B77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12">
      <c r="A1" s="8" t="s">
        <v>50</v>
      </c>
      <c r="B1" s="12">
        <v>70</v>
      </c>
      <c r="C1" s="9" t="s">
        <v>51</v>
      </c>
    </row>
    <row r="3" spans="1:12">
      <c r="A3" s="121" t="s">
        <v>5</v>
      </c>
      <c r="B3" s="121" t="s">
        <v>36</v>
      </c>
      <c r="C3" s="121"/>
      <c r="D3" s="121" t="s">
        <v>52</v>
      </c>
      <c r="E3" s="121"/>
      <c r="F3" s="121"/>
      <c r="G3" s="8" t="s">
        <v>53</v>
      </c>
    </row>
    <row r="4" spans="1:12">
      <c r="A4" s="121"/>
      <c r="B4" s="8" t="s">
        <v>54</v>
      </c>
      <c r="C4" s="8" t="s">
        <v>55</v>
      </c>
      <c r="D4" s="8" t="s">
        <v>56</v>
      </c>
      <c r="E4" s="8" t="s">
        <v>57</v>
      </c>
      <c r="F4" s="8" t="s">
        <v>58</v>
      </c>
      <c r="G4" s="8" t="s">
        <v>59</v>
      </c>
    </row>
    <row r="5" spans="1:12">
      <c r="A5" s="36">
        <v>0</v>
      </c>
      <c r="B5" s="12">
        <v>0</v>
      </c>
      <c r="C5" s="37">
        <f>B5/1000</f>
        <v>0</v>
      </c>
      <c r="D5" s="12">
        <f>C5/1000*$B$1</f>
        <v>0</v>
      </c>
      <c r="E5" s="12">
        <f>D5/22.4</f>
        <v>0</v>
      </c>
      <c r="F5" s="12">
        <f>E5/Calculation!K$4*1000</f>
        <v>0</v>
      </c>
      <c r="G5" s="12">
        <f>(0+F5)/2*30</f>
        <v>0</v>
      </c>
    </row>
    <row r="6" spans="1:12">
      <c r="A6" s="36">
        <v>0.5</v>
      </c>
      <c r="B6" s="12">
        <v>210.05</v>
      </c>
      <c r="C6" s="37">
        <f>B6/1000</f>
        <v>0.21005000000000001</v>
      </c>
      <c r="D6" s="12">
        <f>C6/1000*$B$1</f>
        <v>1.4703500000000001E-2</v>
      </c>
      <c r="E6" s="12">
        <f t="shared" ref="E6:E69" si="0">D6/22.4</f>
        <v>6.5640625000000009E-4</v>
      </c>
      <c r="F6" s="12">
        <f>E6/Calculation!K$4*1000</f>
        <v>4.4592815896739139E-4</v>
      </c>
      <c r="G6" s="12">
        <f>G5+(F6+F5)/2*30</f>
        <v>6.688922384510871E-3</v>
      </c>
    </row>
    <row r="7" spans="1:12">
      <c r="A7" s="36">
        <v>1</v>
      </c>
      <c r="B7" s="12">
        <v>258.39</v>
      </c>
      <c r="C7" s="37">
        <f t="shared" ref="C7:C69" si="1">B7/1000</f>
        <v>0.25839000000000001</v>
      </c>
      <c r="D7" s="12">
        <f t="shared" ref="D7:D69" si="2">C7/1000*$B$1</f>
        <v>1.8087300000000001E-2</v>
      </c>
      <c r="E7" s="12">
        <f t="shared" si="0"/>
        <v>8.0746875000000003E-4</v>
      </c>
      <c r="F7" s="12">
        <f>E7/Calculation!K$4*1000</f>
        <v>5.4855213994565218E-4</v>
      </c>
      <c r="G7" s="12">
        <f>G6+(F7+F6)/2*30</f>
        <v>2.1606126868206524E-2</v>
      </c>
    </row>
    <row r="8" spans="1:12">
      <c r="A8" s="36">
        <v>1.5</v>
      </c>
      <c r="B8" s="12">
        <v>289.16000000000003</v>
      </c>
      <c r="C8" s="37">
        <f t="shared" si="1"/>
        <v>0.28916000000000003</v>
      </c>
      <c r="D8" s="12">
        <f t="shared" si="2"/>
        <v>2.0241200000000001E-2</v>
      </c>
      <c r="E8" s="12">
        <f t="shared" si="0"/>
        <v>9.0362500000000013E-4</v>
      </c>
      <c r="F8" s="12">
        <f>E8/Calculation!K$4*1000</f>
        <v>6.138756793478262E-4</v>
      </c>
      <c r="G8" s="12">
        <f t="shared" ref="G8:G70" si="3">G7+(F8+F7)/2*30</f>
        <v>3.9042544157608702E-2</v>
      </c>
      <c r="K8" s="2">
        <f>0.001977/44.01</f>
        <v>4.492160872528971E-5</v>
      </c>
      <c r="L8" s="2">
        <f>1/K8</f>
        <v>22261.001517450681</v>
      </c>
    </row>
    <row r="9" spans="1:12">
      <c r="A9" s="36">
        <v>2</v>
      </c>
      <c r="B9" s="12">
        <v>316.08</v>
      </c>
      <c r="C9" s="37">
        <f t="shared" si="1"/>
        <v>0.31607999999999997</v>
      </c>
      <c r="D9" s="12">
        <f t="shared" si="2"/>
        <v>2.2125599999999999E-2</v>
      </c>
      <c r="E9" s="12">
        <f t="shared" si="0"/>
        <v>9.8774999999999991E-4</v>
      </c>
      <c r="F9" s="12">
        <f>E9/Calculation!K$4*1000</f>
        <v>6.7102581521739132E-4</v>
      </c>
      <c r="G9" s="12">
        <f t="shared" si="3"/>
        <v>5.831606657608697E-2</v>
      </c>
    </row>
    <row r="10" spans="1:12">
      <c r="A10" s="36">
        <v>2.5</v>
      </c>
      <c r="B10" s="12">
        <v>393.18</v>
      </c>
      <c r="C10" s="37">
        <f t="shared" si="1"/>
        <v>0.39318000000000003</v>
      </c>
      <c r="D10" s="12">
        <f t="shared" si="2"/>
        <v>2.7522600000000001E-2</v>
      </c>
      <c r="E10" s="12">
        <f t="shared" si="0"/>
        <v>1.2286875000000002E-3</v>
      </c>
      <c r="F10" s="12">
        <f>E10/Calculation!K$5*1000</f>
        <v>8.6042542016806739E-4</v>
      </c>
      <c r="G10" s="12">
        <f t="shared" si="3"/>
        <v>8.128783510686885E-2</v>
      </c>
    </row>
    <row r="11" spans="1:12">
      <c r="A11" s="36">
        <v>3</v>
      </c>
      <c r="B11" s="12">
        <v>494.36</v>
      </c>
      <c r="C11" s="37">
        <f t="shared" si="1"/>
        <v>0.49436000000000002</v>
      </c>
      <c r="D11" s="12">
        <f t="shared" si="2"/>
        <v>3.4605200000000003E-2</v>
      </c>
      <c r="E11" s="12">
        <f t="shared" si="0"/>
        <v>1.5448750000000002E-3</v>
      </c>
      <c r="F11" s="12">
        <f>E11/Calculation!K$5*1000</f>
        <v>1.0818452380952383E-3</v>
      </c>
      <c r="G11" s="12">
        <f t="shared" si="3"/>
        <v>0.11042189498081843</v>
      </c>
    </row>
    <row r="12" spans="1:12">
      <c r="A12" s="36">
        <v>3.5</v>
      </c>
      <c r="B12" s="12">
        <v>610.59</v>
      </c>
      <c r="C12" s="37">
        <f t="shared" si="1"/>
        <v>0.61059000000000008</v>
      </c>
      <c r="D12" s="12">
        <f t="shared" si="2"/>
        <v>4.2741300000000003E-2</v>
      </c>
      <c r="E12" s="12">
        <f t="shared" si="0"/>
        <v>1.9080937500000003E-3</v>
      </c>
      <c r="F12" s="12">
        <f>E12/Calculation!K$6*1000</f>
        <v>1.3866960392441862E-3</v>
      </c>
      <c r="G12" s="12">
        <f t="shared" si="3"/>
        <v>0.1474500141409098</v>
      </c>
    </row>
    <row r="13" spans="1:12">
      <c r="A13" s="36">
        <v>4</v>
      </c>
      <c r="B13" s="12">
        <v>746.22</v>
      </c>
      <c r="C13" s="37">
        <f t="shared" si="1"/>
        <v>0.74621999999999999</v>
      </c>
      <c r="D13" s="12">
        <f t="shared" si="2"/>
        <v>5.2235400000000001E-2</v>
      </c>
      <c r="E13" s="12">
        <f t="shared" si="0"/>
        <v>2.3319375000000002E-3</v>
      </c>
      <c r="F13" s="12">
        <f>E13/Calculation!K$6*1000</f>
        <v>1.6947220203488375E-3</v>
      </c>
      <c r="G13" s="12">
        <f t="shared" si="3"/>
        <v>0.19367128503480516</v>
      </c>
    </row>
    <row r="14" spans="1:12">
      <c r="A14" s="36">
        <v>4.5</v>
      </c>
      <c r="B14" s="12">
        <v>828.51</v>
      </c>
      <c r="C14" s="37">
        <f t="shared" si="1"/>
        <v>0.82850999999999997</v>
      </c>
      <c r="D14" s="12">
        <f t="shared" si="2"/>
        <v>5.7995699999999997E-2</v>
      </c>
      <c r="E14" s="12">
        <f t="shared" si="0"/>
        <v>2.5890937500000002E-3</v>
      </c>
      <c r="F14" s="12">
        <f>E14/Calculation!K$6*1000</f>
        <v>1.8816088299418608E-3</v>
      </c>
      <c r="G14" s="12">
        <f t="shared" si="3"/>
        <v>0.24731624778916561</v>
      </c>
    </row>
    <row r="15" spans="1:12">
      <c r="A15" s="36">
        <v>5</v>
      </c>
      <c r="B15" s="12">
        <v>877.17</v>
      </c>
      <c r="C15" s="37">
        <f t="shared" si="1"/>
        <v>0.87717000000000001</v>
      </c>
      <c r="D15" s="12">
        <f t="shared" si="2"/>
        <v>6.1401900000000002E-2</v>
      </c>
      <c r="E15" s="12">
        <f t="shared" si="0"/>
        <v>2.7411562500000001E-3</v>
      </c>
      <c r="F15" s="12">
        <f>E15/Calculation!K$7*1000</f>
        <v>2.061019736842105E-3</v>
      </c>
      <c r="G15" s="12">
        <f t="shared" si="3"/>
        <v>0.30645567629092507</v>
      </c>
    </row>
    <row r="16" spans="1:12">
      <c r="A16" s="36">
        <v>5.5</v>
      </c>
      <c r="B16" s="12">
        <v>964.47</v>
      </c>
      <c r="C16" s="37">
        <f t="shared" si="1"/>
        <v>0.96447000000000005</v>
      </c>
      <c r="D16" s="12">
        <f t="shared" si="2"/>
        <v>6.7512900000000001E-2</v>
      </c>
      <c r="E16" s="12">
        <f t="shared" si="0"/>
        <v>3.0139687500000002E-3</v>
      </c>
      <c r="F16" s="12">
        <f>E16/Calculation!K$7*1000</f>
        <v>2.2661419172932333E-3</v>
      </c>
      <c r="G16" s="12">
        <f t="shared" si="3"/>
        <v>0.37136310110295512</v>
      </c>
    </row>
    <row r="17" spans="1:7">
      <c r="A17" s="36">
        <v>6</v>
      </c>
      <c r="B17" s="12">
        <v>1025.01</v>
      </c>
      <c r="C17" s="37">
        <f t="shared" si="1"/>
        <v>1.02501</v>
      </c>
      <c r="D17" s="12">
        <f t="shared" si="2"/>
        <v>7.1750700000000001E-2</v>
      </c>
      <c r="E17" s="12">
        <f t="shared" si="0"/>
        <v>3.2031562500000003E-3</v>
      </c>
      <c r="F17" s="12">
        <f>E17/Calculation!K$8*1000</f>
        <v>2.5024658203125004E-3</v>
      </c>
      <c r="G17" s="12">
        <f t="shared" si="3"/>
        <v>0.44289221716704114</v>
      </c>
    </row>
    <row r="18" spans="1:7">
      <c r="A18" s="36">
        <v>6.5</v>
      </c>
      <c r="B18" s="12">
        <v>1059.1300000000001</v>
      </c>
      <c r="C18" s="37">
        <f t="shared" si="1"/>
        <v>1.0591300000000001</v>
      </c>
      <c r="D18" s="12">
        <f t="shared" si="2"/>
        <v>7.4139100000000013E-2</v>
      </c>
      <c r="E18" s="12">
        <f t="shared" si="0"/>
        <v>3.3097812500000007E-3</v>
      </c>
      <c r="F18" s="12">
        <f>E18/Calculation!K$8*1000</f>
        <v>2.5857666015625005E-3</v>
      </c>
      <c r="G18" s="12">
        <f t="shared" si="3"/>
        <v>0.5192157034951661</v>
      </c>
    </row>
    <row r="19" spans="1:7">
      <c r="A19" s="36">
        <v>7</v>
      </c>
      <c r="B19" s="12">
        <v>1121.51</v>
      </c>
      <c r="C19" s="37">
        <f t="shared" si="1"/>
        <v>1.12151</v>
      </c>
      <c r="D19" s="12">
        <f t="shared" si="2"/>
        <v>7.8505699999999998E-2</v>
      </c>
      <c r="E19" s="12">
        <f t="shared" si="0"/>
        <v>3.50471875E-3</v>
      </c>
      <c r="F19" s="12">
        <f>E19/Calculation!K$8*1000</f>
        <v>2.7380615234374999E-3</v>
      </c>
      <c r="G19" s="12">
        <f t="shared" si="3"/>
        <v>0.5990731253701661</v>
      </c>
    </row>
    <row r="20" spans="1:7">
      <c r="A20" s="36">
        <v>7.5</v>
      </c>
      <c r="B20" s="12">
        <v>1147.43</v>
      </c>
      <c r="C20" s="37">
        <f t="shared" si="1"/>
        <v>1.1474300000000002</v>
      </c>
      <c r="D20" s="12">
        <f t="shared" si="2"/>
        <v>8.0320100000000005E-2</v>
      </c>
      <c r="E20" s="12">
        <f t="shared" si="0"/>
        <v>3.5857187500000004E-3</v>
      </c>
      <c r="F20" s="12">
        <f>E20/Calculation!K$9*1000</f>
        <v>2.9222476325516597E-3</v>
      </c>
      <c r="G20" s="12">
        <f t="shared" si="3"/>
        <v>0.68397776271000355</v>
      </c>
    </row>
    <row r="21" spans="1:7">
      <c r="A21" s="36">
        <v>8</v>
      </c>
      <c r="B21" s="12">
        <v>1202.29</v>
      </c>
      <c r="C21" s="37">
        <f t="shared" si="1"/>
        <v>1.2022899999999999</v>
      </c>
      <c r="D21" s="12">
        <f t="shared" si="2"/>
        <v>8.4160299999999993E-2</v>
      </c>
      <c r="E21" s="12">
        <f t="shared" si="0"/>
        <v>3.7571562500000001E-3</v>
      </c>
      <c r="F21" s="12">
        <f>E21/Calculation!K$9*1000</f>
        <v>3.0619637852771276E-3</v>
      </c>
      <c r="G21" s="12">
        <f t="shared" si="3"/>
        <v>0.77374093397743537</v>
      </c>
    </row>
    <row r="22" spans="1:7">
      <c r="A22" s="36">
        <v>8.5</v>
      </c>
      <c r="B22" s="12">
        <v>1248.1099999999999</v>
      </c>
      <c r="C22" s="37">
        <f t="shared" si="1"/>
        <v>1.2481099999999998</v>
      </c>
      <c r="D22" s="12">
        <f t="shared" si="2"/>
        <v>8.7367699999999979E-2</v>
      </c>
      <c r="E22" s="12">
        <f t="shared" si="0"/>
        <v>3.9003437499999993E-3</v>
      </c>
      <c r="F22" s="12">
        <f>E22/Calculation!K$9*1000</f>
        <v>3.1786570794419271E-3</v>
      </c>
      <c r="G22" s="12">
        <f t="shared" si="3"/>
        <v>0.86735024694822116</v>
      </c>
    </row>
    <row r="23" spans="1:7">
      <c r="A23" s="36">
        <v>9</v>
      </c>
      <c r="B23" s="12">
        <v>1306.1400000000001</v>
      </c>
      <c r="C23" s="37">
        <f t="shared" si="1"/>
        <v>1.3061400000000001</v>
      </c>
      <c r="D23" s="12">
        <f t="shared" si="2"/>
        <v>9.1429800000000006E-2</v>
      </c>
      <c r="E23" s="12">
        <f t="shared" si="0"/>
        <v>4.0816875000000002E-3</v>
      </c>
      <c r="F23" s="12">
        <f>E23/Calculation!K$10*1000</f>
        <v>3.4764904837101067E-3</v>
      </c>
      <c r="G23" s="12">
        <f t="shared" si="3"/>
        <v>0.96717746039550168</v>
      </c>
    </row>
    <row r="24" spans="1:7">
      <c r="A24" s="36">
        <v>9.5</v>
      </c>
      <c r="B24" s="12">
        <v>1400.8</v>
      </c>
      <c r="C24" s="37">
        <f t="shared" si="1"/>
        <v>1.4008</v>
      </c>
      <c r="D24" s="12">
        <f t="shared" si="2"/>
        <v>9.8056000000000004E-2</v>
      </c>
      <c r="E24" s="12">
        <f t="shared" si="0"/>
        <v>4.3775000000000003E-3</v>
      </c>
      <c r="F24" s="12">
        <f>E24/Calculation!K$10*1000</f>
        <v>3.728442486702128E-3</v>
      </c>
      <c r="G24" s="12">
        <f t="shared" si="3"/>
        <v>1.0752514549516852</v>
      </c>
    </row>
    <row r="25" spans="1:7">
      <c r="A25" s="36">
        <v>10</v>
      </c>
      <c r="B25" s="12">
        <v>1498.13</v>
      </c>
      <c r="C25" s="37">
        <f t="shared" si="1"/>
        <v>1.4981300000000002</v>
      </c>
      <c r="D25" s="12">
        <f t="shared" si="2"/>
        <v>0.10486910000000001</v>
      </c>
      <c r="E25" s="12">
        <f t="shared" si="0"/>
        <v>4.6816562500000009E-3</v>
      </c>
      <c r="F25" s="12">
        <f>E25/Calculation!K$11*1000</f>
        <v>4.1534998184646092E-3</v>
      </c>
      <c r="G25" s="12">
        <f t="shared" si="3"/>
        <v>1.1934805895291862</v>
      </c>
    </row>
    <row r="26" spans="1:7">
      <c r="A26" s="36">
        <v>10.5</v>
      </c>
      <c r="B26" s="12">
        <v>1617.54</v>
      </c>
      <c r="C26" s="37">
        <f t="shared" si="1"/>
        <v>1.61754</v>
      </c>
      <c r="D26" s="12">
        <f t="shared" si="2"/>
        <v>0.1132278</v>
      </c>
      <c r="E26" s="12">
        <f t="shared" si="0"/>
        <v>5.0548125000000003E-3</v>
      </c>
      <c r="F26" s="12">
        <f>E26/Calculation!K$11*1000</f>
        <v>4.4845588142278991E-3</v>
      </c>
      <c r="G26" s="12">
        <f t="shared" si="3"/>
        <v>1.3230514690195738</v>
      </c>
    </row>
    <row r="27" spans="1:7">
      <c r="A27" s="36">
        <v>11</v>
      </c>
      <c r="B27" s="12">
        <v>1768.73</v>
      </c>
      <c r="C27" s="37">
        <f t="shared" si="1"/>
        <v>1.7687299999999999</v>
      </c>
      <c r="D27" s="12">
        <f t="shared" si="2"/>
        <v>0.12381109999999999</v>
      </c>
      <c r="E27" s="12">
        <f t="shared" si="0"/>
        <v>5.5272812500000001E-3</v>
      </c>
      <c r="F27" s="12">
        <f>E27/Calculation!K$11*1000</f>
        <v>4.903726468272385E-3</v>
      </c>
      <c r="G27" s="12">
        <f t="shared" si="3"/>
        <v>1.4638757482570781</v>
      </c>
    </row>
    <row r="28" spans="1:7">
      <c r="A28" s="36">
        <v>11.5</v>
      </c>
      <c r="B28" s="12">
        <v>1981.12</v>
      </c>
      <c r="C28" s="37">
        <f t="shared" si="1"/>
        <v>1.98112</v>
      </c>
      <c r="D28" s="12">
        <f t="shared" si="2"/>
        <v>0.13867839999999998</v>
      </c>
      <c r="E28" s="12">
        <f t="shared" si="0"/>
        <v>6.1909999999999995E-3</v>
      </c>
      <c r="F28" s="12">
        <f>E28/Calculation!K$12*1000</f>
        <v>5.7466187864579589E-3</v>
      </c>
      <c r="G28" s="12">
        <f t="shared" si="3"/>
        <v>1.6236309270780334</v>
      </c>
    </row>
    <row r="29" spans="1:7">
      <c r="A29" s="36">
        <v>12</v>
      </c>
      <c r="B29" s="12">
        <v>2261.75</v>
      </c>
      <c r="C29" s="37">
        <f t="shared" si="1"/>
        <v>2.2617500000000001</v>
      </c>
      <c r="D29" s="12">
        <f t="shared" si="2"/>
        <v>0.15832250000000003</v>
      </c>
      <c r="E29" s="12">
        <f t="shared" si="0"/>
        <v>7.0679687500000022E-3</v>
      </c>
      <c r="F29" s="12">
        <f>E29/Calculation!K$12*1000</f>
        <v>6.5606399613709881E-3</v>
      </c>
      <c r="G29" s="12">
        <f t="shared" si="3"/>
        <v>1.8082398082954676</v>
      </c>
    </row>
    <row r="30" spans="1:7">
      <c r="A30" s="36">
        <v>12.5</v>
      </c>
      <c r="B30" s="12">
        <v>2619.31</v>
      </c>
      <c r="C30" s="37">
        <f t="shared" si="1"/>
        <v>2.61931</v>
      </c>
      <c r="D30" s="12">
        <f t="shared" si="2"/>
        <v>0.18335170000000001</v>
      </c>
      <c r="E30" s="12">
        <f t="shared" si="0"/>
        <v>8.1853437500000008E-3</v>
      </c>
      <c r="F30" s="12">
        <f>E30/Calculation!K$12*1000</f>
        <v>7.5978113660743413E-3</v>
      </c>
      <c r="G30" s="12">
        <f t="shared" si="3"/>
        <v>2.0206165782071475</v>
      </c>
    </row>
    <row r="31" spans="1:7">
      <c r="A31" s="36">
        <v>13</v>
      </c>
      <c r="B31" s="12">
        <v>3112.33</v>
      </c>
      <c r="C31" s="37">
        <f t="shared" si="1"/>
        <v>3.11233</v>
      </c>
      <c r="D31" s="12">
        <f t="shared" si="2"/>
        <v>0.2178631</v>
      </c>
      <c r="E31" s="12">
        <f t="shared" si="0"/>
        <v>9.7260312500000012E-3</v>
      </c>
      <c r="F31" s="12">
        <f>E31/Calculation!K$13*1000</f>
        <v>9.5104518764326032E-3</v>
      </c>
      <c r="G31" s="12">
        <f t="shared" si="3"/>
        <v>2.2772405268447518</v>
      </c>
    </row>
    <row r="32" spans="1:7">
      <c r="A32" s="36">
        <v>13.5</v>
      </c>
      <c r="B32" s="12">
        <v>3741.49</v>
      </c>
      <c r="C32" s="37">
        <f t="shared" si="1"/>
        <v>3.7414899999999998</v>
      </c>
      <c r="D32" s="12">
        <f t="shared" si="2"/>
        <v>0.26190429999999998</v>
      </c>
      <c r="E32" s="12">
        <f t="shared" si="0"/>
        <v>1.169215625E-2</v>
      </c>
      <c r="F32" s="12">
        <f>E32/Calculation!K$13*1000</f>
        <v>1.14329973335584E-2</v>
      </c>
      <c r="G32" s="12">
        <f t="shared" si="3"/>
        <v>2.5913922649946168</v>
      </c>
    </row>
    <row r="33" spans="1:7">
      <c r="A33" s="36">
        <v>14</v>
      </c>
      <c r="B33" s="12">
        <v>4465.97</v>
      </c>
      <c r="C33" s="37">
        <f t="shared" si="1"/>
        <v>4.4659700000000004</v>
      </c>
      <c r="D33" s="12">
        <f t="shared" si="2"/>
        <v>0.31261790000000006</v>
      </c>
      <c r="E33" s="12">
        <f t="shared" si="0"/>
        <v>1.3956156250000004E-2</v>
      </c>
      <c r="F33" s="12">
        <f>E33/Calculation!K$14*1000</f>
        <v>1.4282837121984982E-2</v>
      </c>
      <c r="G33" s="12">
        <f t="shared" si="3"/>
        <v>2.9771297818277676</v>
      </c>
    </row>
    <row r="34" spans="1:7">
      <c r="A34" s="36">
        <v>14.5</v>
      </c>
      <c r="B34" s="12">
        <v>5315.89</v>
      </c>
      <c r="C34" s="37">
        <f t="shared" si="1"/>
        <v>5.3158900000000004</v>
      </c>
      <c r="D34" s="12">
        <f t="shared" si="2"/>
        <v>0.37211230000000001</v>
      </c>
      <c r="E34" s="12">
        <f t="shared" si="0"/>
        <v>1.6612156250000003E-2</v>
      </c>
      <c r="F34" s="12">
        <f>E34/Calculation!K$14*1000</f>
        <v>1.7001007850117385E-2</v>
      </c>
      <c r="G34" s="12">
        <f t="shared" si="3"/>
        <v>3.4463874564093029</v>
      </c>
    </row>
    <row r="35" spans="1:7">
      <c r="A35" s="36">
        <v>15</v>
      </c>
      <c r="B35" s="12">
        <v>6216.97</v>
      </c>
      <c r="C35" s="37">
        <f t="shared" si="1"/>
        <v>6.2169699999999999</v>
      </c>
      <c r="D35" s="12">
        <f t="shared" si="2"/>
        <v>0.43518789999999996</v>
      </c>
      <c r="E35" s="12">
        <f t="shared" si="0"/>
        <v>1.9428031249999998E-2</v>
      </c>
      <c r="F35" s="12">
        <f>E35/Calculation!K$14*1000</f>
        <v>1.9882795876879366E-2</v>
      </c>
      <c r="G35" s="12">
        <f t="shared" si="3"/>
        <v>3.9996445123142541</v>
      </c>
    </row>
    <row r="36" spans="1:7">
      <c r="A36" s="36">
        <v>15.5</v>
      </c>
      <c r="B36" s="12">
        <v>6987.78</v>
      </c>
      <c r="C36" s="37">
        <f t="shared" si="1"/>
        <v>6.9877799999999999</v>
      </c>
      <c r="D36" s="12">
        <f t="shared" si="2"/>
        <v>0.48914459999999998</v>
      </c>
      <c r="E36" s="12">
        <f t="shared" si="0"/>
        <v>2.18368125E-2</v>
      </c>
      <c r="F36" s="12">
        <f>E36/Calculation!K$15*1000</f>
        <v>2.3312451994458163E-2</v>
      </c>
      <c r="G36" s="12">
        <f t="shared" si="3"/>
        <v>4.6475732303843174</v>
      </c>
    </row>
    <row r="37" spans="1:7">
      <c r="A37" s="36">
        <v>16</v>
      </c>
      <c r="B37" s="12">
        <v>7525.46</v>
      </c>
      <c r="C37" s="37">
        <f t="shared" si="1"/>
        <v>7.5254599999999998</v>
      </c>
      <c r="D37" s="12">
        <f t="shared" si="2"/>
        <v>0.52678219999999998</v>
      </c>
      <c r="E37" s="12">
        <f t="shared" si="0"/>
        <v>2.3517062500000002E-2</v>
      </c>
      <c r="F37" s="12">
        <f>E37/Calculation!K$15*1000</f>
        <v>2.5106246187804299E-2</v>
      </c>
      <c r="G37" s="12">
        <f t="shared" si="3"/>
        <v>5.3738537031182538</v>
      </c>
    </row>
    <row r="38" spans="1:7">
      <c r="A38" s="36">
        <v>16.5</v>
      </c>
      <c r="B38" s="12">
        <v>7812.78</v>
      </c>
      <c r="C38" s="37">
        <f t="shared" si="1"/>
        <v>7.8127800000000001</v>
      </c>
      <c r="D38" s="12">
        <f t="shared" si="2"/>
        <v>0.54689460000000001</v>
      </c>
      <c r="E38" s="12">
        <f t="shared" si="0"/>
        <v>2.4414937500000001E-2</v>
      </c>
      <c r="F38" s="12">
        <f>E38/Calculation!K$15*1000</f>
        <v>2.6064795785394342E-2</v>
      </c>
      <c r="G38" s="12">
        <f t="shared" si="3"/>
        <v>6.1414193327162332</v>
      </c>
    </row>
    <row r="39" spans="1:7">
      <c r="A39" s="36">
        <v>17</v>
      </c>
      <c r="B39" s="12">
        <v>8023</v>
      </c>
      <c r="C39" s="37">
        <f t="shared" si="1"/>
        <v>8.0229999999999997</v>
      </c>
      <c r="D39" s="12">
        <f t="shared" si="2"/>
        <v>0.56160999999999994</v>
      </c>
      <c r="E39" s="12">
        <f t="shared" si="0"/>
        <v>2.5071875E-2</v>
      </c>
      <c r="F39" s="12">
        <f>E39/Calculation!K$16*1000</f>
        <v>2.8058892052184134E-2</v>
      </c>
      <c r="G39" s="12">
        <f>G38+(F39+F38)/2*30</f>
        <v>6.9532746502799103</v>
      </c>
    </row>
    <row r="40" spans="1:7">
      <c r="A40" s="36">
        <v>17.5</v>
      </c>
      <c r="B40" s="12">
        <v>8131.2</v>
      </c>
      <c r="C40" s="37">
        <f t="shared" si="1"/>
        <v>8.1311999999999998</v>
      </c>
      <c r="D40" s="12">
        <f t="shared" si="2"/>
        <v>0.56918400000000002</v>
      </c>
      <c r="E40" s="12">
        <f t="shared" si="0"/>
        <v>2.5410000000000002E-2</v>
      </c>
      <c r="F40" s="12">
        <f>E40/Calculation!K$16*1000</f>
        <v>2.8437300642492787E-2</v>
      </c>
      <c r="G40" s="12">
        <f t="shared" si="3"/>
        <v>7.800717540700064</v>
      </c>
    </row>
    <row r="41" spans="1:7">
      <c r="A41" s="36">
        <v>18</v>
      </c>
      <c r="B41" s="12">
        <v>7959.78</v>
      </c>
      <c r="C41" s="37">
        <f t="shared" si="1"/>
        <v>7.9597799999999994</v>
      </c>
      <c r="D41" s="12">
        <f t="shared" si="2"/>
        <v>0.55718460000000003</v>
      </c>
      <c r="E41" s="12">
        <f t="shared" si="0"/>
        <v>2.4874312500000002E-2</v>
      </c>
      <c r="F41" s="12">
        <f>E41/Calculation!K$17*1000</f>
        <v>2.9012248779929976E-2</v>
      </c>
      <c r="G41" s="12">
        <f t="shared" si="3"/>
        <v>8.6624607820364048</v>
      </c>
    </row>
    <row r="42" spans="1:7">
      <c r="A42" s="36">
        <v>18.5</v>
      </c>
      <c r="B42" s="12">
        <v>7733.34</v>
      </c>
      <c r="C42" s="37">
        <f t="shared" si="1"/>
        <v>7.7333400000000001</v>
      </c>
      <c r="D42" s="12">
        <f t="shared" si="2"/>
        <v>0.54133379999999998</v>
      </c>
      <c r="E42" s="12">
        <f t="shared" si="0"/>
        <v>2.4166687499999999E-2</v>
      </c>
      <c r="F42" s="12">
        <f>E42/Calculation!K$17*1000</f>
        <v>2.8186907675813107E-2</v>
      </c>
      <c r="G42" s="12">
        <f t="shared" si="3"/>
        <v>9.5204481288725518</v>
      </c>
    </row>
    <row r="43" spans="1:7">
      <c r="A43" s="36">
        <v>19</v>
      </c>
      <c r="B43" s="12">
        <v>7580.48</v>
      </c>
      <c r="C43" s="37">
        <f t="shared" si="1"/>
        <v>7.5804799999999997</v>
      </c>
      <c r="D43" s="12">
        <f t="shared" si="2"/>
        <v>0.53063359999999993</v>
      </c>
      <c r="E43" s="12">
        <f t="shared" si="0"/>
        <v>2.3688999999999998E-2</v>
      </c>
      <c r="F43" s="12">
        <f>E43/Calculation!K$17*1000</f>
        <v>2.7629755047411306E-2</v>
      </c>
      <c r="G43" s="12">
        <f t="shared" si="3"/>
        <v>10.357698069720918</v>
      </c>
    </row>
    <row r="44" spans="1:7">
      <c r="A44" s="36">
        <v>19.5</v>
      </c>
      <c r="B44" s="12">
        <v>7166.39</v>
      </c>
      <c r="C44" s="37">
        <f t="shared" si="1"/>
        <v>7.1663900000000007</v>
      </c>
      <c r="D44" s="12">
        <f t="shared" si="2"/>
        <v>0.50164730000000002</v>
      </c>
      <c r="E44" s="12">
        <f t="shared" si="0"/>
        <v>2.2394968750000001E-2</v>
      </c>
      <c r="F44" s="12">
        <f>E44/Calculation!K$18*1000</f>
        <v>2.7399953476805669E-2</v>
      </c>
      <c r="G44" s="12">
        <f t="shared" si="3"/>
        <v>11.183143697584173</v>
      </c>
    </row>
    <row r="45" spans="1:7">
      <c r="A45" s="36">
        <v>20</v>
      </c>
      <c r="B45" s="12">
        <v>6398.93</v>
      </c>
      <c r="C45" s="37">
        <f t="shared" si="1"/>
        <v>6.39893</v>
      </c>
      <c r="D45" s="12">
        <f t="shared" si="2"/>
        <v>0.44792509999999996</v>
      </c>
      <c r="E45" s="12">
        <f t="shared" si="0"/>
        <v>1.9996656250000001E-2</v>
      </c>
      <c r="F45" s="12">
        <f>E45/Calculation!K$18*1000</f>
        <v>2.4465649274088643E-2</v>
      </c>
      <c r="G45" s="12">
        <f t="shared" si="3"/>
        <v>11.961127738847587</v>
      </c>
    </row>
    <row r="46" spans="1:7">
      <c r="A46" s="36">
        <v>20.5</v>
      </c>
      <c r="B46" s="12">
        <v>5688.5</v>
      </c>
      <c r="C46" s="37">
        <f t="shared" si="1"/>
        <v>5.6885000000000003</v>
      </c>
      <c r="D46" s="12">
        <f t="shared" si="2"/>
        <v>0.39819500000000002</v>
      </c>
      <c r="E46" s="12">
        <f t="shared" si="0"/>
        <v>1.7776562500000002E-2</v>
      </c>
      <c r="F46" s="12">
        <f>E46/Calculation!K$18*1000</f>
        <v>2.1749393397904531E-2</v>
      </c>
      <c r="G46" s="12">
        <f t="shared" si="3"/>
        <v>12.654353378927485</v>
      </c>
    </row>
    <row r="47" spans="1:7">
      <c r="A47" s="36">
        <v>21</v>
      </c>
      <c r="B47" s="12">
        <v>4989.1000000000004</v>
      </c>
      <c r="C47" s="37">
        <f t="shared" si="1"/>
        <v>4.9891000000000005</v>
      </c>
      <c r="D47" s="12">
        <f t="shared" si="2"/>
        <v>0.34923700000000002</v>
      </c>
      <c r="E47" s="12">
        <f t="shared" si="0"/>
        <v>1.5590937500000002E-2</v>
      </c>
      <c r="F47" s="12">
        <f>E47/Calculation!K$18*1000</f>
        <v>1.9075309589783863E-2</v>
      </c>
      <c r="G47" s="12">
        <f t="shared" si="3"/>
        <v>13.266723923742811</v>
      </c>
    </row>
    <row r="48" spans="1:7">
      <c r="A48" s="36">
        <v>21.5</v>
      </c>
      <c r="B48" s="12">
        <v>4341.21</v>
      </c>
      <c r="C48" s="37">
        <f t="shared" si="1"/>
        <v>4.3412100000000002</v>
      </c>
      <c r="D48" s="12">
        <f t="shared" si="2"/>
        <v>0.30388470000000001</v>
      </c>
      <c r="E48" s="12">
        <f t="shared" si="0"/>
        <v>1.3566281250000001E-2</v>
      </c>
      <c r="F48" s="12">
        <f>E48/Calculation!K$18*1000</f>
        <v>1.6598168957179773E-2</v>
      </c>
      <c r="G48" s="12">
        <f t="shared" si="3"/>
        <v>13.801826101947265</v>
      </c>
    </row>
    <row r="49" spans="1:7">
      <c r="A49" s="36">
        <v>22</v>
      </c>
      <c r="B49" s="12">
        <v>3790.99</v>
      </c>
      <c r="C49" s="37">
        <f t="shared" si="1"/>
        <v>3.7909899999999999</v>
      </c>
      <c r="D49" s="12">
        <f t="shared" si="2"/>
        <v>0.26536929999999997</v>
      </c>
      <c r="E49" s="12">
        <f t="shared" si="0"/>
        <v>1.1846843749999999E-2</v>
      </c>
      <c r="F49" s="12">
        <f>E49/Calculation!K$18*1000</f>
        <v>1.4494459502069453E-2</v>
      </c>
      <c r="G49" s="12">
        <f t="shared" si="3"/>
        <v>14.268215528836004</v>
      </c>
    </row>
    <row r="50" spans="1:7">
      <c r="A50" s="36">
        <v>22.5</v>
      </c>
      <c r="B50" s="12">
        <v>3241.44</v>
      </c>
      <c r="C50" s="37">
        <f t="shared" si="1"/>
        <v>3.2414399999999999</v>
      </c>
      <c r="D50" s="12">
        <f t="shared" si="2"/>
        <v>0.22690079999999999</v>
      </c>
      <c r="E50" s="12">
        <f t="shared" si="0"/>
        <v>1.01295E-2</v>
      </c>
      <c r="F50" s="12">
        <f>E50/Calculation!K$18*1000</f>
        <v>1.2393311722897715E-2</v>
      </c>
      <c r="G50" s="12">
        <f t="shared" si="3"/>
        <v>14.671532097210511</v>
      </c>
    </row>
    <row r="51" spans="1:7">
      <c r="A51" s="36">
        <v>23</v>
      </c>
      <c r="B51" s="12">
        <v>2784.04</v>
      </c>
      <c r="C51" s="37">
        <f t="shared" si="1"/>
        <v>2.7840400000000001</v>
      </c>
      <c r="D51" s="12">
        <f t="shared" si="2"/>
        <v>0.19488280000000002</v>
      </c>
      <c r="E51" s="12">
        <f t="shared" si="0"/>
        <v>8.7001250000000013E-3</v>
      </c>
      <c r="F51" s="12">
        <f>E51/Calculation!K$18*1000</f>
        <v>1.0644489970203416E-2</v>
      </c>
      <c r="G51" s="12">
        <f t="shared" si="3"/>
        <v>15.017099122607029</v>
      </c>
    </row>
    <row r="52" spans="1:7">
      <c r="A52" s="36">
        <v>23.5</v>
      </c>
      <c r="B52" s="12">
        <v>2468.79</v>
      </c>
      <c r="C52" s="37">
        <f t="shared" si="1"/>
        <v>2.4687899999999998</v>
      </c>
      <c r="D52" s="12">
        <f t="shared" si="2"/>
        <v>0.17281529999999998</v>
      </c>
      <c r="E52" s="12">
        <f t="shared" si="0"/>
        <v>7.7149687499999996E-3</v>
      </c>
      <c r="F52" s="12">
        <f>E52/Calculation!K$18*1000</f>
        <v>9.4391640901490236E-3</v>
      </c>
      <c r="G52" s="12">
        <f t="shared" si="3"/>
        <v>15.318353933512315</v>
      </c>
    </row>
    <row r="53" spans="1:7">
      <c r="A53" s="36">
        <v>24</v>
      </c>
      <c r="B53" s="12">
        <v>2116.25</v>
      </c>
      <c r="C53" s="37">
        <f t="shared" si="1"/>
        <v>2.11625</v>
      </c>
      <c r="D53" s="12">
        <f t="shared" si="2"/>
        <v>0.14813750000000001</v>
      </c>
      <c r="E53" s="12">
        <f t="shared" si="0"/>
        <v>6.6132812500000002E-3</v>
      </c>
      <c r="F53" s="12">
        <f>E53/Calculation!K$19*1000</f>
        <v>8.7144676211496387E-3</v>
      </c>
      <c r="G53" s="12">
        <f t="shared" si="3"/>
        <v>15.590658409181795</v>
      </c>
    </row>
    <row r="54" spans="1:7">
      <c r="A54" s="36">
        <v>24.5</v>
      </c>
      <c r="B54" s="12">
        <v>1832.28</v>
      </c>
      <c r="C54" s="37">
        <f t="shared" si="1"/>
        <v>1.8322799999999999</v>
      </c>
      <c r="D54" s="12">
        <f t="shared" si="2"/>
        <v>0.1282596</v>
      </c>
      <c r="E54" s="12">
        <f t="shared" si="0"/>
        <v>5.7258750000000001E-3</v>
      </c>
      <c r="F54" s="12">
        <f>E54/Calculation!K$19*1000</f>
        <v>7.5451126912605129E-3</v>
      </c>
      <c r="G54" s="12">
        <f t="shared" si="3"/>
        <v>15.834552113867948</v>
      </c>
    </row>
    <row r="55" spans="1:7">
      <c r="A55" s="36">
        <v>25</v>
      </c>
      <c r="B55" s="12">
        <v>1541.12</v>
      </c>
      <c r="C55" s="37">
        <f t="shared" si="1"/>
        <v>1.5411199999999998</v>
      </c>
      <c r="D55" s="12">
        <f t="shared" si="2"/>
        <v>0.10787839999999999</v>
      </c>
      <c r="E55" s="12">
        <f t="shared" si="0"/>
        <v>4.816E-3</v>
      </c>
      <c r="F55" s="12">
        <f>E55/Calculation!K$19*1000</f>
        <v>6.3461501903395775E-3</v>
      </c>
      <c r="G55" s="12">
        <f t="shared" si="3"/>
        <v>16.042921057091949</v>
      </c>
    </row>
    <row r="56" spans="1:7">
      <c r="A56" s="36">
        <v>25.5</v>
      </c>
      <c r="B56" s="12">
        <v>1321.19</v>
      </c>
      <c r="C56" s="37">
        <f t="shared" si="1"/>
        <v>1.3211900000000001</v>
      </c>
      <c r="D56" s="12">
        <f t="shared" si="2"/>
        <v>9.2483300000000004E-2</v>
      </c>
      <c r="E56" s="12">
        <f t="shared" si="0"/>
        <v>4.1287187500000004E-3</v>
      </c>
      <c r="F56" s="12">
        <f>E56/Calculation!K$19*1000</f>
        <v>5.4405044188478172E-3</v>
      </c>
      <c r="G56" s="12">
        <f t="shared" si="3"/>
        <v>16.219720876229761</v>
      </c>
    </row>
    <row r="57" spans="1:7">
      <c r="A57" s="36">
        <v>26</v>
      </c>
      <c r="B57" s="12">
        <v>1137.06</v>
      </c>
      <c r="C57" s="37">
        <f t="shared" si="1"/>
        <v>1.13706</v>
      </c>
      <c r="D57" s="12">
        <f t="shared" si="2"/>
        <v>7.9594200000000004E-2</v>
      </c>
      <c r="E57" s="12">
        <f t="shared" si="0"/>
        <v>3.5533125000000005E-3</v>
      </c>
      <c r="F57" s="12">
        <f>E57/Calculation!K$19*1000</f>
        <v>4.6822788202265375E-3</v>
      </c>
      <c r="G57" s="12">
        <f t="shared" si="3"/>
        <v>16.371562624815876</v>
      </c>
    </row>
    <row r="58" spans="1:7">
      <c r="A58" s="36">
        <v>26.5</v>
      </c>
      <c r="B58" s="12">
        <v>1023.34</v>
      </c>
      <c r="C58" s="37">
        <f t="shared" si="1"/>
        <v>1.0233400000000001</v>
      </c>
      <c r="D58" s="12">
        <f t="shared" si="2"/>
        <v>7.1633800000000011E-2</v>
      </c>
      <c r="E58" s="12">
        <f t="shared" si="0"/>
        <v>3.1979375000000007E-3</v>
      </c>
      <c r="F58" s="12">
        <f>E58/Calculation!K$19*1000</f>
        <v>4.213993287856951E-3</v>
      </c>
      <c r="G58" s="12">
        <f t="shared" si="3"/>
        <v>16.505006706437129</v>
      </c>
    </row>
    <row r="59" spans="1:7">
      <c r="A59" s="36">
        <v>27</v>
      </c>
      <c r="B59" s="12">
        <v>866.14</v>
      </c>
      <c r="C59" s="37">
        <f t="shared" si="1"/>
        <v>0.86614000000000002</v>
      </c>
      <c r="D59" s="12">
        <f t="shared" si="2"/>
        <v>6.0629800000000005E-2</v>
      </c>
      <c r="E59" s="12">
        <f t="shared" si="0"/>
        <v>2.7066875000000003E-3</v>
      </c>
      <c r="F59" s="12">
        <f>E59/Calculation!K$19*1000</f>
        <v>3.5666622494424332E-3</v>
      </c>
      <c r="G59" s="12">
        <f t="shared" si="3"/>
        <v>16.621716539496621</v>
      </c>
    </row>
    <row r="60" spans="1:7">
      <c r="A60" s="36">
        <v>27.5</v>
      </c>
      <c r="B60" s="12">
        <v>788.54</v>
      </c>
      <c r="C60" s="37">
        <f t="shared" si="1"/>
        <v>0.78854000000000002</v>
      </c>
      <c r="D60" s="12">
        <f t="shared" si="2"/>
        <v>5.5197799999999998E-2</v>
      </c>
      <c r="E60" s="12">
        <f t="shared" si="0"/>
        <v>2.4641875000000002E-3</v>
      </c>
      <c r="F60" s="12">
        <f>E60/Calculation!K$19*1000</f>
        <v>3.2471146121589309E-3</v>
      </c>
      <c r="G60" s="12">
        <f t="shared" si="3"/>
        <v>16.723923192420642</v>
      </c>
    </row>
    <row r="61" spans="1:7">
      <c r="A61" s="36">
        <v>28</v>
      </c>
      <c r="B61" s="12">
        <v>686.85</v>
      </c>
      <c r="C61" s="37">
        <f t="shared" si="1"/>
        <v>0.68685000000000007</v>
      </c>
      <c r="D61" s="12">
        <f t="shared" si="2"/>
        <v>4.8079500000000004E-2</v>
      </c>
      <c r="E61" s="12">
        <f t="shared" si="0"/>
        <v>2.1464062500000003E-3</v>
      </c>
      <c r="F61" s="12">
        <f>E61/Calculation!K$19*1000</f>
        <v>2.8283671993321346E-3</v>
      </c>
      <c r="G61" s="12">
        <f t="shared" si="3"/>
        <v>16.815055419593008</v>
      </c>
    </row>
    <row r="62" spans="1:7">
      <c r="A62" s="36">
        <v>28.5</v>
      </c>
      <c r="B62" s="12">
        <v>611.6</v>
      </c>
      <c r="C62" s="37">
        <f t="shared" si="1"/>
        <v>0.61160000000000003</v>
      </c>
      <c r="D62" s="12">
        <f t="shared" si="2"/>
        <v>4.2812000000000003E-2</v>
      </c>
      <c r="E62" s="12">
        <f t="shared" si="0"/>
        <v>1.9112500000000002E-3</v>
      </c>
      <c r="F62" s="12">
        <f>E62/Calculation!K$19*1000</f>
        <v>2.51849658456946E-3</v>
      </c>
      <c r="G62" s="12">
        <f t="shared" si="3"/>
        <v>16.895258376351531</v>
      </c>
    </row>
    <row r="63" spans="1:7">
      <c r="A63" s="36">
        <v>29</v>
      </c>
      <c r="B63" s="12">
        <v>517.61</v>
      </c>
      <c r="C63" s="37">
        <f t="shared" si="1"/>
        <v>0.51761000000000001</v>
      </c>
      <c r="D63" s="12">
        <f t="shared" si="2"/>
        <v>3.6232700000000007E-2</v>
      </c>
      <c r="E63" s="12">
        <f t="shared" si="0"/>
        <v>1.6175312500000005E-3</v>
      </c>
      <c r="F63" s="12">
        <f>E63/Calculation!K$19*1000</f>
        <v>2.1314568625555893E-3</v>
      </c>
      <c r="G63" s="12">
        <f t="shared" si="3"/>
        <v>16.965007678058406</v>
      </c>
    </row>
    <row r="64" spans="1:7">
      <c r="A64" s="36">
        <v>29.5</v>
      </c>
      <c r="B64" s="12">
        <v>469.11</v>
      </c>
      <c r="C64" s="37">
        <f t="shared" si="1"/>
        <v>0.46911000000000003</v>
      </c>
      <c r="D64" s="12">
        <f t="shared" si="2"/>
        <v>3.2837699999999997E-2</v>
      </c>
      <c r="E64" s="12">
        <f t="shared" si="0"/>
        <v>1.46596875E-3</v>
      </c>
      <c r="F64" s="12">
        <f>E64/Calculation!K$19*1000</f>
        <v>1.9317395892533996E-3</v>
      </c>
      <c r="G64" s="12">
        <f t="shared" si="3"/>
        <v>17.025955624835539</v>
      </c>
    </row>
    <row r="65" spans="1:7">
      <c r="A65" s="36">
        <v>30</v>
      </c>
      <c r="B65" s="12">
        <v>428.47</v>
      </c>
      <c r="C65" s="37">
        <f t="shared" si="1"/>
        <v>0.42847000000000002</v>
      </c>
      <c r="D65" s="12">
        <f t="shared" si="2"/>
        <v>2.9992900000000003E-2</v>
      </c>
      <c r="E65" s="12">
        <f t="shared" si="0"/>
        <v>1.3389687500000003E-3</v>
      </c>
      <c r="F65" s="12">
        <f>E65/Calculation!K$4*1000</f>
        <v>9.0962550951086975E-4</v>
      </c>
      <c r="G65" s="12">
        <f t="shared" si="3"/>
        <v>17.068576101317003</v>
      </c>
    </row>
    <row r="66" spans="1:7">
      <c r="A66" s="36">
        <v>30.5</v>
      </c>
      <c r="B66" s="12">
        <v>394.35</v>
      </c>
      <c r="C66" s="37">
        <f t="shared" si="1"/>
        <v>0.39435000000000003</v>
      </c>
      <c r="D66" s="12">
        <f t="shared" si="2"/>
        <v>2.7604500000000001E-2</v>
      </c>
      <c r="E66" s="12">
        <f t="shared" si="0"/>
        <v>1.2323437500000001E-3</v>
      </c>
      <c r="F66" s="12">
        <f>E66/Calculation!K$20*1000</f>
        <v>1.7164284502542632E-3</v>
      </c>
      <c r="G66" s="12">
        <f t="shared" si="3"/>
        <v>17.107966910713479</v>
      </c>
    </row>
    <row r="67" spans="1:7">
      <c r="A67" s="36">
        <v>31</v>
      </c>
      <c r="B67" s="12">
        <v>353.71</v>
      </c>
      <c r="C67" s="37">
        <f t="shared" si="1"/>
        <v>0.35370999999999997</v>
      </c>
      <c r="D67" s="12">
        <f t="shared" si="2"/>
        <v>2.4759699999999999E-2</v>
      </c>
      <c r="E67" s="12">
        <f t="shared" si="0"/>
        <v>1.10534375E-3</v>
      </c>
      <c r="F67" s="12">
        <f>E67/Calculation!K$20*1000</f>
        <v>1.5395407813856609E-3</v>
      </c>
      <c r="G67" s="12">
        <f t="shared" si="3"/>
        <v>17.156806449188078</v>
      </c>
    </row>
    <row r="68" spans="1:7">
      <c r="A68" s="36">
        <v>31.5</v>
      </c>
      <c r="B68" s="12">
        <v>329.8</v>
      </c>
      <c r="C68" s="37">
        <f t="shared" si="1"/>
        <v>0.32980000000000004</v>
      </c>
      <c r="D68" s="12">
        <f t="shared" si="2"/>
        <v>2.3086000000000002E-2</v>
      </c>
      <c r="E68" s="12">
        <f t="shared" si="0"/>
        <v>1.0306250000000001E-3</v>
      </c>
      <c r="F68" s="12">
        <f>E68/Calculation!K$20*1000</f>
        <v>1.4354712891945125E-3</v>
      </c>
      <c r="G68" s="12">
        <f t="shared" si="3"/>
        <v>17.20143163024678</v>
      </c>
    </row>
    <row r="69" spans="1:7">
      <c r="A69" s="36">
        <v>32</v>
      </c>
      <c r="B69" s="12">
        <v>297.19</v>
      </c>
      <c r="C69" s="37">
        <f t="shared" si="1"/>
        <v>0.29719000000000001</v>
      </c>
      <c r="D69" s="12">
        <f t="shared" si="2"/>
        <v>2.08033E-2</v>
      </c>
      <c r="E69" s="12">
        <f t="shared" si="0"/>
        <v>9.2871875000000007E-4</v>
      </c>
      <c r="F69" s="12">
        <f>E69/Calculation!K$20*1000</f>
        <v>1.2935346041107252E-3</v>
      </c>
      <c r="G69" s="12">
        <f t="shared" si="3"/>
        <v>17.242366718646359</v>
      </c>
    </row>
    <row r="70" spans="1:7">
      <c r="A70" s="36">
        <v>32.5</v>
      </c>
      <c r="B70" s="12">
        <v>284.81</v>
      </c>
      <c r="C70" s="37">
        <f t="shared" ref="C70:C101" si="4">B70/1000</f>
        <v>0.28481000000000001</v>
      </c>
      <c r="D70" s="12">
        <f t="shared" ref="D70:D101" si="5">C70/1000*$B$1</f>
        <v>1.9936700000000002E-2</v>
      </c>
      <c r="E70" s="12">
        <f t="shared" ref="E70:E101" si="6">D70/22.4</f>
        <v>8.9003125000000009E-4</v>
      </c>
      <c r="F70" s="12">
        <f>E70/Calculation!K$20*1000</f>
        <v>1.2396500238795911E-3</v>
      </c>
      <c r="G70" s="12">
        <f t="shared" si="3"/>
        <v>17.280364488066212</v>
      </c>
    </row>
    <row r="71" spans="1:7">
      <c r="A71" s="36">
        <v>33</v>
      </c>
      <c r="B71" s="12">
        <v>264.24</v>
      </c>
      <c r="C71" s="37">
        <f t="shared" si="4"/>
        <v>0.26424000000000003</v>
      </c>
      <c r="D71" s="12">
        <f t="shared" si="5"/>
        <v>1.8496800000000001E-2</v>
      </c>
      <c r="E71" s="12">
        <f t="shared" si="6"/>
        <v>8.257500000000001E-4</v>
      </c>
      <c r="F71" s="12">
        <f>E71/Calculation!K$20*1000</f>
        <v>1.1501180517184898E-3</v>
      </c>
      <c r="G71" s="12">
        <f t="shared" ref="G71:G101" si="7">G70+(F71+F70)/2*30</f>
        <v>17.316211009200185</v>
      </c>
    </row>
    <row r="72" spans="1:7">
      <c r="A72" s="36">
        <v>33.5</v>
      </c>
      <c r="B72" s="12">
        <v>241.83</v>
      </c>
      <c r="C72" s="37">
        <f t="shared" si="4"/>
        <v>0.24183000000000002</v>
      </c>
      <c r="D72" s="12">
        <f t="shared" si="5"/>
        <v>1.6928100000000001E-2</v>
      </c>
      <c r="E72" s="12">
        <f t="shared" si="6"/>
        <v>7.557187500000001E-4</v>
      </c>
      <c r="F72" s="12">
        <f>E72/Calculation!K$20*1000</f>
        <v>1.0525773858881412E-3</v>
      </c>
      <c r="G72" s="12">
        <f t="shared" si="7"/>
        <v>17.349251440764284</v>
      </c>
    </row>
    <row r="73" spans="1:7">
      <c r="A73" s="36">
        <v>34</v>
      </c>
      <c r="B73" s="12">
        <v>215.4</v>
      </c>
      <c r="C73" s="37">
        <f t="shared" si="4"/>
        <v>0.21540000000000001</v>
      </c>
      <c r="D73" s="12">
        <f t="shared" si="5"/>
        <v>1.5078000000000001E-2</v>
      </c>
      <c r="E73" s="12">
        <f t="shared" si="6"/>
        <v>6.7312500000000011E-4</v>
      </c>
      <c r="F73" s="12">
        <f>E73/Calculation!K$20*1000</f>
        <v>9.37539465410849E-4</v>
      </c>
      <c r="G73" s="12">
        <f t="shared" si="7"/>
        <v>17.379103193533769</v>
      </c>
    </row>
    <row r="74" spans="1:7">
      <c r="A74" s="36">
        <v>34.5</v>
      </c>
      <c r="B74" s="12">
        <v>216.24</v>
      </c>
      <c r="C74" s="37">
        <f t="shared" si="4"/>
        <v>0.21624000000000002</v>
      </c>
      <c r="D74" s="12">
        <f t="shared" si="5"/>
        <v>1.5136800000000001E-2</v>
      </c>
      <c r="E74" s="12">
        <f t="shared" si="6"/>
        <v>6.7575000000000003E-4</v>
      </c>
      <c r="F74" s="12">
        <f>E74/Calculation!K$20*1000</f>
        <v>9.4119560817289684E-4</v>
      </c>
      <c r="G74" s="12">
        <f t="shared" si="7"/>
        <v>17.407284219637525</v>
      </c>
    </row>
    <row r="75" spans="1:7">
      <c r="A75" s="36">
        <v>35</v>
      </c>
      <c r="B75" s="12">
        <v>202.36</v>
      </c>
      <c r="C75" s="37">
        <f t="shared" si="4"/>
        <v>0.20236000000000001</v>
      </c>
      <c r="D75" s="12">
        <f t="shared" si="5"/>
        <v>1.4165200000000001E-2</v>
      </c>
      <c r="E75" s="12">
        <f t="shared" si="6"/>
        <v>6.3237500000000012E-4</v>
      </c>
      <c r="F75" s="12">
        <f>E75/Calculation!K$20*1000</f>
        <v>8.8078220158096295E-4</v>
      </c>
      <c r="G75" s="12">
        <f t="shared" si="7"/>
        <v>17.434613886783833</v>
      </c>
    </row>
    <row r="76" spans="1:7">
      <c r="A76" s="36">
        <v>35.5</v>
      </c>
      <c r="B76" s="12">
        <v>174.43</v>
      </c>
      <c r="C76" s="37">
        <f t="shared" si="4"/>
        <v>0.17443</v>
      </c>
      <c r="D76" s="12">
        <f t="shared" si="5"/>
        <v>1.22101E-2</v>
      </c>
      <c r="E76" s="12">
        <f t="shared" si="6"/>
        <v>5.4509375000000001E-4</v>
      </c>
      <c r="F76" s="12">
        <f>E76/Calculation!K$20*1000</f>
        <v>7.5921545474287079E-4</v>
      </c>
      <c r="G76" s="12">
        <f t="shared" si="7"/>
        <v>17.459213851628689</v>
      </c>
    </row>
    <row r="77" spans="1:7">
      <c r="A77" s="36">
        <v>36</v>
      </c>
      <c r="B77" s="12">
        <v>168.91</v>
      </c>
      <c r="C77" s="37">
        <f t="shared" si="4"/>
        <v>0.16891</v>
      </c>
      <c r="D77" s="12">
        <f t="shared" si="5"/>
        <v>1.1823700000000001E-2</v>
      </c>
      <c r="E77" s="12">
        <f t="shared" si="6"/>
        <v>5.278437500000001E-4</v>
      </c>
      <c r="F77" s="12">
        <f>E77/Calculation!K$20*1000</f>
        <v>7.3518937373512783E-4</v>
      </c>
      <c r="G77" s="12">
        <f t="shared" si="7"/>
        <v>17.481629924055859</v>
      </c>
    </row>
    <row r="78" spans="1:7">
      <c r="A78" s="36">
        <v>36.5</v>
      </c>
      <c r="B78" s="12">
        <v>0</v>
      </c>
      <c r="C78" s="37">
        <f t="shared" si="4"/>
        <v>0</v>
      </c>
      <c r="D78" s="12">
        <f t="shared" si="5"/>
        <v>0</v>
      </c>
      <c r="E78" s="12">
        <f t="shared" si="6"/>
        <v>0</v>
      </c>
      <c r="F78" s="12">
        <f>E78/Calculation!K$20*1000</f>
        <v>0</v>
      </c>
      <c r="G78" s="12">
        <f t="shared" si="7"/>
        <v>17.492657764661885</v>
      </c>
    </row>
    <row r="79" spans="1:7">
      <c r="A79" s="36">
        <v>37</v>
      </c>
      <c r="B79" s="12">
        <v>0</v>
      </c>
      <c r="C79" s="37">
        <f t="shared" si="4"/>
        <v>0</v>
      </c>
      <c r="D79" s="12">
        <f t="shared" si="5"/>
        <v>0</v>
      </c>
      <c r="E79" s="12">
        <f t="shared" si="6"/>
        <v>0</v>
      </c>
      <c r="F79" s="12">
        <f>E79/Calculation!K$20*1000</f>
        <v>0</v>
      </c>
      <c r="G79" s="12">
        <f t="shared" si="7"/>
        <v>17.492657764661885</v>
      </c>
    </row>
    <row r="80" spans="1:7">
      <c r="A80" s="36">
        <v>37.5</v>
      </c>
      <c r="B80" s="12">
        <v>0</v>
      </c>
      <c r="C80" s="37">
        <f t="shared" si="4"/>
        <v>0</v>
      </c>
      <c r="D80" s="12">
        <f t="shared" si="5"/>
        <v>0</v>
      </c>
      <c r="E80" s="12">
        <f t="shared" si="6"/>
        <v>0</v>
      </c>
      <c r="F80" s="12">
        <f>E80/Calculation!K$20*1000</f>
        <v>0</v>
      </c>
      <c r="G80" s="12">
        <f t="shared" si="7"/>
        <v>17.492657764661885</v>
      </c>
    </row>
    <row r="81" spans="1:7">
      <c r="A81" s="36">
        <v>38</v>
      </c>
      <c r="B81" s="12">
        <v>0</v>
      </c>
      <c r="C81" s="37">
        <f t="shared" si="4"/>
        <v>0</v>
      </c>
      <c r="D81" s="12">
        <f t="shared" si="5"/>
        <v>0</v>
      </c>
      <c r="E81" s="12">
        <f t="shared" si="6"/>
        <v>0</v>
      </c>
      <c r="F81" s="12">
        <f>E81/Calculation!K$20*1000</f>
        <v>0</v>
      </c>
      <c r="G81" s="12">
        <f t="shared" si="7"/>
        <v>17.492657764661885</v>
      </c>
    </row>
    <row r="82" spans="1:7">
      <c r="A82" s="36">
        <v>38.5</v>
      </c>
      <c r="B82" s="12">
        <v>0</v>
      </c>
      <c r="C82" s="37">
        <f t="shared" si="4"/>
        <v>0</v>
      </c>
      <c r="D82" s="12">
        <f t="shared" si="5"/>
        <v>0</v>
      </c>
      <c r="E82" s="12">
        <f t="shared" si="6"/>
        <v>0</v>
      </c>
      <c r="F82" s="12">
        <f>E82/Calculation!K$20*1000</f>
        <v>0</v>
      </c>
      <c r="G82" s="12">
        <f t="shared" si="7"/>
        <v>17.492657764661885</v>
      </c>
    </row>
    <row r="83" spans="1:7">
      <c r="A83" s="36">
        <v>39</v>
      </c>
      <c r="B83" s="12">
        <v>0</v>
      </c>
      <c r="C83" s="37">
        <f t="shared" si="4"/>
        <v>0</v>
      </c>
      <c r="D83" s="12">
        <f t="shared" si="5"/>
        <v>0</v>
      </c>
      <c r="E83" s="12">
        <f t="shared" si="6"/>
        <v>0</v>
      </c>
      <c r="F83" s="12">
        <f>E83/Calculation!K$20*1000</f>
        <v>0</v>
      </c>
      <c r="G83" s="12">
        <f t="shared" si="7"/>
        <v>17.492657764661885</v>
      </c>
    </row>
    <row r="84" spans="1:7">
      <c r="A84" s="36">
        <v>39.5</v>
      </c>
      <c r="B84" s="12">
        <v>0</v>
      </c>
      <c r="C84" s="37">
        <f t="shared" si="4"/>
        <v>0</v>
      </c>
      <c r="D84" s="12">
        <f t="shared" si="5"/>
        <v>0</v>
      </c>
      <c r="E84" s="12">
        <f t="shared" si="6"/>
        <v>0</v>
      </c>
      <c r="F84" s="12">
        <f>E84/Calculation!K$20*1000</f>
        <v>0</v>
      </c>
      <c r="G84" s="12">
        <f t="shared" si="7"/>
        <v>17.492657764661885</v>
      </c>
    </row>
    <row r="85" spans="1:7">
      <c r="A85" s="36">
        <v>40</v>
      </c>
      <c r="B85" s="12">
        <v>0</v>
      </c>
      <c r="C85" s="37">
        <f t="shared" si="4"/>
        <v>0</v>
      </c>
      <c r="D85" s="12">
        <f t="shared" si="5"/>
        <v>0</v>
      </c>
      <c r="E85" s="12">
        <f t="shared" si="6"/>
        <v>0</v>
      </c>
      <c r="F85" s="12">
        <f>E85/Calculation!K$20*1000</f>
        <v>0</v>
      </c>
      <c r="G85" s="12">
        <f t="shared" si="7"/>
        <v>17.492657764661885</v>
      </c>
    </row>
    <row r="86" spans="1:7">
      <c r="A86" s="36">
        <v>40.5</v>
      </c>
      <c r="B86" s="12">
        <v>0</v>
      </c>
      <c r="C86" s="37">
        <f t="shared" si="4"/>
        <v>0</v>
      </c>
      <c r="D86" s="12">
        <f t="shared" si="5"/>
        <v>0</v>
      </c>
      <c r="E86" s="12">
        <f t="shared" si="6"/>
        <v>0</v>
      </c>
      <c r="F86" s="12">
        <f>E86/Calculation!K$20*1000</f>
        <v>0</v>
      </c>
      <c r="G86" s="12">
        <f t="shared" si="7"/>
        <v>17.492657764661885</v>
      </c>
    </row>
    <row r="87" spans="1:7">
      <c r="A87" s="36">
        <v>41</v>
      </c>
      <c r="B87" s="12">
        <v>0</v>
      </c>
      <c r="C87" s="37">
        <f t="shared" si="4"/>
        <v>0</v>
      </c>
      <c r="D87" s="12">
        <f t="shared" si="5"/>
        <v>0</v>
      </c>
      <c r="E87" s="12">
        <f t="shared" si="6"/>
        <v>0</v>
      </c>
      <c r="F87" s="12">
        <f>E87/Calculation!K$20*1000</f>
        <v>0</v>
      </c>
      <c r="G87" s="12">
        <f t="shared" si="7"/>
        <v>17.492657764661885</v>
      </c>
    </row>
    <row r="88" spans="1:7">
      <c r="A88" s="36">
        <v>41.5</v>
      </c>
      <c r="B88" s="12">
        <v>0</v>
      </c>
      <c r="C88" s="37">
        <f t="shared" si="4"/>
        <v>0</v>
      </c>
      <c r="D88" s="12">
        <f t="shared" si="5"/>
        <v>0</v>
      </c>
      <c r="E88" s="12">
        <f t="shared" si="6"/>
        <v>0</v>
      </c>
      <c r="F88" s="12">
        <f>E88/Calculation!K$20*1000</f>
        <v>0</v>
      </c>
      <c r="G88" s="12">
        <f t="shared" si="7"/>
        <v>17.492657764661885</v>
      </c>
    </row>
    <row r="89" spans="1:7">
      <c r="A89" s="36">
        <v>42</v>
      </c>
      <c r="B89" s="12">
        <v>0</v>
      </c>
      <c r="C89" s="37">
        <f t="shared" si="4"/>
        <v>0</v>
      </c>
      <c r="D89" s="12">
        <f t="shared" si="5"/>
        <v>0</v>
      </c>
      <c r="E89" s="12">
        <f t="shared" si="6"/>
        <v>0</v>
      </c>
      <c r="F89" s="12">
        <f>E89/Calculation!K$20*1000</f>
        <v>0</v>
      </c>
      <c r="G89" s="12">
        <f t="shared" si="7"/>
        <v>17.492657764661885</v>
      </c>
    </row>
    <row r="90" spans="1:7">
      <c r="A90" s="36">
        <v>42.5</v>
      </c>
      <c r="B90" s="12">
        <v>0</v>
      </c>
      <c r="C90" s="37">
        <f t="shared" si="4"/>
        <v>0</v>
      </c>
      <c r="D90" s="12">
        <f t="shared" si="5"/>
        <v>0</v>
      </c>
      <c r="E90" s="12">
        <f t="shared" si="6"/>
        <v>0</v>
      </c>
      <c r="F90" s="12">
        <f>E90/Calculation!K$20*1000</f>
        <v>0</v>
      </c>
      <c r="G90" s="12">
        <f t="shared" si="7"/>
        <v>17.492657764661885</v>
      </c>
    </row>
    <row r="91" spans="1:7">
      <c r="A91" s="36">
        <v>43</v>
      </c>
      <c r="B91" s="12">
        <v>0</v>
      </c>
      <c r="C91" s="37">
        <f t="shared" si="4"/>
        <v>0</v>
      </c>
      <c r="D91" s="12">
        <f t="shared" si="5"/>
        <v>0</v>
      </c>
      <c r="E91" s="12">
        <f t="shared" si="6"/>
        <v>0</v>
      </c>
      <c r="F91" s="12">
        <f>E91/Calculation!K$20*1000</f>
        <v>0</v>
      </c>
      <c r="G91" s="12">
        <f t="shared" si="7"/>
        <v>17.492657764661885</v>
      </c>
    </row>
    <row r="92" spans="1:7">
      <c r="A92" s="36">
        <v>43.5</v>
      </c>
      <c r="B92" s="12">
        <v>0</v>
      </c>
      <c r="C92" s="37">
        <f t="shared" si="4"/>
        <v>0</v>
      </c>
      <c r="D92" s="12">
        <f t="shared" si="5"/>
        <v>0</v>
      </c>
      <c r="E92" s="12">
        <f t="shared" si="6"/>
        <v>0</v>
      </c>
      <c r="F92" s="12">
        <f>E92/Calculation!K$20*1000</f>
        <v>0</v>
      </c>
      <c r="G92" s="12">
        <f t="shared" si="7"/>
        <v>17.492657764661885</v>
      </c>
    </row>
    <row r="93" spans="1:7">
      <c r="A93" s="36">
        <v>44</v>
      </c>
      <c r="B93" s="12">
        <v>0</v>
      </c>
      <c r="C93" s="37">
        <f t="shared" si="4"/>
        <v>0</v>
      </c>
      <c r="D93" s="12">
        <f t="shared" si="5"/>
        <v>0</v>
      </c>
      <c r="E93" s="12">
        <f t="shared" si="6"/>
        <v>0</v>
      </c>
      <c r="F93" s="12">
        <f>E93/Calculation!K$20*1000</f>
        <v>0</v>
      </c>
      <c r="G93" s="12">
        <f t="shared" si="7"/>
        <v>17.492657764661885</v>
      </c>
    </row>
    <row r="94" spans="1:7">
      <c r="A94" s="36">
        <v>44.5</v>
      </c>
      <c r="B94" s="12">
        <v>0</v>
      </c>
      <c r="C94" s="37">
        <f t="shared" si="4"/>
        <v>0</v>
      </c>
      <c r="D94" s="12">
        <f t="shared" si="5"/>
        <v>0</v>
      </c>
      <c r="E94" s="12">
        <f t="shared" si="6"/>
        <v>0</v>
      </c>
      <c r="F94" s="12">
        <f>E94/Calculation!K$20*1000</f>
        <v>0</v>
      </c>
      <c r="G94" s="12">
        <f t="shared" si="7"/>
        <v>17.492657764661885</v>
      </c>
    </row>
    <row r="95" spans="1:7">
      <c r="A95" s="36">
        <v>45</v>
      </c>
      <c r="B95" s="12">
        <v>0</v>
      </c>
      <c r="C95" s="37">
        <f t="shared" si="4"/>
        <v>0</v>
      </c>
      <c r="D95" s="12">
        <f t="shared" si="5"/>
        <v>0</v>
      </c>
      <c r="E95" s="12">
        <f t="shared" si="6"/>
        <v>0</v>
      </c>
      <c r="F95" s="12">
        <f>E95/Calculation!K$20*1000</f>
        <v>0</v>
      </c>
      <c r="G95" s="12">
        <f t="shared" si="7"/>
        <v>17.492657764661885</v>
      </c>
    </row>
    <row r="96" spans="1:7">
      <c r="A96" s="36">
        <v>45.5</v>
      </c>
      <c r="B96" s="12">
        <v>0</v>
      </c>
      <c r="C96" s="37">
        <f t="shared" si="4"/>
        <v>0</v>
      </c>
      <c r="D96" s="12">
        <f t="shared" si="5"/>
        <v>0</v>
      </c>
      <c r="E96" s="12">
        <f t="shared" si="6"/>
        <v>0</v>
      </c>
      <c r="F96" s="12">
        <f>E96/Calculation!K$20*1000</f>
        <v>0</v>
      </c>
      <c r="G96" s="12">
        <f t="shared" si="7"/>
        <v>17.492657764661885</v>
      </c>
    </row>
    <row r="97" spans="1:7">
      <c r="A97" s="36">
        <v>46</v>
      </c>
      <c r="B97" s="12">
        <v>0</v>
      </c>
      <c r="C97" s="37">
        <f t="shared" si="4"/>
        <v>0</v>
      </c>
      <c r="D97" s="12">
        <f t="shared" si="5"/>
        <v>0</v>
      </c>
      <c r="E97" s="12">
        <f t="shared" si="6"/>
        <v>0</v>
      </c>
      <c r="F97" s="12">
        <f>E97/Calculation!K$20*1000</f>
        <v>0</v>
      </c>
      <c r="G97" s="12">
        <f t="shared" si="7"/>
        <v>17.492657764661885</v>
      </c>
    </row>
    <row r="98" spans="1:7">
      <c r="A98" s="36">
        <v>46.5</v>
      </c>
      <c r="B98" s="12">
        <v>0</v>
      </c>
      <c r="C98" s="37">
        <f t="shared" si="4"/>
        <v>0</v>
      </c>
      <c r="D98" s="12">
        <f t="shared" si="5"/>
        <v>0</v>
      </c>
      <c r="E98" s="12">
        <f t="shared" si="6"/>
        <v>0</v>
      </c>
      <c r="F98" s="12">
        <f>E98/Calculation!K$20*1000</f>
        <v>0</v>
      </c>
      <c r="G98" s="12">
        <f t="shared" si="7"/>
        <v>17.492657764661885</v>
      </c>
    </row>
    <row r="99" spans="1:7">
      <c r="A99" s="36">
        <v>47</v>
      </c>
      <c r="B99" s="12">
        <v>0</v>
      </c>
      <c r="C99" s="37">
        <f t="shared" si="4"/>
        <v>0</v>
      </c>
      <c r="D99" s="12">
        <f t="shared" si="5"/>
        <v>0</v>
      </c>
      <c r="E99" s="12">
        <f t="shared" si="6"/>
        <v>0</v>
      </c>
      <c r="F99" s="12">
        <f>E99/Calculation!K$20*1000</f>
        <v>0</v>
      </c>
      <c r="G99" s="12">
        <f t="shared" si="7"/>
        <v>17.492657764661885</v>
      </c>
    </row>
    <row r="100" spans="1:7">
      <c r="A100" s="36">
        <v>47.5</v>
      </c>
      <c r="B100" s="12">
        <v>0</v>
      </c>
      <c r="C100" s="37">
        <f t="shared" si="4"/>
        <v>0</v>
      </c>
      <c r="D100" s="12">
        <f t="shared" si="5"/>
        <v>0</v>
      </c>
      <c r="E100" s="12">
        <f t="shared" si="6"/>
        <v>0</v>
      </c>
      <c r="F100" s="12">
        <f>E100/Calculation!K$20*1000</f>
        <v>0</v>
      </c>
      <c r="G100" s="12">
        <f t="shared" si="7"/>
        <v>17.492657764661885</v>
      </c>
    </row>
    <row r="101" spans="1:7">
      <c r="A101" s="36">
        <v>48</v>
      </c>
      <c r="B101" s="12">
        <v>0</v>
      </c>
      <c r="C101" s="37">
        <f t="shared" si="4"/>
        <v>0</v>
      </c>
      <c r="D101" s="12">
        <f t="shared" si="5"/>
        <v>0</v>
      </c>
      <c r="E101" s="12">
        <f t="shared" si="6"/>
        <v>0</v>
      </c>
      <c r="F101" s="12">
        <f>E101/Calculation!K$21*1000</f>
        <v>0</v>
      </c>
      <c r="G101" s="12">
        <f t="shared" si="7"/>
        <v>17.492657764661885</v>
      </c>
    </row>
    <row r="102" spans="1:7">
      <c r="B102" s="10"/>
    </row>
    <row r="103" spans="1:7">
      <c r="B103" s="10"/>
    </row>
    <row r="104" spans="1:7">
      <c r="B104" s="10"/>
    </row>
    <row r="105" spans="1:7">
      <c r="B105" s="10"/>
    </row>
    <row r="106" spans="1:7">
      <c r="B106" s="10"/>
    </row>
    <row r="107" spans="1:7">
      <c r="B107" s="10"/>
    </row>
    <row r="108" spans="1:7">
      <c r="B108" s="10"/>
    </row>
    <row r="109" spans="1:7">
      <c r="B109" s="10"/>
    </row>
    <row r="110" spans="1:7">
      <c r="B110" s="10"/>
    </row>
    <row r="111" spans="1:7">
      <c r="B111" s="10"/>
    </row>
    <row r="112" spans="1:7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4" workbookViewId="0">
      <selection activeCell="F3" sqref="F3:G21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121" t="s">
        <v>41</v>
      </c>
      <c r="B1" s="121"/>
      <c r="D1" s="144" t="s">
        <v>4</v>
      </c>
      <c r="E1" s="144" t="s">
        <v>5</v>
      </c>
      <c r="F1" s="121" t="s">
        <v>143</v>
      </c>
      <c r="G1" s="121"/>
      <c r="H1" s="121"/>
      <c r="I1" s="121"/>
      <c r="J1" s="121" t="s">
        <v>42</v>
      </c>
      <c r="K1" s="121"/>
      <c r="L1" s="121"/>
      <c r="M1" s="121"/>
      <c r="N1" s="142" t="s">
        <v>43</v>
      </c>
      <c r="O1" s="119"/>
      <c r="P1" s="119"/>
      <c r="Q1" s="143"/>
      <c r="R1" s="121" t="s">
        <v>65</v>
      </c>
      <c r="S1" s="121"/>
      <c r="T1" s="121"/>
      <c r="U1" s="121"/>
    </row>
    <row r="2" spans="1:21">
      <c r="A2" s="121" t="s">
        <v>34</v>
      </c>
      <c r="B2" s="121"/>
      <c r="D2" s="144"/>
      <c r="E2" s="144"/>
      <c r="F2" s="14" t="s">
        <v>48</v>
      </c>
      <c r="G2" s="14" t="s">
        <v>23</v>
      </c>
      <c r="H2" s="14" t="s">
        <v>48</v>
      </c>
      <c r="I2" s="14" t="s">
        <v>23</v>
      </c>
      <c r="J2" s="14" t="s">
        <v>48</v>
      </c>
      <c r="K2" s="14" t="s">
        <v>23</v>
      </c>
      <c r="L2" s="14" t="s">
        <v>48</v>
      </c>
      <c r="M2" s="14" t="s">
        <v>23</v>
      </c>
      <c r="N2" s="14" t="s">
        <v>48</v>
      </c>
      <c r="O2" s="14" t="s">
        <v>23</v>
      </c>
      <c r="P2" s="14" t="s">
        <v>48</v>
      </c>
      <c r="Q2" s="14" t="s">
        <v>23</v>
      </c>
      <c r="R2" s="14" t="s">
        <v>48</v>
      </c>
      <c r="S2" s="14" t="s">
        <v>23</v>
      </c>
      <c r="T2" s="14" t="s">
        <v>48</v>
      </c>
      <c r="U2" s="14" t="s">
        <v>23</v>
      </c>
    </row>
    <row r="3" spans="1:21">
      <c r="A3" s="121" t="s">
        <v>35</v>
      </c>
      <c r="B3" s="14" t="s">
        <v>38</v>
      </c>
      <c r="D3" s="16">
        <v>0</v>
      </c>
      <c r="E3" s="69">
        <v>-0.16666666666666666</v>
      </c>
      <c r="F3" s="54">
        <v>50.259029011249268</v>
      </c>
      <c r="G3" s="54">
        <v>0.14783144135167267</v>
      </c>
      <c r="H3" s="13">
        <f>F3*Calculation!I3/Calculation!F23</f>
        <v>50.259029011249268</v>
      </c>
      <c r="I3" s="13">
        <f>G3*Calculation!I3/Calculation!F23</f>
        <v>0.14783144135167267</v>
      </c>
      <c r="J3" s="13">
        <v>5.1805802249851984E-2</v>
      </c>
      <c r="K3" s="13">
        <v>7.1371009184376513E-2</v>
      </c>
      <c r="L3" s="13">
        <f>J3*Calculation!I3/Calculation!F23</f>
        <v>5.1805802249851991E-2</v>
      </c>
      <c r="M3" s="13">
        <f>K3*Calculation!I3/Calculation!F23</f>
        <v>7.1371009184376513E-2</v>
      </c>
      <c r="N3" s="13">
        <v>47.649181237857341</v>
      </c>
      <c r="O3" s="13">
        <v>0.7122515651332979</v>
      </c>
      <c r="P3" s="13">
        <f>N3*Calculation!I3/Calculation!F23</f>
        <v>47.649181237857341</v>
      </c>
      <c r="Q3" s="13">
        <f>O3*Calculation!I3/Calculation!F23</f>
        <v>0.71225156513329779</v>
      </c>
      <c r="R3" s="13">
        <v>0.33311608371352014</v>
      </c>
      <c r="S3" s="13">
        <v>9.0448229392402019E-2</v>
      </c>
      <c r="T3" s="13">
        <f>R3*Calculation!I3/Calculation!F23</f>
        <v>0.33311608371352014</v>
      </c>
      <c r="U3" s="13">
        <f>S3*Calculation!I3/Calculation!F23</f>
        <v>9.0448229392402033E-2</v>
      </c>
    </row>
    <row r="4" spans="1:21">
      <c r="A4" s="121"/>
      <c r="B4" s="14" t="s">
        <v>39</v>
      </c>
      <c r="D4" s="16">
        <v>0</v>
      </c>
      <c r="E4" s="72">
        <v>0.16666666666666666</v>
      </c>
      <c r="F4" s="54">
        <v>49.463439905269396</v>
      </c>
      <c r="G4" s="54">
        <v>6.3124341730432701E-2</v>
      </c>
      <c r="H4" s="13">
        <f>F4*Calculation!I4/Calculation!K3</f>
        <v>49.463439905269396</v>
      </c>
      <c r="I4" s="13">
        <f>G4*Calculation!I4/Calculation!K3</f>
        <v>6.3124341730432701E-2</v>
      </c>
      <c r="J4" s="13">
        <v>9.6210775606867985E-2</v>
      </c>
      <c r="K4" s="13">
        <v>5.5875032824679878E-2</v>
      </c>
      <c r="L4" s="13">
        <f>J4*Calculation!I4/Calculation!K3</f>
        <v>9.6210775606867985E-2</v>
      </c>
      <c r="M4" s="13">
        <f>K4*Calculation!I4/Calculation!K3</f>
        <v>5.5875032824679878E-2</v>
      </c>
      <c r="N4" s="13">
        <v>47.593671940049958</v>
      </c>
      <c r="O4" s="13">
        <v>0.14517565174157043</v>
      </c>
      <c r="P4" s="13">
        <f>N4*Calculation!I4/Calculation!K3</f>
        <v>47.593671940049965</v>
      </c>
      <c r="Q4" s="13">
        <f>O4*Calculation!I4/Calculation!K3</f>
        <v>0.14517565174157043</v>
      </c>
      <c r="R4" s="13">
        <v>0.53588239553914119</v>
      </c>
      <c r="S4" s="13">
        <v>0.17560077707266483</v>
      </c>
      <c r="T4" s="13">
        <f>R4*Calculation!I4/Calculation!K3</f>
        <v>0.53588239553914119</v>
      </c>
      <c r="U4" s="13">
        <f>S4*Calculation!I4/Calculation!K3</f>
        <v>0.17560077707266483</v>
      </c>
    </row>
    <row r="5" spans="1:21">
      <c r="A5" s="15" t="s">
        <v>37</v>
      </c>
      <c r="B5" s="15">
        <v>180.16</v>
      </c>
      <c r="D5" s="16">
        <v>1</v>
      </c>
      <c r="E5" s="72">
        <v>2</v>
      </c>
      <c r="F5" s="54">
        <v>49.548549437537012</v>
      </c>
      <c r="G5" s="54">
        <v>3.3914858606838828E-2</v>
      </c>
      <c r="H5" s="13">
        <f>F5*Calculation!I5/Calculation!K4</f>
        <v>49.548549437537019</v>
      </c>
      <c r="I5" s="13">
        <f>G5*Calculation!I5/Calculation!K4</f>
        <v>3.3914858606838828E-2</v>
      </c>
      <c r="J5" s="13">
        <v>0.11101243339253997</v>
      </c>
      <c r="K5" s="13">
        <v>4.4404973357015987E-2</v>
      </c>
      <c r="L5" s="13">
        <f>J5*Calculation!I5/Calculation!K4</f>
        <v>0.11101243339253995</v>
      </c>
      <c r="M5" s="13">
        <f>K5*Calculation!I5/Calculation!K4</f>
        <v>4.4404973357015987E-2</v>
      </c>
      <c r="N5" s="13">
        <v>47.58257008048848</v>
      </c>
      <c r="O5" s="13">
        <v>0.19515288183455068</v>
      </c>
      <c r="P5" s="13">
        <f>N5*Calculation!I5/Calculation!K4</f>
        <v>47.582570080488487</v>
      </c>
      <c r="Q5" s="13">
        <f>O5*Calculation!I5/Calculation!K4</f>
        <v>0.19515288183455068</v>
      </c>
      <c r="R5" s="13">
        <v>0.50691577956405243</v>
      </c>
      <c r="S5" s="13">
        <v>6.6370855166280524E-2</v>
      </c>
      <c r="T5" s="13">
        <f>R5*Calculation!I5/Calculation!K4</f>
        <v>0.50691577956405243</v>
      </c>
      <c r="U5" s="13">
        <f>S5*Calculation!I5/Calculation!K4</f>
        <v>6.6370855166280524E-2</v>
      </c>
    </row>
    <row r="6" spans="1:21">
      <c r="A6" s="15" t="s">
        <v>40</v>
      </c>
      <c r="B6" s="15">
        <v>180.16</v>
      </c>
      <c r="D6" s="16">
        <v>2</v>
      </c>
      <c r="E6" s="72">
        <v>3.3333333333333335</v>
      </c>
      <c r="F6" s="54">
        <v>49.396832445233862</v>
      </c>
      <c r="G6" s="54">
        <v>0.26743015786197277</v>
      </c>
      <c r="H6" s="13">
        <f>F6*Calculation!I6/Calculation!K5</f>
        <v>49.396832445233862</v>
      </c>
      <c r="I6" s="13">
        <f>G6*Calculation!I6/Calculation!K5</f>
        <v>0.26743015786197277</v>
      </c>
      <c r="J6" s="13">
        <v>0.13321492007104793</v>
      </c>
      <c r="K6" s="13">
        <v>2.2202486678507993E-2</v>
      </c>
      <c r="L6" s="13">
        <f>J6*Calculation!I6/Calculation!K5</f>
        <v>0.13321492007104793</v>
      </c>
      <c r="M6" s="13">
        <f>K6*Calculation!I6/Calculation!K5</f>
        <v>2.2202486678507993E-2</v>
      </c>
      <c r="N6" s="13">
        <v>47.660283097418819</v>
      </c>
      <c r="O6" s="13">
        <v>0.28843477228457387</v>
      </c>
      <c r="P6" s="13">
        <f>N6*Calculation!I6/Calculation!K5</f>
        <v>47.660283097418819</v>
      </c>
      <c r="Q6" s="13">
        <f>O6*Calculation!I6/Calculation!K5</f>
        <v>0.28843477228457387</v>
      </c>
      <c r="R6" s="13">
        <v>0.44898254761387502</v>
      </c>
      <c r="S6" s="13">
        <v>0.21433338528421664</v>
      </c>
      <c r="T6" s="13">
        <f>R6*Calculation!I6/Calculation!K5</f>
        <v>0.44898254761387502</v>
      </c>
      <c r="U6" s="13">
        <f>S6*Calculation!I6/Calculation!K5</f>
        <v>0.21433338528421664</v>
      </c>
    </row>
    <row r="7" spans="1:21">
      <c r="A7" s="32" t="s">
        <v>117</v>
      </c>
      <c r="B7" s="32">
        <v>46.03</v>
      </c>
      <c r="D7" s="16">
        <v>3</v>
      </c>
      <c r="E7" s="72">
        <v>4.666666666666667</v>
      </c>
      <c r="F7" s="54">
        <v>49.629958555358193</v>
      </c>
      <c r="G7" s="54">
        <v>8.3320975793350113E-2</v>
      </c>
      <c r="H7" s="13">
        <f>F7*Calculation!I7/Calculation!K6</f>
        <v>49.629958555358193</v>
      </c>
      <c r="I7" s="13">
        <f>G7*Calculation!I7/Calculation!K6</f>
        <v>8.3320975793350113E-2</v>
      </c>
      <c r="J7" s="13">
        <v>0.19242155121373597</v>
      </c>
      <c r="K7" s="13">
        <v>2.5637223321031345E-2</v>
      </c>
      <c r="L7" s="13">
        <f>J7*Calculation!I7/Calculation!K6</f>
        <v>0.19242155121373594</v>
      </c>
      <c r="M7" s="13">
        <f>K7*Calculation!I7/Calculation!K6</f>
        <v>2.5637223321031345E-2</v>
      </c>
      <c r="N7" s="13">
        <v>47.849014709963924</v>
      </c>
      <c r="O7" s="13">
        <v>6.9331090739921816E-2</v>
      </c>
      <c r="P7" s="13">
        <f>N7*Calculation!I7/Calculation!K6</f>
        <v>47.849014709963917</v>
      </c>
      <c r="Q7" s="13">
        <f>O7*Calculation!I7/Calculation!K6</f>
        <v>6.9331090739921816E-2</v>
      </c>
      <c r="R7" s="13">
        <v>0.43449923962633064</v>
      </c>
      <c r="S7" s="13">
        <v>0.19911256549884146</v>
      </c>
      <c r="T7" s="13">
        <f>R7*Calculation!I7/Calculation!K6</f>
        <v>0.43449923962633064</v>
      </c>
      <c r="U7" s="13">
        <f>S7*Calculation!I7/Calculation!K6</f>
        <v>0.19911256549884149</v>
      </c>
    </row>
    <row r="8" spans="1:21">
      <c r="A8" s="15" t="s">
        <v>43</v>
      </c>
      <c r="B8" s="15">
        <v>60.05</v>
      </c>
      <c r="D8" s="16">
        <v>4</v>
      </c>
      <c r="E8" s="72">
        <v>6</v>
      </c>
      <c r="F8" s="54">
        <v>49.389431616341028</v>
      </c>
      <c r="G8" s="54">
        <v>0.28018271456757982</v>
      </c>
      <c r="H8" s="13">
        <f>F8*Calculation!I8/Calculation!K7</f>
        <v>49.389431616341035</v>
      </c>
      <c r="I8" s="13">
        <f>G8*Calculation!I8/Calculation!K7</f>
        <v>0.28018271456757982</v>
      </c>
      <c r="J8" s="13">
        <v>0.18502072232089994</v>
      </c>
      <c r="K8" s="13">
        <v>5.5875032824679899E-2</v>
      </c>
      <c r="L8" s="13">
        <f>J8*Calculation!I8/Calculation!K7</f>
        <v>0.18502072232089994</v>
      </c>
      <c r="M8" s="13">
        <f>K8*Calculation!I8/Calculation!K7</f>
        <v>5.5875032824679892E-2</v>
      </c>
      <c r="N8" s="13">
        <v>47.571468220927009</v>
      </c>
      <c r="O8" s="13">
        <v>0.21151883300868693</v>
      </c>
      <c r="P8" s="13">
        <f>N8*Calculation!I8/Calculation!K7</f>
        <v>47.571468220927009</v>
      </c>
      <c r="Q8" s="13">
        <f>O8*Calculation!I8/Calculation!K7</f>
        <v>0.21151883300868693</v>
      </c>
      <c r="R8" s="13">
        <v>0.34759939170106452</v>
      </c>
      <c r="S8" s="13">
        <v>8.689984792526613E-2</v>
      </c>
      <c r="T8" s="13">
        <f>R8*Calculation!I8/Calculation!K7</f>
        <v>0.34759939170106452</v>
      </c>
      <c r="U8" s="13">
        <f>S8*Calculation!I8/Calculation!K7</f>
        <v>8.689984792526613E-2</v>
      </c>
    </row>
    <row r="9" spans="1:21">
      <c r="A9" s="32" t="s">
        <v>67</v>
      </c>
      <c r="B9" s="32">
        <v>74.08</v>
      </c>
      <c r="D9" s="16">
        <v>5</v>
      </c>
      <c r="E9" s="72">
        <v>7.333333333333333</v>
      </c>
      <c r="F9" s="54">
        <v>49.600355239786857</v>
      </c>
      <c r="G9" s="54">
        <v>0.43733826828579353</v>
      </c>
      <c r="H9" s="13">
        <f>F9*Calculation!I9/Calculation!K8</f>
        <v>49.639105517317937</v>
      </c>
      <c r="I9" s="13">
        <f>G9*Calculation!I9/Calculation!K8</f>
        <v>0.43767993880789186</v>
      </c>
      <c r="J9" s="13">
        <v>0.20722320899940794</v>
      </c>
      <c r="K9" s="13">
        <v>3.3914858606837177E-2</v>
      </c>
      <c r="L9" s="13">
        <f>J9*Calculation!I9/Calculation!K8</f>
        <v>0.20738510213143871</v>
      </c>
      <c r="M9" s="13">
        <f>K9*Calculation!I9/Calculation!K8</f>
        <v>3.3941354590123769E-2</v>
      </c>
      <c r="N9" s="13">
        <v>47.504857063558148</v>
      </c>
      <c r="O9" s="13">
        <v>0.54149312898172608</v>
      </c>
      <c r="P9" s="13">
        <f>N9*Calculation!I9/Calculation!K8</f>
        <v>47.541970233139054</v>
      </c>
      <c r="Q9" s="13">
        <f>O9*Calculation!I9/Calculation!K8</f>
        <v>0.54191617048874297</v>
      </c>
      <c r="R9" s="13">
        <v>0.1303497718878992</v>
      </c>
      <c r="S9" s="13">
        <v>2.3078358467143002E-17</v>
      </c>
      <c r="T9" s="13">
        <f>R9*Calculation!I9/Calculation!K8</f>
        <v>0.13045160764718661</v>
      </c>
      <c r="U9" s="13">
        <f>S9*Calculation!I9/Calculation!K8</f>
        <v>2.3096388434695457E-17</v>
      </c>
    </row>
    <row r="10" spans="1:21">
      <c r="A10" s="32" t="s">
        <v>66</v>
      </c>
      <c r="B10" s="32">
        <v>88.11</v>
      </c>
      <c r="D10" s="16">
        <v>6</v>
      </c>
      <c r="E10" s="72">
        <v>8.6666666666666661</v>
      </c>
      <c r="F10" s="54">
        <v>49.419034931912378</v>
      </c>
      <c r="G10" s="54">
        <v>0.28526811533759799</v>
      </c>
      <c r="H10" s="13">
        <f>F10*Calculation!I10/Calculation!K9</f>
        <v>49.457643552952938</v>
      </c>
      <c r="I10" s="13">
        <f>G10*Calculation!I10/Calculation!K9</f>
        <v>0.28549098105270548</v>
      </c>
      <c r="J10" s="13">
        <v>0.22202486678507993</v>
      </c>
      <c r="K10" s="13">
        <v>3.8455834981546998E-2</v>
      </c>
      <c r="L10" s="13">
        <f>J10*Calculation!I10/Calculation!K9</f>
        <v>0.22219832371225576</v>
      </c>
      <c r="M10" s="13">
        <f>K10*Calculation!I10/Calculation!K9</f>
        <v>3.8485878602626332E-2</v>
      </c>
      <c r="N10" s="13">
        <v>46.949764085484318</v>
      </c>
      <c r="O10" s="13">
        <v>0.10175022359047113</v>
      </c>
      <c r="P10" s="13">
        <f>N10*Calculation!I10/Calculation!K9</f>
        <v>46.986443588676103</v>
      </c>
      <c r="Q10" s="13">
        <f>O10*Calculation!I10/Calculation!K9</f>
        <v>0.10182971595265118</v>
      </c>
      <c r="R10" s="13">
        <v>0.15931638786298791</v>
      </c>
      <c r="S10" s="13">
        <v>5.0171650592189948E-2</v>
      </c>
      <c r="T10" s="13">
        <f>R10*Calculation!I10/Calculation!K9</f>
        <v>0.15944085379100587</v>
      </c>
      <c r="U10" s="13">
        <f>S10*Calculation!I10/Calculation!K9</f>
        <v>5.0210847194215098E-2</v>
      </c>
    </row>
    <row r="11" spans="1:21">
      <c r="A11" s="15" t="s">
        <v>42</v>
      </c>
      <c r="B11" s="15">
        <v>90.08</v>
      </c>
      <c r="D11" s="16">
        <v>7</v>
      </c>
      <c r="E11" s="72">
        <v>10</v>
      </c>
      <c r="F11" s="54">
        <v>48.645648312611023</v>
      </c>
      <c r="G11" s="54">
        <v>0.12361821409480654</v>
      </c>
      <c r="H11" s="13">
        <f>F11*Calculation!I11/Calculation!K10</f>
        <v>48.725085621291726</v>
      </c>
      <c r="I11" s="13">
        <f>G11*Calculation!I11/Calculation!K10</f>
        <v>0.1238200800082486</v>
      </c>
      <c r="J11" s="13">
        <v>0.22942569567791593</v>
      </c>
      <c r="K11" s="13">
        <v>4.6218161622249836E-2</v>
      </c>
      <c r="L11" s="13">
        <f>J11*Calculation!I11/Calculation!K10</f>
        <v>0.22980034295756022</v>
      </c>
      <c r="M11" s="13">
        <f>K11*Calculation!I11/Calculation!K10</f>
        <v>4.6293634896813825E-2</v>
      </c>
      <c r="N11" s="13">
        <v>46.328059950041634</v>
      </c>
      <c r="O11" s="13">
        <v>8.8118278470093278E-2</v>
      </c>
      <c r="P11" s="13">
        <f>N11*Calculation!I11/Calculation!K10</f>
        <v>46.403712686236645</v>
      </c>
      <c r="Q11" s="13">
        <f>O11*Calculation!I11/Calculation!K10</f>
        <v>8.8262173743977948E-2</v>
      </c>
      <c r="R11" s="13">
        <v>0.43449923962633064</v>
      </c>
      <c r="S11" s="13">
        <v>8.689984792526613E-2</v>
      </c>
      <c r="T11" s="13">
        <f>R11*Calculation!I11/Calculation!K10</f>
        <v>0.43520876763997574</v>
      </c>
      <c r="U11" s="13">
        <f>S11*Calculation!I11/Calculation!K10</f>
        <v>8.7041753527995161E-2</v>
      </c>
    </row>
    <row r="12" spans="1:21">
      <c r="A12" s="15" t="s">
        <v>44</v>
      </c>
      <c r="B12" s="15">
        <v>46.07</v>
      </c>
      <c r="D12" s="16">
        <v>8</v>
      </c>
      <c r="E12" s="72">
        <v>11.333333333333334</v>
      </c>
      <c r="F12" s="54">
        <v>47.698342214328008</v>
      </c>
      <c r="G12" s="54">
        <v>0.23028948908380287</v>
      </c>
      <c r="H12" s="13">
        <f>F12*Calculation!I12/Calculation!K11</f>
        <v>47.860867193886364</v>
      </c>
      <c r="I12" s="13">
        <f>G12*Calculation!I12/Calculation!K11</f>
        <v>0.23107416613479284</v>
      </c>
      <c r="J12" s="13">
        <v>0.21462403789224394</v>
      </c>
      <c r="K12" s="13">
        <v>1.2818611660515681E-2</v>
      </c>
      <c r="L12" s="13">
        <f>J12*Calculation!I12/Calculation!K11</f>
        <v>0.21535533725720785</v>
      </c>
      <c r="M12" s="13">
        <f>K12*Calculation!I12/Calculation!K11</f>
        <v>1.2862289165883278E-2</v>
      </c>
      <c r="N12" s="13">
        <v>45.439911185123513</v>
      </c>
      <c r="O12" s="13">
        <v>0.30766375710354776</v>
      </c>
      <c r="P12" s="13">
        <f>N12*Calculation!I12/Calculation!K11</f>
        <v>45.594740898141872</v>
      </c>
      <c r="Q12" s="13">
        <f>O12*Calculation!I12/Calculation!K11</f>
        <v>0.30871207542055379</v>
      </c>
      <c r="R12" s="13">
        <v>1.3614309508291693</v>
      </c>
      <c r="S12" s="13">
        <v>0.10934657738099431</v>
      </c>
      <c r="T12" s="13">
        <f>R12*Calculation!I12/Calculation!K11</f>
        <v>1.3660698235274991</v>
      </c>
      <c r="U12" s="13">
        <f>S12*Calculation!I12/Calculation!K11</f>
        <v>0.10971915951757606</v>
      </c>
    </row>
    <row r="13" spans="1:21">
      <c r="D13" s="16">
        <v>9</v>
      </c>
      <c r="E13" s="72">
        <v>12.666666666666666</v>
      </c>
      <c r="F13" s="54">
        <v>46.062759029011254</v>
      </c>
      <c r="G13" s="54">
        <v>0.61931938597550795</v>
      </c>
      <c r="H13" s="13">
        <f>F13*Calculation!I13/Calculation!K12</f>
        <v>46.347980321296568</v>
      </c>
      <c r="I13" s="13">
        <f>G13*Calculation!I13/Calculation!K12</f>
        <v>0.62315422086878969</v>
      </c>
      <c r="J13" s="13">
        <v>0.25162818235642392</v>
      </c>
      <c r="K13" s="13">
        <v>1.2818611660515679E-2</v>
      </c>
      <c r="L13" s="13">
        <f>J13*Calculation!I13/Calculation!K12</f>
        <v>0.25318626782199277</v>
      </c>
      <c r="M13" s="13">
        <f>K13*Calculation!I13/Calculation!K12</f>
        <v>1.2897984695483321E-2</v>
      </c>
      <c r="N13" s="13">
        <v>44.6849847349431</v>
      </c>
      <c r="O13" s="13">
        <v>0.58197468430002419</v>
      </c>
      <c r="P13" s="13">
        <f>N13*Calculation!I13/Calculation!K12</f>
        <v>44.961674828209603</v>
      </c>
      <c r="Q13" s="13">
        <f>O13*Calculation!I13/Calculation!K12</f>
        <v>0.5855782802424393</v>
      </c>
      <c r="R13" s="13">
        <v>3.519443840973278</v>
      </c>
      <c r="S13" s="13">
        <v>0.31332185752456992</v>
      </c>
      <c r="T13" s="13">
        <f>R13*Calculation!I13/Calculation!K12</f>
        <v>3.5412362898323608</v>
      </c>
      <c r="U13" s="13">
        <f>S13*Calculation!I13/Calculation!K12</f>
        <v>0.31526195114875138</v>
      </c>
    </row>
    <row r="14" spans="1:21">
      <c r="D14" s="16">
        <v>10</v>
      </c>
      <c r="E14" s="72">
        <v>14</v>
      </c>
      <c r="F14" s="54">
        <v>42.414150384843104</v>
      </c>
      <c r="G14" s="54">
        <v>0.23921397807717731</v>
      </c>
      <c r="H14" s="13">
        <f>F14*Calculation!I14/Calculation!K13</f>
        <v>42.8426755678597</v>
      </c>
      <c r="I14" s="13">
        <f>G14*Calculation!I14/Calculation!K13</f>
        <v>0.24163084161930973</v>
      </c>
      <c r="J14" s="13">
        <v>0.21462403789224394</v>
      </c>
      <c r="K14" s="13">
        <v>4.621816162224985E-2</v>
      </c>
      <c r="L14" s="13">
        <f>J14*Calculation!I14/Calculation!K13</f>
        <v>0.21679246055975068</v>
      </c>
      <c r="M14" s="13">
        <f>K14*Calculation!I14/Calculation!K13</f>
        <v>4.6685120078051964E-2</v>
      </c>
      <c r="N14" s="13">
        <v>41.676380793782961</v>
      </c>
      <c r="O14" s="13">
        <v>0.34019546924328492</v>
      </c>
      <c r="P14" s="13">
        <f>N14*Calculation!I14/Calculation!K13</f>
        <v>42.09745202932767</v>
      </c>
      <c r="Q14" s="13">
        <f>O14*Calculation!I14/Calculation!K13</f>
        <v>0.34363258455494722</v>
      </c>
      <c r="R14" s="13">
        <v>6.0685060467810858</v>
      </c>
      <c r="S14" s="13">
        <v>0.1525911181526933</v>
      </c>
      <c r="T14" s="13">
        <f>R14*Calculation!I14/Calculation!K13</f>
        <v>6.1298183126343107</v>
      </c>
      <c r="U14" s="13">
        <f>S14*Calculation!I14/Calculation!K13</f>
        <v>0.1541328002620786</v>
      </c>
    </row>
    <row r="15" spans="1:21">
      <c r="D15" s="16">
        <v>11</v>
      </c>
      <c r="E15" s="72">
        <v>15.333333333333334</v>
      </c>
      <c r="F15" s="54">
        <v>36.230757844878632</v>
      </c>
      <c r="G15" s="54">
        <v>1.126780756085715</v>
      </c>
      <c r="H15" s="13">
        <f>F15*Calculation!I15/Calculation!K14</f>
        <v>36.745125362618424</v>
      </c>
      <c r="I15" s="13">
        <f>G15*Calculation!I15/Calculation!K14</f>
        <v>1.1427776453317593</v>
      </c>
      <c r="J15" s="13">
        <v>0.22202486678507993</v>
      </c>
      <c r="K15" s="13">
        <v>4.4404973357015987E-2</v>
      </c>
      <c r="L15" s="13">
        <f>J15*Calculation!I15/Calculation!K14</f>
        <v>0.22517695043990454</v>
      </c>
      <c r="M15" s="13">
        <f>K15*Calculation!I15/Calculation!K14</f>
        <v>4.5035390087980902E-2</v>
      </c>
      <c r="N15" s="13">
        <v>36.924784901471007</v>
      </c>
      <c r="O15" s="13">
        <v>1.1658538411612585</v>
      </c>
      <c r="P15" s="13">
        <f>N15*Calculation!I15/Calculation!K14</f>
        <v>37.449005510771073</v>
      </c>
      <c r="Q15" s="13">
        <f>O15*Calculation!I15/Calculation!K14</f>
        <v>1.1824054504014798</v>
      </c>
      <c r="R15" s="13">
        <v>10.963864146571076</v>
      </c>
      <c r="S15" s="13">
        <v>2.2536790474855519</v>
      </c>
      <c r="T15" s="13">
        <f>R15*Calculation!I15/Calculation!K14</f>
        <v>11.119517959004515</v>
      </c>
      <c r="U15" s="13">
        <f>S15*Calculation!I15/Calculation!K14</f>
        <v>2.2856744946247067</v>
      </c>
    </row>
    <row r="16" spans="1:21">
      <c r="D16" s="16">
        <v>12</v>
      </c>
      <c r="E16" s="72">
        <v>16.666666666666668</v>
      </c>
      <c r="F16" s="54">
        <v>33.906897572528123</v>
      </c>
      <c r="G16" s="54">
        <v>0.14488433947936555</v>
      </c>
      <c r="H16" s="13">
        <f>F16*Calculation!I16/Calculation!K15</f>
        <v>34.569264193354506</v>
      </c>
      <c r="I16" s="13">
        <f>G16*Calculation!I16/Calculation!K15</f>
        <v>0.14771463529591244</v>
      </c>
      <c r="J16" s="13">
        <v>0.3404381290704559</v>
      </c>
      <c r="K16" s="13">
        <v>1.2818611660515679E-2</v>
      </c>
      <c r="L16" s="13">
        <f>J16*Calculation!I16/Calculation!K15</f>
        <v>0.3470885415026318</v>
      </c>
      <c r="M16" s="13">
        <f>K16*Calculation!I16/Calculation!K15</f>
        <v>1.3069021491468208E-2</v>
      </c>
      <c r="N16" s="13">
        <v>35.63696919233972</v>
      </c>
      <c r="O16" s="13">
        <v>0.35089604505754191</v>
      </c>
      <c r="P16" s="13">
        <f>N16*Calculation!I16/Calculation!K15</f>
        <v>36.333132526361439</v>
      </c>
      <c r="Q16" s="13">
        <f>O16*Calculation!I16/Calculation!K15</f>
        <v>0.35775075145257401</v>
      </c>
      <c r="R16" s="13">
        <v>16.467521181837931</v>
      </c>
      <c r="S16" s="13">
        <v>2.2172236927522277</v>
      </c>
      <c r="T16" s="13">
        <f>R16*Calculation!I16/Calculation!K15</f>
        <v>16.789211962755569</v>
      </c>
      <c r="U16" s="13">
        <f>S16*Calculation!I16/Calculation!K15</f>
        <v>2.2605368552685881</v>
      </c>
    </row>
    <row r="17" spans="4:21">
      <c r="D17" s="16">
        <v>13</v>
      </c>
      <c r="E17" s="72">
        <v>18</v>
      </c>
      <c r="F17" s="54">
        <v>31.005772646536407</v>
      </c>
      <c r="G17" s="54">
        <v>1.7801147444350935</v>
      </c>
      <c r="H17" s="13">
        <f>F17*Calculation!I17/Calculation!K16</f>
        <v>31.715565417541683</v>
      </c>
      <c r="I17" s="13">
        <f>G17*Calculation!I17/Calculation!K16</f>
        <v>1.8208656262648704</v>
      </c>
      <c r="J17" s="13">
        <v>0.49585553582001185</v>
      </c>
      <c r="K17" s="13">
        <v>7.1371009184376499E-2</v>
      </c>
      <c r="L17" s="13">
        <f>J17*Calculation!I17/Calculation!K16</f>
        <v>0.50720679865742768</v>
      </c>
      <c r="M17" s="13">
        <f>K17*Calculation!I17/Calculation!K16</f>
        <v>7.3004854176917933E-2</v>
      </c>
      <c r="N17" s="13">
        <v>34.238134887593667</v>
      </c>
      <c r="O17" s="13">
        <v>1.9325847229181048</v>
      </c>
      <c r="P17" s="13">
        <f>N17*Calculation!I17/Calculation!K16</f>
        <v>35.021923794032425</v>
      </c>
      <c r="Q17" s="13">
        <f>O17*Calculation!I17/Calculation!K16</f>
        <v>1.9768259899015204</v>
      </c>
      <c r="R17" s="13">
        <v>18.335867912231151</v>
      </c>
      <c r="S17" s="13">
        <v>1.9773296116415826</v>
      </c>
      <c r="T17" s="13">
        <f>R17*Calculation!I17/Calculation!K16</f>
        <v>18.755617700200496</v>
      </c>
      <c r="U17" s="13">
        <f>S17*Calculation!I17/Calculation!K16</f>
        <v>2.0225951910624729</v>
      </c>
    </row>
    <row r="18" spans="4:21">
      <c r="D18" s="16">
        <v>14</v>
      </c>
      <c r="E18" s="72">
        <v>19.333333333333332</v>
      </c>
      <c r="F18" s="54">
        <v>28.800325636471282</v>
      </c>
      <c r="G18" s="54">
        <v>0.23135729769598243</v>
      </c>
      <c r="H18" s="13">
        <f>F18*Calculation!I18/Calculation!K17</f>
        <v>29.493222070225553</v>
      </c>
      <c r="I18" s="13">
        <f>G18*Calculation!I18/Calculation!K17</f>
        <v>0.23692343776398103</v>
      </c>
      <c r="J18" s="13">
        <v>0.79188869153345187</v>
      </c>
      <c r="K18" s="13">
        <v>1.2818611660515591E-2</v>
      </c>
      <c r="L18" s="13">
        <f>J18*Calculation!I18/Calculation!K17</f>
        <v>0.81094045008714755</v>
      </c>
      <c r="M18" s="13">
        <f>K18*Calculation!I18/Calculation!K17</f>
        <v>1.3127009920221533E-2</v>
      </c>
      <c r="N18" s="13">
        <v>33.838467943380515</v>
      </c>
      <c r="O18" s="13">
        <v>0.24016994341142334</v>
      </c>
      <c r="P18" s="13">
        <f>N18*Calculation!I18/Calculation!K17</f>
        <v>34.652575188473087</v>
      </c>
      <c r="Q18" s="13">
        <f>O18*Calculation!I18/Calculation!K17</f>
        <v>0.24594810367895872</v>
      </c>
      <c r="R18" s="13">
        <v>20.349047722499819</v>
      </c>
      <c r="S18" s="13">
        <v>1.0430998670450187</v>
      </c>
      <c r="T18" s="13">
        <f>R18*Calculation!I18/Calculation!K17</f>
        <v>20.838617971641735</v>
      </c>
      <c r="U18" s="13">
        <f>S18*Calculation!I18/Calculation!K17</f>
        <v>1.068195422805325</v>
      </c>
    </row>
    <row r="19" spans="4:21">
      <c r="D19" s="16">
        <v>15</v>
      </c>
      <c r="E19" s="72">
        <v>24</v>
      </c>
      <c r="F19" s="54">
        <v>26.883510953226764</v>
      </c>
      <c r="G19" s="54">
        <v>0.16848064591226025</v>
      </c>
      <c r="H19" s="13">
        <f>F19*Calculation!I19/Calculation!K18</f>
        <v>27.596074701213411</v>
      </c>
      <c r="I19" s="13">
        <f>G19*Calculation!I19/Calculation!K18</f>
        <v>0.17294632752368835</v>
      </c>
      <c r="J19" s="13">
        <v>1.3987566607460036</v>
      </c>
      <c r="K19" s="13">
        <v>0.12361821409480514</v>
      </c>
      <c r="L19" s="13">
        <f>J19*Calculation!I19/Calculation!K18</f>
        <v>1.4358315536212893</v>
      </c>
      <c r="M19" s="13">
        <f>K19*Calculation!I19/Calculation!K18</f>
        <v>0.12689478976634097</v>
      </c>
      <c r="N19" s="13">
        <v>34.093810713294474</v>
      </c>
      <c r="O19" s="13">
        <v>0.36535071156046439</v>
      </c>
      <c r="P19" s="13">
        <f>N19*Calculation!I19/Calculation!K18</f>
        <v>34.997487825531792</v>
      </c>
      <c r="Q19" s="13">
        <f>O19*Calculation!I19/Calculation!K18</f>
        <v>0.3750345535561046</v>
      </c>
      <c r="R19" s="13">
        <v>22.405677456731119</v>
      </c>
      <c r="S19" s="13">
        <v>0.82134531848839665</v>
      </c>
      <c r="T19" s="13">
        <f>R19*Calculation!I19/Calculation!K18</f>
        <v>22.999553514531964</v>
      </c>
      <c r="U19" s="13">
        <f>S19*Calculation!I19/Calculation!K18</f>
        <v>0.84311557385242408</v>
      </c>
    </row>
    <row r="20" spans="4:21">
      <c r="D20" s="16">
        <v>16</v>
      </c>
      <c r="E20" s="72">
        <v>30</v>
      </c>
      <c r="F20" s="54">
        <v>26.117525162818236</v>
      </c>
      <c r="G20" s="54">
        <v>0.15153637677207926</v>
      </c>
      <c r="H20" s="13">
        <f>F20*Calculation!I20/Calculation!K19</f>
        <v>26.809785993277938</v>
      </c>
      <c r="I20" s="13">
        <f>G20*Calculation!I20/Calculation!K19</f>
        <v>0.155552940262499</v>
      </c>
      <c r="J20" s="13">
        <v>1.6799881586737713</v>
      </c>
      <c r="K20" s="13">
        <v>1.2818611660515681E-2</v>
      </c>
      <c r="L20" s="13">
        <f>J20*Calculation!I20/Calculation!K19</f>
        <v>1.7245172628149879</v>
      </c>
      <c r="M20" s="13">
        <f>K20*Calculation!I20/Calculation!K19</f>
        <v>1.315837673006684E-2</v>
      </c>
      <c r="N20" s="13">
        <v>33.882875381626427</v>
      </c>
      <c r="O20" s="13">
        <v>0.11696534835251281</v>
      </c>
      <c r="P20" s="13">
        <f>N20*Calculation!I20/Calculation!K19</f>
        <v>34.780961525080777</v>
      </c>
      <c r="Q20" s="13">
        <f>O20*Calculation!I20/Calculation!K19</f>
        <v>0.12006558578621848</v>
      </c>
      <c r="R20" s="13">
        <v>21.797378521254249</v>
      </c>
      <c r="S20" s="13">
        <v>5.017165059218999E-2</v>
      </c>
      <c r="T20" s="13">
        <f>R20*Calculation!I20/Calculation!K19</f>
        <v>22.375131247169101</v>
      </c>
      <c r="U20" s="13">
        <f>S20*Calculation!I20/Calculation!K19</f>
        <v>5.150148059284905E-2</v>
      </c>
    </row>
    <row r="21" spans="4:21">
      <c r="D21" s="16">
        <v>17</v>
      </c>
      <c r="E21" s="72">
        <v>48</v>
      </c>
      <c r="F21" s="54">
        <v>25.506956779159271</v>
      </c>
      <c r="G21" s="54">
        <v>9.4414970560783018E-2</v>
      </c>
      <c r="H21" s="13">
        <f>F21*Calculation!I21/Calculation!K20</f>
        <v>26.218560629551824</v>
      </c>
      <c r="I21" s="13">
        <f>G21*Calculation!I21/Calculation!K20</f>
        <v>9.7048999275672579E-2</v>
      </c>
      <c r="J21" s="13">
        <v>2.1018354055654234</v>
      </c>
      <c r="K21" s="13">
        <v>5.5875032824679961E-2</v>
      </c>
      <c r="L21" s="13">
        <f>J21*Calculation!I21/Calculation!K20</f>
        <v>2.1604732971979446</v>
      </c>
      <c r="M21" s="13">
        <f>K21*Calculation!I21/Calculation!K20</f>
        <v>5.7433858083338007E-2</v>
      </c>
      <c r="N21" s="13">
        <v>34.093810713294474</v>
      </c>
      <c r="O21" s="13">
        <v>0.22175947105676508</v>
      </c>
      <c r="P21" s="13">
        <f>N21*Calculation!I21/Calculation!K20</f>
        <v>35.044974240491811</v>
      </c>
      <c r="Q21" s="13">
        <f>O21*Calculation!I21/Calculation!K20</f>
        <v>0.22794621041698329</v>
      </c>
      <c r="R21" s="13">
        <v>21.985661525092329</v>
      </c>
      <c r="S21" s="13">
        <v>0.18434241525610642</v>
      </c>
      <c r="T21" s="13">
        <f>R21*Calculation!I21/Calculation!K20</f>
        <v>22.599026793640007</v>
      </c>
      <c r="U21" s="13">
        <f>S21*Calculation!I21/Calculation!K20</f>
        <v>0.18948527779445867</v>
      </c>
    </row>
    <row r="23" spans="4:21">
      <c r="D23" s="144" t="s">
        <v>4</v>
      </c>
      <c r="E23" s="144" t="s">
        <v>60</v>
      </c>
      <c r="F23" s="121" t="s">
        <v>44</v>
      </c>
      <c r="G23" s="121"/>
      <c r="H23" s="121"/>
      <c r="I23" s="121"/>
      <c r="J23" s="121" t="s">
        <v>66</v>
      </c>
      <c r="K23" s="121"/>
      <c r="L23" s="121"/>
      <c r="M23" s="121"/>
      <c r="N23" s="142" t="s">
        <v>67</v>
      </c>
      <c r="O23" s="119"/>
      <c r="P23" s="119"/>
      <c r="Q23" s="143"/>
    </row>
    <row r="24" spans="4:21">
      <c r="D24" s="144"/>
      <c r="E24" s="144"/>
      <c r="F24" s="20" t="s">
        <v>48</v>
      </c>
      <c r="G24" s="20" t="s">
        <v>23</v>
      </c>
      <c r="H24" s="20" t="s">
        <v>48</v>
      </c>
      <c r="I24" s="20" t="s">
        <v>23</v>
      </c>
      <c r="J24" s="20" t="s">
        <v>48</v>
      </c>
      <c r="K24" s="20" t="s">
        <v>23</v>
      </c>
      <c r="L24" s="20" t="s">
        <v>48</v>
      </c>
      <c r="M24" s="20" t="s">
        <v>23</v>
      </c>
      <c r="N24" s="20" t="s">
        <v>48</v>
      </c>
      <c r="O24" s="20" t="s">
        <v>23</v>
      </c>
      <c r="P24" s="20" t="s">
        <v>48</v>
      </c>
      <c r="Q24" s="20" t="s">
        <v>23</v>
      </c>
    </row>
    <row r="25" spans="4:21">
      <c r="D25" s="16">
        <v>0</v>
      </c>
      <c r="E25" s="69">
        <v>-0.16666666666666666</v>
      </c>
      <c r="F25" s="13">
        <v>0</v>
      </c>
      <c r="G25" s="13">
        <v>0</v>
      </c>
      <c r="H25" s="13">
        <f>F25*Calculation!I3/Calculation!F23</f>
        <v>0</v>
      </c>
      <c r="I25" s="13">
        <f>G25*Calculation!I3/Calculation!F23</f>
        <v>0</v>
      </c>
      <c r="J25" s="13">
        <v>0</v>
      </c>
      <c r="K25" s="13">
        <v>0</v>
      </c>
      <c r="L25" s="13">
        <f>J25*Calculation!I3/Calculation!F23</f>
        <v>0</v>
      </c>
      <c r="M25" s="13">
        <f>K25*Calculation!I3/Calculation!F23</f>
        <v>0</v>
      </c>
      <c r="N25" s="13">
        <v>0</v>
      </c>
      <c r="O25" s="13">
        <v>0</v>
      </c>
      <c r="P25" s="13">
        <f>N25*Calculation!I3/Calculation!F23</f>
        <v>0</v>
      </c>
      <c r="Q25" s="13">
        <f>O25*Calculation!I3/Calculation!F23</f>
        <v>0</v>
      </c>
    </row>
    <row r="26" spans="4:21">
      <c r="D26" s="16">
        <v>0</v>
      </c>
      <c r="E26" s="72">
        <v>0.16666666666666666</v>
      </c>
      <c r="F26" s="13">
        <v>0</v>
      </c>
      <c r="G26" s="13">
        <v>0</v>
      </c>
      <c r="H26" s="13">
        <f>F26*Calculation!I4/Calculation!K3</f>
        <v>0</v>
      </c>
      <c r="I26" s="13">
        <f>G26*Calculation!I4/Calculation!K3</f>
        <v>0</v>
      </c>
      <c r="J26" s="13">
        <v>0.10592819581583628</v>
      </c>
      <c r="K26" s="13">
        <v>2.6210431015304771E-2</v>
      </c>
      <c r="L26" s="13">
        <f>J26*Calculation!I4/Calculation!K3</f>
        <v>0.10592819581583628</v>
      </c>
      <c r="M26" s="13">
        <f>K26*Calculation!I4/Calculation!K3</f>
        <v>2.6210431015304774E-2</v>
      </c>
      <c r="N26" s="13">
        <v>0</v>
      </c>
      <c r="O26" s="13">
        <v>0</v>
      </c>
      <c r="P26" s="13">
        <f>N26*Calculation!I4/Calculation!K3</f>
        <v>0</v>
      </c>
      <c r="Q26" s="13">
        <f>O26*Calculation!I4/Calculation!K3</f>
        <v>0</v>
      </c>
    </row>
    <row r="27" spans="4:21">
      <c r="D27" s="16">
        <v>1</v>
      </c>
      <c r="E27" s="72">
        <v>2</v>
      </c>
      <c r="F27" s="13">
        <v>0</v>
      </c>
      <c r="G27" s="13">
        <v>0</v>
      </c>
      <c r="H27" s="13">
        <f>F27*Calculation!I5/Calculation!K4</f>
        <v>0</v>
      </c>
      <c r="I27" s="13">
        <f>G27*Calculation!I5/Calculation!K4</f>
        <v>0</v>
      </c>
      <c r="J27" s="13">
        <v>0.18915749252827907</v>
      </c>
      <c r="K27" s="13">
        <v>7.2966751870714233E-2</v>
      </c>
      <c r="L27" s="13">
        <f>J27*Calculation!I5/Calculation!K4</f>
        <v>0.18915749252827907</v>
      </c>
      <c r="M27" s="13">
        <f>K27*Calculation!I5/Calculation!K4</f>
        <v>7.2966751870714233E-2</v>
      </c>
      <c r="N27" s="13">
        <v>0</v>
      </c>
      <c r="O27" s="13">
        <v>0</v>
      </c>
      <c r="P27" s="13">
        <f>N27*Calculation!I5/Calculation!K4</f>
        <v>0</v>
      </c>
      <c r="Q27" s="13">
        <f>O27*Calculation!I5/Calculation!K4</f>
        <v>0</v>
      </c>
    </row>
    <row r="28" spans="4:21">
      <c r="D28" s="16">
        <v>2</v>
      </c>
      <c r="E28" s="72">
        <v>3.3333333333333335</v>
      </c>
      <c r="F28" s="13">
        <v>0</v>
      </c>
      <c r="G28" s="13">
        <v>0</v>
      </c>
      <c r="H28" s="13">
        <f>F28*Calculation!I6/Calculation!K5</f>
        <v>0</v>
      </c>
      <c r="I28" s="13">
        <f>G28*Calculation!I6/Calculation!K5</f>
        <v>0</v>
      </c>
      <c r="J28" s="13">
        <v>0.39344758445882044</v>
      </c>
      <c r="K28" s="13">
        <v>3.4673141111155284E-2</v>
      </c>
      <c r="L28" s="13">
        <f>J28*Calculation!I6/Calculation!K5</f>
        <v>0.3934475844588205</v>
      </c>
      <c r="M28" s="13">
        <f>K28*Calculation!I6/Calculation!K5</f>
        <v>3.4673141111155284E-2</v>
      </c>
      <c r="N28" s="13">
        <v>0</v>
      </c>
      <c r="O28" s="13">
        <v>0</v>
      </c>
      <c r="P28" s="13">
        <f>N28*Calculation!I6/Calculation!K5</f>
        <v>0</v>
      </c>
      <c r="Q28" s="13">
        <f>O28*Calculation!I6/Calculation!K5</f>
        <v>0</v>
      </c>
    </row>
    <row r="29" spans="4:21">
      <c r="D29" s="16">
        <v>3</v>
      </c>
      <c r="E29" s="72">
        <v>4.666666666666667</v>
      </c>
      <c r="F29" s="13">
        <v>0</v>
      </c>
      <c r="G29" s="13">
        <v>0</v>
      </c>
      <c r="H29" s="13">
        <f>F29*Calculation!I7/Calculation!K6</f>
        <v>0</v>
      </c>
      <c r="I29" s="13">
        <f>G29*Calculation!I7/Calculation!K6</f>
        <v>0</v>
      </c>
      <c r="J29" s="13">
        <v>0.79446146861877198</v>
      </c>
      <c r="K29" s="13">
        <v>2.2698899103393427E-2</v>
      </c>
      <c r="L29" s="13">
        <f>J29*Calculation!I7/Calculation!K6</f>
        <v>0.79446146861877198</v>
      </c>
      <c r="M29" s="13">
        <f>K29*Calculation!I7/Calculation!K6</f>
        <v>2.2698899103393427E-2</v>
      </c>
      <c r="N29" s="13">
        <v>0</v>
      </c>
      <c r="O29" s="13">
        <v>0</v>
      </c>
      <c r="P29" s="13">
        <f>N29*Calculation!I7/Calculation!K6</f>
        <v>0</v>
      </c>
      <c r="Q29" s="13">
        <f>O29*Calculation!I7/Calculation!K6</f>
        <v>0</v>
      </c>
    </row>
    <row r="30" spans="4:21">
      <c r="D30" s="16">
        <v>4</v>
      </c>
      <c r="E30" s="72">
        <v>6</v>
      </c>
      <c r="F30" s="13">
        <v>0</v>
      </c>
      <c r="G30" s="13">
        <v>0</v>
      </c>
      <c r="H30" s="13">
        <f>F30*Calculation!I8/Calculation!K7</f>
        <v>0</v>
      </c>
      <c r="I30" s="13">
        <f>G30*Calculation!I8/Calculation!K7</f>
        <v>0</v>
      </c>
      <c r="J30" s="13">
        <v>1.1122460560662806</v>
      </c>
      <c r="K30" s="13">
        <v>4.5397798206786931E-2</v>
      </c>
      <c r="L30" s="13">
        <f>J30*Calculation!I8/Calculation!K7</f>
        <v>1.1122460560662806</v>
      </c>
      <c r="M30" s="13">
        <f>K30*Calculation!I8/Calculation!K7</f>
        <v>4.5397798206786931E-2</v>
      </c>
      <c r="N30" s="13">
        <v>0</v>
      </c>
      <c r="O30" s="13">
        <v>0</v>
      </c>
      <c r="P30" s="13">
        <f>N30*Calculation!I8/Calculation!K7</f>
        <v>0</v>
      </c>
      <c r="Q30" s="13">
        <f>O30*Calculation!I8/Calculation!K7</f>
        <v>0</v>
      </c>
    </row>
    <row r="31" spans="4:21">
      <c r="D31" s="16">
        <v>5</v>
      </c>
      <c r="E31" s="72">
        <v>7.333333333333333</v>
      </c>
      <c r="F31" s="13">
        <v>0</v>
      </c>
      <c r="G31" s="13">
        <v>0</v>
      </c>
      <c r="H31" s="13">
        <f>F31*Calculation!I9/Calculation!K8</f>
        <v>0</v>
      </c>
      <c r="I31" s="13">
        <f>G31*Calculation!I9/Calculation!K8</f>
        <v>0</v>
      </c>
      <c r="J31" s="13">
        <v>1.634320735444331</v>
      </c>
      <c r="K31" s="13">
        <v>3.9315646522957187E-2</v>
      </c>
      <c r="L31" s="13">
        <f>J31*Calculation!I9/Calculation!K8</f>
        <v>1.6355975485188967</v>
      </c>
      <c r="M31" s="13">
        <f>K31*Calculation!I9/Calculation!K8</f>
        <v>3.9346361871803251E-2</v>
      </c>
      <c r="N31" s="13">
        <v>0</v>
      </c>
      <c r="O31" s="13">
        <v>0</v>
      </c>
      <c r="P31" s="13">
        <f>N31*Calculation!I9/Calculation!K8</f>
        <v>0</v>
      </c>
      <c r="Q31" s="13">
        <f>O31*Calculation!I9/Calculation!K8</f>
        <v>0</v>
      </c>
    </row>
    <row r="32" spans="4:21">
      <c r="D32" s="16">
        <v>6</v>
      </c>
      <c r="E32" s="72">
        <v>8.6666666666666661</v>
      </c>
      <c r="F32" s="13">
        <v>0</v>
      </c>
      <c r="G32" s="13">
        <v>0</v>
      </c>
      <c r="H32" s="13">
        <f>F32*Calculation!I10/Calculation!K9</f>
        <v>0</v>
      </c>
      <c r="I32" s="13">
        <f>G32*Calculation!I10/Calculation!K9</f>
        <v>0</v>
      </c>
      <c r="J32" s="13">
        <v>2.34555290735066</v>
      </c>
      <c r="K32" s="13">
        <v>2.6210431015304791E-2</v>
      </c>
      <c r="L32" s="13">
        <f>J32*Calculation!I10/Calculation!K9</f>
        <v>2.3473853705595276</v>
      </c>
      <c r="M32" s="13">
        <f>K32*Calculation!I10/Calculation!K9</f>
        <v>2.6230907914535501E-2</v>
      </c>
      <c r="N32" s="13">
        <v>0</v>
      </c>
      <c r="O32" s="13">
        <v>0</v>
      </c>
      <c r="P32" s="13">
        <f>N32*Calculation!I10/Calculation!K9</f>
        <v>0</v>
      </c>
      <c r="Q32" s="13">
        <f>O32*Calculation!I10/Calculation!K9</f>
        <v>0</v>
      </c>
    </row>
    <row r="33" spans="4:17">
      <c r="D33" s="16">
        <v>7</v>
      </c>
      <c r="E33" s="72">
        <v>10</v>
      </c>
      <c r="F33" s="13">
        <v>0</v>
      </c>
      <c r="G33" s="13">
        <v>0</v>
      </c>
      <c r="H33" s="13">
        <f>F33*Calculation!I11/Calculation!K10</f>
        <v>0</v>
      </c>
      <c r="I33" s="13">
        <f>G33*Calculation!I11/Calculation!K10</f>
        <v>0</v>
      </c>
      <c r="J33" s="13">
        <v>3.0567850792569899</v>
      </c>
      <c r="K33" s="13">
        <v>6.5526077538261979E-2</v>
      </c>
      <c r="L33" s="13">
        <f>J33*Calculation!I11/Calculation!K10</f>
        <v>3.0617767442534363</v>
      </c>
      <c r="M33" s="13">
        <f>K33*Calculation!I11/Calculation!K10</f>
        <v>6.5633080228710089E-2</v>
      </c>
      <c r="N33" s="13">
        <v>0</v>
      </c>
      <c r="O33" s="13">
        <v>0</v>
      </c>
      <c r="P33" s="13">
        <f>N33*Calculation!I11/Calculation!K10</f>
        <v>0</v>
      </c>
      <c r="Q33" s="13">
        <f>O33*Calculation!I11/Calculation!K10</f>
        <v>0</v>
      </c>
    </row>
    <row r="34" spans="4:17">
      <c r="D34" s="16">
        <v>8</v>
      </c>
      <c r="E34" s="72">
        <v>11.333333333333334</v>
      </c>
      <c r="F34" s="13">
        <v>0</v>
      </c>
      <c r="G34" s="13">
        <v>0</v>
      </c>
      <c r="H34" s="13">
        <f>F34*Calculation!I12/Calculation!K11</f>
        <v>0</v>
      </c>
      <c r="I34" s="13">
        <f>G34*Calculation!I12/Calculation!K11</f>
        <v>0</v>
      </c>
      <c r="J34" s="13">
        <v>4.5549124200809601</v>
      </c>
      <c r="K34" s="13">
        <v>0.14768827825780736</v>
      </c>
      <c r="L34" s="13">
        <f>J34*Calculation!I12/Calculation!K11</f>
        <v>4.5704326040873005</v>
      </c>
      <c r="M34" s="13">
        <f>K34*Calculation!I12/Calculation!K11</f>
        <v>0.14819150401557069</v>
      </c>
      <c r="N34" s="13">
        <v>0</v>
      </c>
      <c r="O34" s="13">
        <v>0</v>
      </c>
      <c r="P34" s="13">
        <f>N34*Calculation!I12/Calculation!K11</f>
        <v>0</v>
      </c>
      <c r="Q34" s="13">
        <f>O34*Calculation!I12/Calculation!K11</f>
        <v>0</v>
      </c>
    </row>
    <row r="35" spans="4:17">
      <c r="D35" s="16">
        <v>9</v>
      </c>
      <c r="E35" s="72">
        <v>12.666666666666666</v>
      </c>
      <c r="F35" s="13">
        <v>0</v>
      </c>
      <c r="G35" s="13">
        <v>0</v>
      </c>
      <c r="H35" s="13">
        <f>F35*Calculation!I13/Calculation!K12</f>
        <v>0</v>
      </c>
      <c r="I35" s="13">
        <f>G35*Calculation!I13/Calculation!K12</f>
        <v>0</v>
      </c>
      <c r="J35" s="13">
        <v>7.3922748080051468</v>
      </c>
      <c r="K35" s="13">
        <v>0.14593350374142874</v>
      </c>
      <c r="L35" s="13">
        <f>J35*Calculation!I13/Calculation!K12</f>
        <v>7.4380478840890047</v>
      </c>
      <c r="M35" s="13">
        <f>K35*Calculation!I13/Calculation!K12</f>
        <v>0.14683712617747602</v>
      </c>
      <c r="N35" s="13">
        <v>0</v>
      </c>
      <c r="O35" s="13">
        <v>0</v>
      </c>
      <c r="P35" s="13">
        <f>N35*Calculation!I13/Calculation!K12</f>
        <v>0</v>
      </c>
      <c r="Q35" s="13">
        <f>O35*Calculation!I13/Calculation!K12</f>
        <v>0</v>
      </c>
    </row>
    <row r="36" spans="4:17">
      <c r="D36" s="16">
        <v>10</v>
      </c>
      <c r="E36" s="72">
        <v>14</v>
      </c>
      <c r="F36" s="13">
        <v>0</v>
      </c>
      <c r="G36" s="13">
        <v>0</v>
      </c>
      <c r="H36" s="13">
        <f>F36*Calculation!I14/Calculation!K13</f>
        <v>0</v>
      </c>
      <c r="I36" s="13">
        <f>G36*Calculation!I14/Calculation!K13</f>
        <v>0</v>
      </c>
      <c r="J36" s="13">
        <v>10.971134566640185</v>
      </c>
      <c r="K36" s="13">
        <v>6.9346282222310651E-2</v>
      </c>
      <c r="L36" s="13">
        <f>J36*Calculation!I14/Calculation!K13</f>
        <v>11.081979824777177</v>
      </c>
      <c r="M36" s="13">
        <f>K36*Calculation!I14/Calculation!K13</f>
        <v>7.0046912271744699E-2</v>
      </c>
      <c r="N36" s="13">
        <v>0</v>
      </c>
      <c r="O36" s="13">
        <v>0</v>
      </c>
      <c r="P36" s="13">
        <f>N36*Calculation!I14/Calculation!K13</f>
        <v>0</v>
      </c>
      <c r="Q36" s="13">
        <f>O36*Calculation!I14/Calculation!K13</f>
        <v>0</v>
      </c>
    </row>
    <row r="37" spans="4:17">
      <c r="D37" s="16">
        <v>11</v>
      </c>
      <c r="E37" s="72">
        <v>15.333333333333334</v>
      </c>
      <c r="F37" s="13">
        <v>0</v>
      </c>
      <c r="G37" s="13">
        <v>0</v>
      </c>
      <c r="H37" s="13">
        <f>F37*Calculation!I15/Calculation!K14</f>
        <v>0</v>
      </c>
      <c r="I37" s="13">
        <f>G37*Calculation!I15/Calculation!K14</f>
        <v>0</v>
      </c>
      <c r="J37" s="13">
        <v>15.457950289410963</v>
      </c>
      <c r="K37" s="13">
        <v>0.53667417625862546</v>
      </c>
      <c r="L37" s="13">
        <f>J37*Calculation!I15/Calculation!K14</f>
        <v>15.677406574420287</v>
      </c>
      <c r="M37" s="13">
        <f>K37*Calculation!I15/Calculation!K14</f>
        <v>0.54429333137150193</v>
      </c>
      <c r="N37" s="13">
        <v>0</v>
      </c>
      <c r="O37" s="13">
        <v>0</v>
      </c>
      <c r="P37" s="13">
        <f>N37*Calculation!I15/Calculation!K14</f>
        <v>0</v>
      </c>
      <c r="Q37" s="13">
        <f>O37*Calculation!I15/Calculation!K14</f>
        <v>0</v>
      </c>
    </row>
    <row r="38" spans="4:17">
      <c r="D38" s="16">
        <v>12</v>
      </c>
      <c r="E38" s="72">
        <v>16.666666666666668</v>
      </c>
      <c r="F38" s="13">
        <v>0</v>
      </c>
      <c r="G38" s="13">
        <v>0</v>
      </c>
      <c r="H38" s="13">
        <f>F38*Calculation!I16/Calculation!K15</f>
        <v>0</v>
      </c>
      <c r="I38" s="13">
        <f>G38*Calculation!I16/Calculation!K15</f>
        <v>0</v>
      </c>
      <c r="J38" s="13">
        <v>21.193205462868384</v>
      </c>
      <c r="K38" s="13">
        <v>8.5936645039158377E-2</v>
      </c>
      <c r="L38" s="13">
        <f>J38*Calculation!I16/Calculation!K15</f>
        <v>21.607211841862284</v>
      </c>
      <c r="M38" s="13">
        <f>K38*Calculation!I16/Calculation!K15</f>
        <v>8.7615405682416478E-2</v>
      </c>
      <c r="N38" s="13">
        <v>0</v>
      </c>
      <c r="O38" s="13">
        <v>0</v>
      </c>
      <c r="P38" s="13">
        <f>N38*Calculation!I16/Calculation!K15</f>
        <v>0</v>
      </c>
      <c r="Q38" s="13">
        <f>O38*Calculation!I16/Calculation!K15</f>
        <v>0</v>
      </c>
    </row>
    <row r="39" spans="4:17">
      <c r="D39" s="16">
        <v>13</v>
      </c>
      <c r="E39" s="72">
        <v>18</v>
      </c>
      <c r="F39" s="13">
        <v>0</v>
      </c>
      <c r="G39" s="13">
        <v>0</v>
      </c>
      <c r="H39" s="13">
        <f>F39*Calculation!I17/Calculation!K16</f>
        <v>0</v>
      </c>
      <c r="I39" s="13">
        <f>G39*Calculation!I17/Calculation!K16</f>
        <v>0</v>
      </c>
      <c r="J39" s="13">
        <v>24.862860817916996</v>
      </c>
      <c r="K39" s="13">
        <v>1.4761848777824309</v>
      </c>
      <c r="L39" s="13">
        <f>J39*Calculation!I17/Calculation!K16</f>
        <v>25.432028342824303</v>
      </c>
      <c r="M39" s="13">
        <f>K39*Calculation!I17/Calculation!K16</f>
        <v>1.509978112573318</v>
      </c>
      <c r="N39" s="13">
        <v>0</v>
      </c>
      <c r="O39" s="13">
        <v>0</v>
      </c>
      <c r="P39" s="13">
        <f>N39*Calculation!I17/Calculation!K16</f>
        <v>0</v>
      </c>
      <c r="Q39" s="13">
        <f>O39*Calculation!I17/Calculation!K16</f>
        <v>0</v>
      </c>
    </row>
    <row r="40" spans="4:17">
      <c r="D40" s="16">
        <v>14</v>
      </c>
      <c r="E40" s="72">
        <v>19.333333333333332</v>
      </c>
      <c r="F40" s="13">
        <v>0</v>
      </c>
      <c r="G40" s="13">
        <v>0</v>
      </c>
      <c r="H40" s="13">
        <f>F40*Calculation!I18/Calculation!K17</f>
        <v>0</v>
      </c>
      <c r="I40" s="13">
        <f>G40*Calculation!I18/Calculation!K17</f>
        <v>0</v>
      </c>
      <c r="J40" s="13">
        <v>26.618242348579425</v>
      </c>
      <c r="K40" s="13">
        <v>0.2427119877780862</v>
      </c>
      <c r="L40" s="13">
        <f>J40*Calculation!I18/Calculation!K17</f>
        <v>27.258640843684681</v>
      </c>
      <c r="M40" s="13">
        <f>K40*Calculation!I18/Calculation!K17</f>
        <v>0.24855130615537141</v>
      </c>
      <c r="N40" s="13">
        <v>0</v>
      </c>
      <c r="O40" s="13">
        <v>0</v>
      </c>
      <c r="P40" s="13">
        <f>N40*Calculation!I18/Calculation!K17</f>
        <v>0</v>
      </c>
      <c r="Q40" s="13">
        <f>O40*Calculation!I18/Calculation!K17</f>
        <v>0</v>
      </c>
    </row>
    <row r="41" spans="4:17">
      <c r="D41" s="16">
        <v>15</v>
      </c>
      <c r="E41" s="72">
        <v>24</v>
      </c>
      <c r="F41" s="13">
        <v>0</v>
      </c>
      <c r="G41" s="13">
        <v>0</v>
      </c>
      <c r="H41" s="13">
        <f>F41*Calculation!I19/Calculation!K18</f>
        <v>0</v>
      </c>
      <c r="I41" s="13">
        <f>G41*Calculation!I19/Calculation!K18</f>
        <v>0</v>
      </c>
      <c r="J41" s="13">
        <v>28.002875193886432</v>
      </c>
      <c r="K41" s="13">
        <v>6.9346282222310651E-2</v>
      </c>
      <c r="L41" s="13">
        <f>J41*Calculation!I19/Calculation!K18</f>
        <v>28.745108369355012</v>
      </c>
      <c r="M41" s="13">
        <f>K41*Calculation!I19/Calculation!K18</f>
        <v>7.1184347453271055E-2</v>
      </c>
      <c r="N41" s="13">
        <v>0</v>
      </c>
      <c r="O41" s="13">
        <v>0</v>
      </c>
      <c r="P41" s="13">
        <f>N41*Calculation!I19/Calculation!K18</f>
        <v>0</v>
      </c>
      <c r="Q41" s="13">
        <f>O41*Calculation!I19/Calculation!K18</f>
        <v>0</v>
      </c>
    </row>
    <row r="42" spans="4:17">
      <c r="D42" s="16">
        <v>16</v>
      </c>
      <c r="E42" s="72">
        <v>30</v>
      </c>
      <c r="F42" s="13">
        <v>0</v>
      </c>
      <c r="G42" s="13">
        <v>0</v>
      </c>
      <c r="H42" s="13">
        <f>F42*Calculation!I20/Calculation!K19</f>
        <v>0</v>
      </c>
      <c r="I42" s="13">
        <f>G42*Calculation!I20/Calculation!K19</f>
        <v>0</v>
      </c>
      <c r="J42" s="13">
        <v>28.630878069080314</v>
      </c>
      <c r="K42" s="13">
        <v>0.15113671815865029</v>
      </c>
      <c r="L42" s="13">
        <f>J42*Calculation!I20/Calculation!K19</f>
        <v>29.389756841296776</v>
      </c>
      <c r="M42" s="13">
        <f>K42*Calculation!I20/Calculation!K19</f>
        <v>0.15514268845534634</v>
      </c>
      <c r="N42" s="13">
        <v>0</v>
      </c>
      <c r="O42" s="13">
        <v>0</v>
      </c>
      <c r="P42" s="13">
        <f>N42*Calculation!I20/Calculation!K19</f>
        <v>0</v>
      </c>
      <c r="Q42" s="13">
        <f>O42*Calculation!I20/Calculation!K19</f>
        <v>0</v>
      </c>
    </row>
    <row r="43" spans="4:17">
      <c r="D43" s="16">
        <v>17</v>
      </c>
      <c r="E43" s="72">
        <v>48</v>
      </c>
      <c r="F43" s="13">
        <v>0</v>
      </c>
      <c r="G43" s="13">
        <v>0</v>
      </c>
      <c r="H43" s="13">
        <f>F43*Calculation!I21/Calculation!K20</f>
        <v>0</v>
      </c>
      <c r="I43" s="13">
        <f>G43*Calculation!I21/Calculation!K20</f>
        <v>0</v>
      </c>
      <c r="J43" s="13">
        <v>29.27401354367646</v>
      </c>
      <c r="K43" s="13">
        <v>0.19305187942606844</v>
      </c>
      <c r="L43" s="13">
        <f>J43*Calculation!I21/Calculation!K20</f>
        <v>30.090712334303827</v>
      </c>
      <c r="M43" s="13">
        <f>K43*Calculation!I21/Calculation!K20</f>
        <v>0.19843772227335604</v>
      </c>
      <c r="N43" s="13">
        <v>0</v>
      </c>
      <c r="O43" s="13">
        <v>0</v>
      </c>
      <c r="P43" s="13">
        <f>N43*Calculation!I21/Calculation!K20</f>
        <v>0</v>
      </c>
      <c r="Q43" s="13">
        <f>O43*Calculation!I21/Calculation!K20</f>
        <v>0</v>
      </c>
    </row>
  </sheetData>
  <mergeCells count="14">
    <mergeCell ref="R1:U1"/>
    <mergeCell ref="D1:D2"/>
    <mergeCell ref="E1:E2"/>
    <mergeCell ref="F1:I1"/>
    <mergeCell ref="J1:M1"/>
    <mergeCell ref="F23:I23"/>
    <mergeCell ref="J23:M23"/>
    <mergeCell ref="N23:Q23"/>
    <mergeCell ref="N1:Q1"/>
    <mergeCell ref="A1:B1"/>
    <mergeCell ref="A2:B2"/>
    <mergeCell ref="A3:A4"/>
    <mergeCell ref="D23:D24"/>
    <mergeCell ref="E23:E2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5"/>
  <sheetViews>
    <sheetView topLeftCell="A4" workbookViewId="0">
      <selection activeCell="D21" sqref="D21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8" t="s">
        <v>35</v>
      </c>
      <c r="B1" s="28" t="s">
        <v>61</v>
      </c>
    </row>
    <row r="2" spans="1:8">
      <c r="A2" s="28" t="s">
        <v>143</v>
      </c>
      <c r="B2" s="17">
        <v>180.16</v>
      </c>
    </row>
    <row r="4" spans="1:8">
      <c r="A4" s="145" t="s">
        <v>144</v>
      </c>
      <c r="B4" s="146"/>
      <c r="C4" s="146"/>
      <c r="D4" s="146"/>
      <c r="E4" s="146"/>
      <c r="F4" s="146"/>
      <c r="G4" s="146"/>
      <c r="H4" s="147"/>
    </row>
    <row r="5" spans="1:8">
      <c r="A5" s="148" t="s">
        <v>62</v>
      </c>
      <c r="B5" s="146"/>
      <c r="C5" s="147"/>
      <c r="D5" s="149" t="s">
        <v>45</v>
      </c>
      <c r="E5" s="149" t="s">
        <v>46</v>
      </c>
      <c r="F5" s="149" t="s">
        <v>47</v>
      </c>
      <c r="G5" s="151" t="s">
        <v>63</v>
      </c>
      <c r="H5" s="151" t="s">
        <v>64</v>
      </c>
    </row>
    <row r="6" spans="1:8">
      <c r="A6" s="29" t="s">
        <v>4</v>
      </c>
      <c r="B6" s="29" t="s">
        <v>5</v>
      </c>
      <c r="C6" s="29" t="s">
        <v>19</v>
      </c>
      <c r="D6" s="150"/>
      <c r="E6" s="150"/>
      <c r="F6" s="150"/>
      <c r="G6" s="152"/>
      <c r="H6" s="152"/>
    </row>
    <row r="7" spans="1:8">
      <c r="A7" s="16">
        <v>0</v>
      </c>
      <c r="B7" s="69">
        <v>-0.16666666666666666</v>
      </c>
      <c r="C7" s="16">
        <v>2</v>
      </c>
      <c r="D7" s="19">
        <v>4.516</v>
      </c>
      <c r="E7" s="16">
        <v>4.5419999999999998</v>
      </c>
      <c r="F7" s="16">
        <v>4.524</v>
      </c>
      <c r="G7" s="19">
        <f>(C7*1000*AVERAGE(D7:F7)/$B$2)</f>
        <v>50.259029011249268</v>
      </c>
      <c r="H7" s="19">
        <f>(C7*1000*STDEV(D7:F7))/$B$2</f>
        <v>0.14783144135167267</v>
      </c>
    </row>
    <row r="8" spans="1:8">
      <c r="A8" s="16">
        <v>0</v>
      </c>
      <c r="B8" s="72">
        <v>0.16666666666666666</v>
      </c>
      <c r="C8" s="16">
        <v>2</v>
      </c>
      <c r="D8" s="16">
        <v>4.4509999999999996</v>
      </c>
      <c r="E8" s="16">
        <v>4.4619999999999997</v>
      </c>
      <c r="F8" s="16">
        <v>4.4539999999999997</v>
      </c>
      <c r="G8" s="19">
        <f t="shared" ref="G8:G17" si="0">(C8*1000*AVERAGE(D8:F8))/$B$2</f>
        <v>49.463439905269396</v>
      </c>
      <c r="H8" s="19">
        <f t="shared" ref="H8:H17" si="1">(C8*1000*STDEV(D8:F8))/$B$2</f>
        <v>6.3124341730432701E-2</v>
      </c>
    </row>
    <row r="9" spans="1:8">
      <c r="A9" s="16">
        <v>1</v>
      </c>
      <c r="B9" s="72">
        <v>2</v>
      </c>
      <c r="C9" s="16">
        <v>2</v>
      </c>
      <c r="D9" s="19">
        <v>4.4660000000000002</v>
      </c>
      <c r="E9" s="16">
        <v>4.4640000000000004</v>
      </c>
      <c r="F9" s="19">
        <v>4.46</v>
      </c>
      <c r="G9" s="19">
        <f t="shared" si="0"/>
        <v>49.548549437537012</v>
      </c>
      <c r="H9" s="19">
        <f t="shared" si="1"/>
        <v>3.3914858606838828E-2</v>
      </c>
    </row>
    <row r="10" spans="1:8">
      <c r="A10" s="16">
        <v>2</v>
      </c>
      <c r="B10" s="72">
        <v>3.3333333333333335</v>
      </c>
      <c r="C10" s="16">
        <v>2</v>
      </c>
      <c r="D10" s="16">
        <v>4.4610000000000003</v>
      </c>
      <c r="E10" s="16">
        <v>4.4660000000000002</v>
      </c>
      <c r="F10" s="16">
        <v>4.4219999999999997</v>
      </c>
      <c r="G10" s="19">
        <f t="shared" si="0"/>
        <v>49.396832445233862</v>
      </c>
      <c r="H10" s="19">
        <f t="shared" si="1"/>
        <v>0.26743015786197277</v>
      </c>
    </row>
    <row r="11" spans="1:8">
      <c r="A11" s="16">
        <v>3</v>
      </c>
      <c r="B11" s="72">
        <v>4.666666666666667</v>
      </c>
      <c r="C11" s="16">
        <v>2</v>
      </c>
      <c r="D11" s="16">
        <v>4.4779999999999998</v>
      </c>
      <c r="E11" s="16">
        <v>4.4630000000000001</v>
      </c>
      <c r="F11" s="16">
        <v>4.4710000000000001</v>
      </c>
      <c r="G11" s="19">
        <f t="shared" si="0"/>
        <v>49.629958555358193</v>
      </c>
      <c r="H11" s="19">
        <f t="shared" si="1"/>
        <v>8.3320975793350113E-2</v>
      </c>
    </row>
    <row r="12" spans="1:8">
      <c r="A12" s="16">
        <v>4</v>
      </c>
      <c r="B12" s="72">
        <v>6</v>
      </c>
      <c r="C12" s="16">
        <v>2</v>
      </c>
      <c r="D12" s="16">
        <v>4.4370000000000003</v>
      </c>
      <c r="E12" s="16">
        <v>4.4320000000000004</v>
      </c>
      <c r="F12" s="16">
        <v>4.4779999999999998</v>
      </c>
      <c r="G12" s="19">
        <f t="shared" si="0"/>
        <v>49.389431616341028</v>
      </c>
      <c r="H12" s="19">
        <f t="shared" si="1"/>
        <v>0.28018271456757982</v>
      </c>
    </row>
    <row r="13" spans="1:8">
      <c r="A13" s="16">
        <v>5</v>
      </c>
      <c r="B13" s="72">
        <v>7.333333333333333</v>
      </c>
      <c r="C13" s="16">
        <v>2</v>
      </c>
      <c r="D13" s="19">
        <v>4.4240000000000004</v>
      </c>
      <c r="E13" s="16">
        <v>4.4800000000000004</v>
      </c>
      <c r="F13" s="16">
        <v>4.5</v>
      </c>
      <c r="G13" s="19">
        <f t="shared" si="0"/>
        <v>49.600355239786857</v>
      </c>
      <c r="H13" s="19">
        <f t="shared" si="1"/>
        <v>0.43733826828579353</v>
      </c>
    </row>
    <row r="14" spans="1:8">
      <c r="A14" s="16">
        <v>6</v>
      </c>
      <c r="B14" s="72">
        <v>8.6666666666666661</v>
      </c>
      <c r="C14" s="16">
        <v>2</v>
      </c>
      <c r="D14" s="16">
        <v>4.4219999999999997</v>
      </c>
      <c r="E14" s="16">
        <v>4.4660000000000002</v>
      </c>
      <c r="F14" s="16">
        <v>4.4669999999999996</v>
      </c>
      <c r="G14" s="19">
        <f t="shared" si="0"/>
        <v>49.419034931912378</v>
      </c>
      <c r="H14" s="19">
        <f t="shared" si="1"/>
        <v>0.28526811533759799</v>
      </c>
    </row>
    <row r="15" spans="1:8">
      <c r="A15" s="16">
        <v>7</v>
      </c>
      <c r="B15" s="72">
        <v>10</v>
      </c>
      <c r="C15" s="16">
        <v>2</v>
      </c>
      <c r="D15" s="16">
        <v>4.3940000000000001</v>
      </c>
      <c r="E15" s="16">
        <v>4.3719999999999999</v>
      </c>
      <c r="F15" s="19">
        <v>4.38</v>
      </c>
      <c r="G15" s="19">
        <f t="shared" si="0"/>
        <v>48.645648312611023</v>
      </c>
      <c r="H15" s="19">
        <f t="shared" si="1"/>
        <v>0.12361821409480654</v>
      </c>
    </row>
    <row r="16" spans="1:8">
      <c r="A16" s="16">
        <v>8</v>
      </c>
      <c r="B16" s="72">
        <v>11.333333333333334</v>
      </c>
      <c r="C16" s="16">
        <v>2</v>
      </c>
      <c r="D16" s="16">
        <v>4.2779999999999996</v>
      </c>
      <c r="E16" s="16">
        <v>4.319</v>
      </c>
      <c r="F16" s="16">
        <v>4.2930000000000001</v>
      </c>
      <c r="G16" s="19">
        <f t="shared" si="0"/>
        <v>47.698342214328008</v>
      </c>
      <c r="H16" s="19">
        <f t="shared" si="1"/>
        <v>0.23028948908380287</v>
      </c>
    </row>
    <row r="17" spans="1:8">
      <c r="A17" s="16">
        <v>9</v>
      </c>
      <c r="B17" s="72">
        <v>12.666666666666666</v>
      </c>
      <c r="C17" s="16">
        <v>2</v>
      </c>
      <c r="D17" s="19">
        <v>4.109</v>
      </c>
      <c r="E17" s="16">
        <v>4.1260000000000003</v>
      </c>
      <c r="F17" s="16">
        <v>4.2130000000000001</v>
      </c>
      <c r="G17" s="19">
        <f t="shared" si="0"/>
        <v>46.062759029011254</v>
      </c>
      <c r="H17" s="19">
        <f t="shared" si="1"/>
        <v>0.61931938597550795</v>
      </c>
    </row>
    <row r="18" spans="1:8">
      <c r="A18" s="16">
        <v>10</v>
      </c>
      <c r="B18" s="72">
        <v>14</v>
      </c>
      <c r="C18" s="16">
        <v>2</v>
      </c>
      <c r="D18" s="19">
        <v>3.8039999999999998</v>
      </c>
      <c r="E18" s="16">
        <v>3.8450000000000002</v>
      </c>
      <c r="F18" s="16">
        <v>3.8130000000000002</v>
      </c>
      <c r="G18" s="19">
        <f t="shared" ref="G18:G23" si="2">(C18*1000*AVERAGE(D18:F18))/$B$2</f>
        <v>42.414150384843104</v>
      </c>
      <c r="H18" s="19">
        <f t="shared" ref="H18:H23" si="3">(C18*1000*STDEV(D18:F18))/$B$2</f>
        <v>0.23921397807717731</v>
      </c>
    </row>
    <row r="19" spans="1:8">
      <c r="A19" s="16">
        <v>11</v>
      </c>
      <c r="B19" s="72">
        <v>15.333333333333334</v>
      </c>
      <c r="C19" s="16">
        <v>2</v>
      </c>
      <c r="D19" s="16">
        <v>3.1619999999999999</v>
      </c>
      <c r="E19" s="16">
        <v>3.2639999999999998</v>
      </c>
      <c r="F19" s="16">
        <v>3.3650000000000002</v>
      </c>
      <c r="G19" s="19">
        <f t="shared" si="2"/>
        <v>36.230757844878632</v>
      </c>
      <c r="H19" s="19">
        <f t="shared" si="3"/>
        <v>1.126780756085715</v>
      </c>
    </row>
    <row r="20" spans="1:8">
      <c r="A20" s="16">
        <v>12</v>
      </c>
      <c r="B20" s="72">
        <v>16.666666666666668</v>
      </c>
      <c r="C20" s="16">
        <v>2</v>
      </c>
      <c r="D20" s="16">
        <v>3.044</v>
      </c>
      <c r="E20" s="16">
        <v>3.069</v>
      </c>
      <c r="F20" s="19">
        <v>3.05</v>
      </c>
      <c r="G20" s="19">
        <f t="shared" si="2"/>
        <v>33.906897572528123</v>
      </c>
      <c r="H20" s="19">
        <f t="shared" si="3"/>
        <v>0.14488433947936555</v>
      </c>
    </row>
    <row r="21" spans="1:8">
      <c r="A21" s="16">
        <v>13</v>
      </c>
      <c r="B21" s="72">
        <v>18</v>
      </c>
      <c r="C21" s="16">
        <v>2</v>
      </c>
      <c r="D21" s="16">
        <v>2.7690000000000001</v>
      </c>
      <c r="E21" s="19">
        <v>2.6459999999999999</v>
      </c>
      <c r="F21" s="16">
        <v>2.964</v>
      </c>
      <c r="G21" s="19">
        <f t="shared" si="2"/>
        <v>31.005772646536407</v>
      </c>
      <c r="H21" s="19">
        <f t="shared" si="3"/>
        <v>1.7801147444350935</v>
      </c>
    </row>
    <row r="22" spans="1:8">
      <c r="A22" s="16">
        <v>14</v>
      </c>
      <c r="B22" s="72">
        <v>19.333333333333332</v>
      </c>
      <c r="C22" s="16">
        <v>2</v>
      </c>
      <c r="D22" s="16">
        <v>2.5760000000000001</v>
      </c>
      <c r="E22" s="16">
        <v>2.617</v>
      </c>
      <c r="F22" s="16">
        <v>2.59</v>
      </c>
      <c r="G22" s="19">
        <f t="shared" si="2"/>
        <v>28.800325636471282</v>
      </c>
      <c r="H22" s="19">
        <f t="shared" si="3"/>
        <v>0.23135729769598243</v>
      </c>
    </row>
    <row r="23" spans="1:8">
      <c r="A23" s="16">
        <v>15</v>
      </c>
      <c r="B23" s="72">
        <v>24</v>
      </c>
      <c r="C23" s="16">
        <v>2</v>
      </c>
      <c r="D23" s="16">
        <v>2.4079999999999999</v>
      </c>
      <c r="E23" s="16">
        <v>2.4380000000000002</v>
      </c>
      <c r="F23" s="16">
        <v>2.419</v>
      </c>
      <c r="G23" s="19">
        <f t="shared" si="2"/>
        <v>26.883510953226764</v>
      </c>
      <c r="H23" s="19">
        <f t="shared" si="3"/>
        <v>0.16848064591226025</v>
      </c>
    </row>
    <row r="24" spans="1:8">
      <c r="A24" s="16">
        <v>16</v>
      </c>
      <c r="B24" s="72">
        <v>30</v>
      </c>
      <c r="C24" s="16">
        <v>2</v>
      </c>
      <c r="D24" s="16">
        <v>2.3380000000000001</v>
      </c>
      <c r="E24" s="16">
        <v>2.3650000000000002</v>
      </c>
      <c r="F24" s="16">
        <v>2.355</v>
      </c>
      <c r="G24" s="19">
        <f t="shared" ref="G24:G25" si="4">(C24*1000*AVERAGE(D24:F24))/$B$2</f>
        <v>26.117525162818236</v>
      </c>
      <c r="H24" s="19">
        <f t="shared" ref="H24:H25" si="5">(C24*1000*STDEV(D24:F24))/$B$2</f>
        <v>0.15153637677207926</v>
      </c>
    </row>
    <row r="25" spans="1:8">
      <c r="A25" s="16">
        <v>17</v>
      </c>
      <c r="B25" s="72">
        <v>48</v>
      </c>
      <c r="C25" s="16">
        <v>2</v>
      </c>
      <c r="D25" s="16">
        <v>2.2890000000000001</v>
      </c>
      <c r="E25" s="16">
        <v>2.306</v>
      </c>
      <c r="F25" s="16">
        <v>2.298</v>
      </c>
      <c r="G25" s="19">
        <f t="shared" si="4"/>
        <v>25.506956779159271</v>
      </c>
      <c r="H25" s="19">
        <f t="shared" si="5"/>
        <v>9.4414970560783018E-2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5"/>
  <sheetViews>
    <sheetView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8" t="s">
        <v>35</v>
      </c>
      <c r="B1" s="28" t="s">
        <v>61</v>
      </c>
    </row>
    <row r="2" spans="1:8">
      <c r="A2" s="28" t="s">
        <v>65</v>
      </c>
      <c r="B2" s="17">
        <v>46.03</v>
      </c>
    </row>
    <row r="4" spans="1:8">
      <c r="A4" s="145" t="s">
        <v>65</v>
      </c>
      <c r="B4" s="146"/>
      <c r="C4" s="146"/>
      <c r="D4" s="146"/>
      <c r="E4" s="146"/>
      <c r="F4" s="146"/>
      <c r="G4" s="146"/>
      <c r="H4" s="147"/>
    </row>
    <row r="5" spans="1:8">
      <c r="A5" s="148" t="s">
        <v>62</v>
      </c>
      <c r="B5" s="146"/>
      <c r="C5" s="147"/>
      <c r="D5" s="149" t="s">
        <v>45</v>
      </c>
      <c r="E5" s="149" t="s">
        <v>46</v>
      </c>
      <c r="F5" s="149" t="s">
        <v>47</v>
      </c>
      <c r="G5" s="151" t="s">
        <v>63</v>
      </c>
      <c r="H5" s="151" t="s">
        <v>64</v>
      </c>
    </row>
    <row r="6" spans="1:8">
      <c r="A6" s="29" t="s">
        <v>4</v>
      </c>
      <c r="B6" s="29" t="s">
        <v>60</v>
      </c>
      <c r="C6" s="29" t="s">
        <v>19</v>
      </c>
      <c r="D6" s="150"/>
      <c r="E6" s="150"/>
      <c r="F6" s="150"/>
      <c r="G6" s="152"/>
      <c r="H6" s="152"/>
    </row>
    <row r="7" spans="1:8">
      <c r="A7" s="73">
        <v>0</v>
      </c>
      <c r="B7" s="69">
        <v>0</v>
      </c>
      <c r="C7" s="16">
        <v>2</v>
      </c>
      <c r="D7" s="57">
        <v>7.0000000000000001E-3</v>
      </c>
      <c r="E7" s="57">
        <v>0.01</v>
      </c>
      <c r="F7" s="57">
        <v>6.0000000000000001E-3</v>
      </c>
      <c r="G7" s="16">
        <f>(C7*1000*AVERAGE(D7:F7))/$B$2</f>
        <v>0.33311608371352014</v>
      </c>
      <c r="H7" s="19">
        <f t="shared" ref="H7:H9" si="0">(C7*1000*STDEV(D7:F7))/$B$2</f>
        <v>9.0448229392402019E-2</v>
      </c>
    </row>
    <row r="8" spans="1:8">
      <c r="A8" s="74">
        <v>0</v>
      </c>
      <c r="B8" s="72">
        <v>0</v>
      </c>
      <c r="C8" s="16">
        <v>2</v>
      </c>
      <c r="D8" s="57">
        <v>1.2999999999999999E-2</v>
      </c>
      <c r="E8" s="57">
        <v>8.0000000000000002E-3</v>
      </c>
      <c r="F8" s="57">
        <v>1.6E-2</v>
      </c>
      <c r="G8" s="16">
        <f t="shared" ref="G8:G10" si="1">(C8*1000*AVERAGE(D8:F8))/$B$2</f>
        <v>0.53588239553914119</v>
      </c>
      <c r="H8" s="19">
        <f t="shared" si="0"/>
        <v>0.17560077707266483</v>
      </c>
    </row>
    <row r="9" spans="1:8">
      <c r="A9" s="74">
        <v>1</v>
      </c>
      <c r="B9" s="72">
        <v>2</v>
      </c>
      <c r="C9" s="16">
        <v>2</v>
      </c>
      <c r="D9" s="57">
        <v>1.2E-2</v>
      </c>
      <c r="E9" s="57">
        <v>0.01</v>
      </c>
      <c r="F9" s="57">
        <v>1.2999999999999999E-2</v>
      </c>
      <c r="G9" s="16">
        <f t="shared" si="1"/>
        <v>0.50691577956405243</v>
      </c>
      <c r="H9" s="19">
        <f t="shared" si="0"/>
        <v>6.6370855166280524E-2</v>
      </c>
    </row>
    <row r="10" spans="1:8">
      <c r="A10" s="74">
        <v>2</v>
      </c>
      <c r="B10" s="72">
        <v>3</v>
      </c>
      <c r="C10" s="16">
        <v>2</v>
      </c>
      <c r="D10" s="57">
        <v>1.6E-2</v>
      </c>
      <c r="E10" s="57">
        <v>8.0000000000000002E-3</v>
      </c>
      <c r="F10" s="57">
        <v>7.0000000000000001E-3</v>
      </c>
      <c r="G10" s="16">
        <f t="shared" si="1"/>
        <v>0.44898254761387502</v>
      </c>
      <c r="H10" s="19">
        <f t="shared" ref="H10:H23" si="2">(C10*1000*STDEV(D10:F10))/$B$2</f>
        <v>0.21433338528421664</v>
      </c>
    </row>
    <row r="11" spans="1:8">
      <c r="A11" s="74">
        <v>3</v>
      </c>
      <c r="B11" s="72">
        <v>5</v>
      </c>
      <c r="C11" s="16">
        <v>2</v>
      </c>
      <c r="D11" s="57">
        <v>1.4E-2</v>
      </c>
      <c r="E11" s="57">
        <v>1.0999999999999999E-2</v>
      </c>
      <c r="F11" s="57">
        <v>5.0000000000000001E-3</v>
      </c>
      <c r="G11" s="16">
        <f t="shared" ref="G11:G23" si="3">(C11*1000*AVERAGE(D11:F11))/$B$2</f>
        <v>0.43449923962633064</v>
      </c>
      <c r="H11" s="19">
        <f t="shared" si="2"/>
        <v>0.19911256549884146</v>
      </c>
    </row>
    <row r="12" spans="1:8">
      <c r="A12" s="74">
        <v>4</v>
      </c>
      <c r="B12" s="72">
        <v>6</v>
      </c>
      <c r="C12" s="16">
        <v>2</v>
      </c>
      <c r="D12" s="57">
        <v>6.0000000000000001E-3</v>
      </c>
      <c r="E12" s="57">
        <v>0.01</v>
      </c>
      <c r="F12" s="57">
        <v>8.0000000000000002E-3</v>
      </c>
      <c r="G12" s="16">
        <f t="shared" si="3"/>
        <v>0.34759939170106452</v>
      </c>
      <c r="H12" s="19">
        <f t="shared" si="2"/>
        <v>8.689984792526613E-2</v>
      </c>
    </row>
    <row r="13" spans="1:8">
      <c r="A13" s="74">
        <v>5</v>
      </c>
      <c r="B13" s="72">
        <v>7</v>
      </c>
      <c r="C13" s="16">
        <v>2</v>
      </c>
      <c r="D13" s="57">
        <v>3.0000000000000001E-3</v>
      </c>
      <c r="E13" s="57">
        <v>3.0000000000000001E-3</v>
      </c>
      <c r="F13" s="57">
        <v>3.0000000000000001E-3</v>
      </c>
      <c r="G13" s="16">
        <f t="shared" si="3"/>
        <v>0.1303497718878992</v>
      </c>
      <c r="H13" s="19">
        <f t="shared" si="2"/>
        <v>2.3078358467143002E-17</v>
      </c>
    </row>
    <row r="14" spans="1:8">
      <c r="A14" s="74">
        <v>6</v>
      </c>
      <c r="B14" s="72">
        <v>9</v>
      </c>
      <c r="C14" s="16">
        <v>2</v>
      </c>
      <c r="D14" s="57">
        <v>5.0000000000000001E-3</v>
      </c>
      <c r="E14" s="57">
        <v>3.0000000000000001E-3</v>
      </c>
      <c r="F14" s="57">
        <v>3.0000000000000001E-3</v>
      </c>
      <c r="G14" s="16">
        <f t="shared" si="3"/>
        <v>0.15931638786298791</v>
      </c>
      <c r="H14" s="19">
        <f t="shared" si="2"/>
        <v>5.0171650592189948E-2</v>
      </c>
    </row>
    <row r="15" spans="1:8">
      <c r="A15" s="74">
        <v>7</v>
      </c>
      <c r="B15" s="72">
        <v>10</v>
      </c>
      <c r="C15" s="16">
        <v>2</v>
      </c>
      <c r="D15" s="57">
        <v>1.2E-2</v>
      </c>
      <c r="E15" s="57">
        <v>0.01</v>
      </c>
      <c r="F15" s="57">
        <v>8.0000000000000002E-3</v>
      </c>
      <c r="G15" s="16">
        <f t="shared" si="3"/>
        <v>0.43449923962633064</v>
      </c>
      <c r="H15" s="19">
        <f t="shared" si="2"/>
        <v>8.689984792526613E-2</v>
      </c>
    </row>
    <row r="16" spans="1:8">
      <c r="A16" s="74">
        <v>8</v>
      </c>
      <c r="B16" s="72">
        <v>11</v>
      </c>
      <c r="C16" s="16">
        <v>2</v>
      </c>
      <c r="D16" s="57">
        <v>3.4000000000000002E-2</v>
      </c>
      <c r="E16" s="57">
        <v>3.1E-2</v>
      </c>
      <c r="F16" s="57">
        <v>2.9000000000000001E-2</v>
      </c>
      <c r="G16" s="16">
        <f t="shared" si="3"/>
        <v>1.3614309508291693</v>
      </c>
      <c r="H16" s="19">
        <f t="shared" si="2"/>
        <v>0.10934657738099431</v>
      </c>
    </row>
    <row r="17" spans="1:8">
      <c r="A17" s="74">
        <v>9</v>
      </c>
      <c r="B17" s="72">
        <v>13</v>
      </c>
      <c r="C17" s="16">
        <v>2</v>
      </c>
      <c r="D17" s="57">
        <v>7.9000000000000001E-2</v>
      </c>
      <c r="E17" s="57">
        <v>7.4999999999999997E-2</v>
      </c>
      <c r="F17" s="57">
        <v>8.8999999999999996E-2</v>
      </c>
      <c r="G17" s="16">
        <f t="shared" si="3"/>
        <v>3.519443840973278</v>
      </c>
      <c r="H17" s="19">
        <f t="shared" si="2"/>
        <v>0.31332185752456992</v>
      </c>
    </row>
    <row r="18" spans="1:8">
      <c r="A18" s="74">
        <v>10</v>
      </c>
      <c r="B18" s="72">
        <v>14</v>
      </c>
      <c r="C18" s="16">
        <v>2</v>
      </c>
      <c r="D18" s="57">
        <v>0.14000000000000001</v>
      </c>
      <c r="E18" s="57">
        <v>0.14299999999999999</v>
      </c>
      <c r="F18" s="57">
        <v>0.13600000000000001</v>
      </c>
      <c r="G18" s="16">
        <f t="shared" si="3"/>
        <v>6.0685060467810858</v>
      </c>
      <c r="H18" s="19">
        <f t="shared" si="2"/>
        <v>0.1525911181526933</v>
      </c>
    </row>
    <row r="19" spans="1:8">
      <c r="A19" s="74">
        <v>11</v>
      </c>
      <c r="B19" s="72">
        <v>15</v>
      </c>
      <c r="C19" s="16">
        <v>2</v>
      </c>
      <c r="D19" s="57">
        <v>0.218</v>
      </c>
      <c r="E19" s="57">
        <v>0.22700000000000001</v>
      </c>
      <c r="F19" s="57">
        <v>0.312</v>
      </c>
      <c r="G19" s="16">
        <f t="shared" si="3"/>
        <v>10.963864146571076</v>
      </c>
      <c r="H19" s="19">
        <f t="shared" si="2"/>
        <v>2.2536790474855519</v>
      </c>
    </row>
    <row r="20" spans="1:8">
      <c r="A20" s="74">
        <v>12</v>
      </c>
      <c r="B20" s="72">
        <v>17</v>
      </c>
      <c r="C20" s="16">
        <v>2</v>
      </c>
      <c r="D20" s="57">
        <v>0.32100000000000001</v>
      </c>
      <c r="E20" s="57">
        <v>0.41699999999999998</v>
      </c>
      <c r="F20" s="57">
        <v>0.39900000000000002</v>
      </c>
      <c r="G20" s="16">
        <f t="shared" si="3"/>
        <v>16.467521181837931</v>
      </c>
      <c r="H20" s="19">
        <f t="shared" si="2"/>
        <v>2.2172236927522277</v>
      </c>
    </row>
    <row r="21" spans="1:8">
      <c r="A21" s="74">
        <v>13</v>
      </c>
      <c r="B21" s="72">
        <v>18</v>
      </c>
      <c r="C21" s="16">
        <v>2</v>
      </c>
      <c r="D21" s="57">
        <v>0.372</v>
      </c>
      <c r="E21" s="57">
        <v>0.433</v>
      </c>
      <c r="F21" s="57">
        <v>0.46100000000000002</v>
      </c>
      <c r="G21" s="16">
        <f t="shared" si="3"/>
        <v>18.335867912231151</v>
      </c>
      <c r="H21" s="19">
        <f t="shared" si="2"/>
        <v>1.9773296116415826</v>
      </c>
    </row>
    <row r="22" spans="1:8">
      <c r="A22" s="74">
        <v>14</v>
      </c>
      <c r="B22" s="72">
        <v>19</v>
      </c>
      <c r="C22" s="16">
        <v>2</v>
      </c>
      <c r="D22" s="57">
        <v>0.45300000000000001</v>
      </c>
      <c r="E22" s="57">
        <v>0.45600000000000002</v>
      </c>
      <c r="F22" s="57">
        <v>0.496</v>
      </c>
      <c r="G22" s="16">
        <f t="shared" si="3"/>
        <v>20.349047722499819</v>
      </c>
      <c r="H22" s="19">
        <f t="shared" si="2"/>
        <v>1.0430998670450187</v>
      </c>
    </row>
    <row r="23" spans="1:8">
      <c r="A23" s="74">
        <v>15</v>
      </c>
      <c r="B23" s="72">
        <v>24</v>
      </c>
      <c r="C23" s="16">
        <v>2</v>
      </c>
      <c r="D23" s="57">
        <v>0.53700000000000003</v>
      </c>
      <c r="E23" s="57">
        <v>0.50900000000000001</v>
      </c>
      <c r="F23" s="57">
        <v>0.501</v>
      </c>
      <c r="G23" s="16">
        <f t="shared" si="3"/>
        <v>22.405677456731119</v>
      </c>
      <c r="H23" s="19">
        <f t="shared" si="2"/>
        <v>0.82134531848839665</v>
      </c>
    </row>
    <row r="24" spans="1:8">
      <c r="A24" s="74">
        <v>16</v>
      </c>
      <c r="B24" s="72">
        <v>30</v>
      </c>
      <c r="C24" s="16">
        <v>2</v>
      </c>
      <c r="D24" s="57">
        <v>0.501</v>
      </c>
      <c r="E24" s="57">
        <v>0.501</v>
      </c>
      <c r="F24" s="57">
        <v>0.503</v>
      </c>
      <c r="G24" s="16">
        <f t="shared" ref="G24" si="4">(C24*1000*AVERAGE(D24:F24))/$B$2</f>
        <v>21.797378521254249</v>
      </c>
      <c r="H24" s="19">
        <f t="shared" ref="H24" si="5">(C24*1000*STDEV(D24:F24))/$B$2</f>
        <v>5.017165059218999E-2</v>
      </c>
    </row>
    <row r="25" spans="1:8">
      <c r="A25" s="74">
        <v>17</v>
      </c>
      <c r="B25" s="72">
        <v>48</v>
      </c>
      <c r="C25" s="16">
        <v>2</v>
      </c>
      <c r="D25" s="57">
        <v>0.499</v>
      </c>
      <c r="E25" s="57">
        <v>0.50900000000000001</v>
      </c>
      <c r="F25" s="57">
        <v>0.503</v>
      </c>
      <c r="G25" s="16">
        <f>(C25*1000*AVERAGE(E25:F25))/$B$2</f>
        <v>21.985661525092329</v>
      </c>
      <c r="H25" s="19">
        <f>(C25*1000*STDEV(E25:F25))/$B$2</f>
        <v>0.18434241525610642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43</v>
      </c>
      <c r="B2" s="17">
        <v>60.05</v>
      </c>
    </row>
    <row r="4" spans="1:8">
      <c r="A4" s="145" t="s">
        <v>43</v>
      </c>
      <c r="B4" s="146"/>
      <c r="C4" s="146"/>
      <c r="D4" s="146"/>
      <c r="E4" s="146"/>
      <c r="F4" s="146"/>
      <c r="G4" s="146"/>
      <c r="H4" s="147"/>
    </row>
    <row r="5" spans="1:8">
      <c r="A5" s="148" t="s">
        <v>62</v>
      </c>
      <c r="B5" s="146"/>
      <c r="C5" s="147"/>
      <c r="D5" s="149" t="s">
        <v>45</v>
      </c>
      <c r="E5" s="149" t="s">
        <v>46</v>
      </c>
      <c r="F5" s="149" t="s">
        <v>47</v>
      </c>
      <c r="G5" s="151" t="s">
        <v>63</v>
      </c>
      <c r="H5" s="151" t="s">
        <v>64</v>
      </c>
    </row>
    <row r="6" spans="1:8">
      <c r="A6" s="22" t="s">
        <v>4</v>
      </c>
      <c r="B6" s="22" t="s">
        <v>60</v>
      </c>
      <c r="C6" s="22" t="s">
        <v>19</v>
      </c>
      <c r="D6" s="150"/>
      <c r="E6" s="150"/>
      <c r="F6" s="150"/>
      <c r="G6" s="152"/>
      <c r="H6" s="152"/>
    </row>
    <row r="7" spans="1:8">
      <c r="A7" s="73">
        <v>0</v>
      </c>
      <c r="B7" s="69">
        <v>0</v>
      </c>
      <c r="C7" s="16">
        <v>2</v>
      </c>
      <c r="D7" s="19">
        <v>1.4059999999999999</v>
      </c>
      <c r="E7" s="19">
        <v>1.444</v>
      </c>
      <c r="F7" s="19">
        <v>1.4419999999999999</v>
      </c>
      <c r="G7" s="16">
        <f>(C7*1000*AVERAGE(D7:F7))/$B$2</f>
        <v>47.649181237857341</v>
      </c>
      <c r="H7" s="19">
        <f>(C7*1000*STDEV(D7:F7))/$B$2</f>
        <v>0.7122515651332979</v>
      </c>
    </row>
    <row r="8" spans="1:8">
      <c r="A8" s="74">
        <v>0</v>
      </c>
      <c r="B8" s="72">
        <v>0</v>
      </c>
      <c r="C8" s="16">
        <v>2</v>
      </c>
      <c r="D8" s="19">
        <v>1.427</v>
      </c>
      <c r="E8" s="19">
        <v>1.4339999999999999</v>
      </c>
      <c r="F8" s="19">
        <v>1.4259999999999999</v>
      </c>
      <c r="G8" s="16">
        <f t="shared" ref="G8:G17" si="0">(C8*1000*AVERAGE(D8:F8))/$B$2</f>
        <v>47.593671940049958</v>
      </c>
      <c r="H8" s="19">
        <f t="shared" ref="H8:H17" si="1">(C8*1000*STDEV(D8:F8))/$B$2</f>
        <v>0.14517565174157043</v>
      </c>
    </row>
    <row r="9" spans="1:8">
      <c r="A9" s="74">
        <v>1</v>
      </c>
      <c r="B9" s="72">
        <v>2</v>
      </c>
      <c r="C9" s="16">
        <v>2</v>
      </c>
      <c r="D9" s="19">
        <v>1.4330000000000001</v>
      </c>
      <c r="E9" s="19">
        <v>1.4219999999999999</v>
      </c>
      <c r="F9" s="19">
        <v>1.431</v>
      </c>
      <c r="G9" s="16">
        <f t="shared" si="0"/>
        <v>47.58257008048848</v>
      </c>
      <c r="H9" s="19">
        <f t="shared" si="1"/>
        <v>0.19515288183455068</v>
      </c>
    </row>
    <row r="10" spans="1:8">
      <c r="A10" s="74">
        <v>2</v>
      </c>
      <c r="B10" s="72">
        <v>3</v>
      </c>
      <c r="C10" s="16">
        <v>2</v>
      </c>
      <c r="D10" s="19">
        <v>1.4359999999999999</v>
      </c>
      <c r="E10" s="19">
        <v>1.4359999999999999</v>
      </c>
      <c r="F10" s="19">
        <v>1.421</v>
      </c>
      <c r="G10" s="16">
        <f t="shared" si="0"/>
        <v>47.660283097418819</v>
      </c>
      <c r="H10" s="19">
        <f t="shared" si="1"/>
        <v>0.28843477228457387</v>
      </c>
    </row>
    <row r="11" spans="1:8">
      <c r="A11" s="74">
        <v>3</v>
      </c>
      <c r="B11" s="72">
        <v>5</v>
      </c>
      <c r="C11" s="16">
        <v>2</v>
      </c>
      <c r="D11" s="19">
        <v>1.4350000000000001</v>
      </c>
      <c r="E11" s="19">
        <v>1.4359999999999999</v>
      </c>
      <c r="F11" s="19">
        <v>1.4390000000000001</v>
      </c>
      <c r="G11" s="16">
        <f t="shared" si="0"/>
        <v>47.849014709963924</v>
      </c>
      <c r="H11" s="19">
        <f t="shared" si="1"/>
        <v>6.9331090739921816E-2</v>
      </c>
    </row>
    <row r="12" spans="1:8">
      <c r="A12" s="74">
        <v>4</v>
      </c>
      <c r="B12" s="72">
        <v>6</v>
      </c>
      <c r="C12" s="16">
        <v>2</v>
      </c>
      <c r="D12" s="19">
        <v>1.421</v>
      </c>
      <c r="E12" s="19">
        <v>1.4319999999999999</v>
      </c>
      <c r="F12" s="19">
        <v>1.4319999999999999</v>
      </c>
      <c r="G12" s="16">
        <f t="shared" si="0"/>
        <v>47.571468220927009</v>
      </c>
      <c r="H12" s="19">
        <f t="shared" si="1"/>
        <v>0.21151883300868693</v>
      </c>
    </row>
    <row r="13" spans="1:8">
      <c r="A13" s="74">
        <v>5</v>
      </c>
      <c r="B13" s="72">
        <v>7</v>
      </c>
      <c r="C13" s="16">
        <v>2</v>
      </c>
      <c r="D13" s="19">
        <v>1.4079999999999999</v>
      </c>
      <c r="E13" s="19">
        <v>1.4319999999999999</v>
      </c>
      <c r="F13" s="19">
        <v>1.4390000000000001</v>
      </c>
      <c r="G13" s="16">
        <f t="shared" si="0"/>
        <v>47.504857063558148</v>
      </c>
      <c r="H13" s="19">
        <f t="shared" si="1"/>
        <v>0.54149312898172608</v>
      </c>
    </row>
    <row r="14" spans="1:8">
      <c r="A14" s="74">
        <v>6</v>
      </c>
      <c r="B14" s="72">
        <v>9</v>
      </c>
      <c r="C14" s="16">
        <v>2</v>
      </c>
      <c r="D14" s="19">
        <v>1.407</v>
      </c>
      <c r="E14" s="19">
        <v>1.413</v>
      </c>
      <c r="F14" s="19">
        <v>1.409</v>
      </c>
      <c r="G14" s="16">
        <f t="shared" si="0"/>
        <v>46.949764085484318</v>
      </c>
      <c r="H14" s="19">
        <f t="shared" si="1"/>
        <v>0.10175022359047113</v>
      </c>
    </row>
    <row r="15" spans="1:8">
      <c r="A15" s="74">
        <v>7</v>
      </c>
      <c r="B15" s="72">
        <v>10</v>
      </c>
      <c r="C15" s="16">
        <v>2</v>
      </c>
      <c r="D15" s="19">
        <v>1.3939999999999999</v>
      </c>
      <c r="E15" s="19">
        <v>1.39</v>
      </c>
      <c r="F15" s="19">
        <v>1.389</v>
      </c>
      <c r="G15" s="16">
        <f t="shared" si="0"/>
        <v>46.328059950041634</v>
      </c>
      <c r="H15" s="19">
        <f t="shared" si="1"/>
        <v>8.8118278470093278E-2</v>
      </c>
    </row>
    <row r="16" spans="1:8">
      <c r="A16" s="74">
        <v>8</v>
      </c>
      <c r="B16" s="72">
        <v>11</v>
      </c>
      <c r="C16" s="16">
        <v>2</v>
      </c>
      <c r="D16" s="19">
        <v>1.359</v>
      </c>
      <c r="E16" s="19">
        <v>1.375</v>
      </c>
      <c r="F16" s="19">
        <v>1.359</v>
      </c>
      <c r="G16" s="16">
        <f t="shared" si="0"/>
        <v>45.439911185123513</v>
      </c>
      <c r="H16" s="19">
        <f t="shared" si="1"/>
        <v>0.30766375710354776</v>
      </c>
    </row>
    <row r="17" spans="1:8">
      <c r="A17" s="74">
        <v>9</v>
      </c>
      <c r="B17" s="72">
        <v>13</v>
      </c>
      <c r="C17" s="16">
        <v>2</v>
      </c>
      <c r="D17" s="19">
        <v>1.327</v>
      </c>
      <c r="E17" s="19">
        <v>1.337</v>
      </c>
      <c r="F17" s="19">
        <v>1.361</v>
      </c>
      <c r="G17" s="16">
        <f t="shared" si="0"/>
        <v>44.6849847349431</v>
      </c>
      <c r="H17" s="19">
        <f t="shared" si="1"/>
        <v>0.58197468430002419</v>
      </c>
    </row>
    <row r="18" spans="1:8">
      <c r="A18" s="74">
        <v>10</v>
      </c>
      <c r="B18" s="72">
        <v>14</v>
      </c>
      <c r="C18" s="16">
        <v>2</v>
      </c>
      <c r="D18" s="19">
        <v>1.2470000000000001</v>
      </c>
      <c r="E18" s="19">
        <v>1.2629999999999999</v>
      </c>
      <c r="F18" s="19">
        <v>1.244</v>
      </c>
      <c r="G18" s="16">
        <f t="shared" ref="G18:G23" si="2">(C18*1000*AVERAGE(D18:F18))/$B$2</f>
        <v>41.676380793782961</v>
      </c>
      <c r="H18" s="19">
        <f t="shared" ref="H18:H23" si="3">(C18*1000*STDEV(D18:F18))/$B$2</f>
        <v>0.34019546924328492</v>
      </c>
    </row>
    <row r="19" spans="1:8">
      <c r="A19" s="74">
        <v>11</v>
      </c>
      <c r="B19" s="72">
        <v>15</v>
      </c>
      <c r="C19" s="16">
        <v>2</v>
      </c>
      <c r="D19" s="19">
        <v>1.0740000000000001</v>
      </c>
      <c r="E19" s="19">
        <v>1.1080000000000001</v>
      </c>
      <c r="F19" s="19">
        <v>1.1439999999999999</v>
      </c>
      <c r="G19" s="16">
        <f t="shared" si="2"/>
        <v>36.924784901471007</v>
      </c>
      <c r="H19" s="19">
        <f t="shared" si="3"/>
        <v>1.1658538411612585</v>
      </c>
    </row>
    <row r="20" spans="1:8">
      <c r="A20" s="74">
        <v>12</v>
      </c>
      <c r="B20" s="72">
        <v>17</v>
      </c>
      <c r="C20" s="16">
        <v>2</v>
      </c>
      <c r="D20" s="19">
        <v>1.069</v>
      </c>
      <c r="E20" s="19">
        <v>1.081</v>
      </c>
      <c r="F20" s="19">
        <v>1.06</v>
      </c>
      <c r="G20" s="16">
        <f t="shared" si="2"/>
        <v>35.63696919233972</v>
      </c>
      <c r="H20" s="19">
        <f t="shared" si="3"/>
        <v>0.35089604505754191</v>
      </c>
    </row>
    <row r="21" spans="1:8">
      <c r="A21" s="74">
        <v>13</v>
      </c>
      <c r="B21" s="72">
        <v>18</v>
      </c>
      <c r="C21" s="16">
        <v>2</v>
      </c>
      <c r="D21" s="19">
        <v>1.0189999999999999</v>
      </c>
      <c r="E21" s="19">
        <v>0.97499999999999998</v>
      </c>
      <c r="F21" s="19">
        <v>1.0900000000000001</v>
      </c>
      <c r="G21" s="16">
        <f t="shared" si="2"/>
        <v>34.238134887593667</v>
      </c>
      <c r="H21" s="19">
        <f t="shared" si="3"/>
        <v>1.9325847229181048</v>
      </c>
    </row>
    <row r="22" spans="1:8">
      <c r="A22" s="74">
        <v>14</v>
      </c>
      <c r="B22" s="72">
        <v>19</v>
      </c>
      <c r="C22" s="16">
        <v>2</v>
      </c>
      <c r="D22" s="19">
        <v>1.01</v>
      </c>
      <c r="E22" s="19">
        <v>1.024</v>
      </c>
      <c r="F22" s="19">
        <v>1.014</v>
      </c>
      <c r="G22" s="16">
        <f t="shared" si="2"/>
        <v>33.838467943380515</v>
      </c>
      <c r="H22" s="19">
        <f t="shared" si="3"/>
        <v>0.24016994341142334</v>
      </c>
    </row>
    <row r="23" spans="1:8">
      <c r="A23" s="74">
        <v>15</v>
      </c>
      <c r="B23" s="72">
        <v>24</v>
      </c>
      <c r="C23" s="16">
        <v>2</v>
      </c>
      <c r="D23" s="19">
        <v>1.02</v>
      </c>
      <c r="E23" s="19">
        <v>1.036</v>
      </c>
      <c r="F23" s="19">
        <v>1.0149999999999999</v>
      </c>
      <c r="G23" s="16">
        <f t="shared" si="2"/>
        <v>34.093810713294474</v>
      </c>
      <c r="H23" s="19">
        <f t="shared" si="3"/>
        <v>0.36535071156046439</v>
      </c>
    </row>
    <row r="24" spans="1:8">
      <c r="A24" s="74">
        <v>16</v>
      </c>
      <c r="B24" s="72">
        <v>30</v>
      </c>
      <c r="C24" s="16">
        <v>2</v>
      </c>
      <c r="D24" s="19">
        <v>1.014</v>
      </c>
      <c r="E24" s="19">
        <v>1.0209999999999999</v>
      </c>
      <c r="F24" s="19">
        <v>1.0169999999999999</v>
      </c>
      <c r="G24" s="16">
        <f t="shared" ref="G24:G25" si="4">(C24*1000*AVERAGE(D24:F24))/$B$2</f>
        <v>33.882875381626427</v>
      </c>
      <c r="H24" s="19">
        <f t="shared" ref="H24:H25" si="5">(C24*1000*STDEV(D24:F24))/$B$2</f>
        <v>0.11696534835251281</v>
      </c>
    </row>
    <row r="25" spans="1:8">
      <c r="A25" s="74">
        <v>17</v>
      </c>
      <c r="B25" s="72">
        <v>48</v>
      </c>
      <c r="C25" s="16">
        <v>2</v>
      </c>
      <c r="D25" s="19">
        <v>1.016</v>
      </c>
      <c r="E25" s="19">
        <v>1.028</v>
      </c>
      <c r="F25" s="19">
        <v>1.0269999999999999</v>
      </c>
      <c r="G25" s="16">
        <f t="shared" si="4"/>
        <v>34.093810713294474</v>
      </c>
      <c r="H25" s="19">
        <f t="shared" si="5"/>
        <v>0.22175947105676508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5"/>
  <sheetViews>
    <sheetView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8" t="s">
        <v>35</v>
      </c>
      <c r="B1" s="28" t="s">
        <v>61</v>
      </c>
    </row>
    <row r="2" spans="1:8">
      <c r="A2" s="28" t="s">
        <v>67</v>
      </c>
      <c r="B2" s="17">
        <v>74.08</v>
      </c>
    </row>
    <row r="4" spans="1:8">
      <c r="A4" s="145" t="s">
        <v>67</v>
      </c>
      <c r="B4" s="146"/>
      <c r="C4" s="146"/>
      <c r="D4" s="146"/>
      <c r="E4" s="146"/>
      <c r="F4" s="146"/>
      <c r="G4" s="146"/>
      <c r="H4" s="147"/>
    </row>
    <row r="5" spans="1:8">
      <c r="A5" s="148" t="s">
        <v>62</v>
      </c>
      <c r="B5" s="146"/>
      <c r="C5" s="147"/>
      <c r="D5" s="149" t="s">
        <v>45</v>
      </c>
      <c r="E5" s="149" t="s">
        <v>46</v>
      </c>
      <c r="F5" s="149" t="s">
        <v>47</v>
      </c>
      <c r="G5" s="151" t="s">
        <v>63</v>
      </c>
      <c r="H5" s="151" t="s">
        <v>64</v>
      </c>
    </row>
    <row r="6" spans="1:8">
      <c r="A6" s="29" t="s">
        <v>4</v>
      </c>
      <c r="B6" s="29" t="s">
        <v>60</v>
      </c>
      <c r="C6" s="29" t="s">
        <v>19</v>
      </c>
      <c r="D6" s="150"/>
      <c r="E6" s="150"/>
      <c r="F6" s="150"/>
      <c r="G6" s="152"/>
      <c r="H6" s="152"/>
    </row>
    <row r="7" spans="1:8">
      <c r="A7" s="73">
        <v>0</v>
      </c>
      <c r="B7" s="69">
        <v>0</v>
      </c>
      <c r="C7" s="16">
        <v>2</v>
      </c>
      <c r="D7" s="18">
        <v>0</v>
      </c>
      <c r="E7" s="18">
        <v>0</v>
      </c>
      <c r="F7" s="18">
        <v>0</v>
      </c>
      <c r="G7" s="16">
        <f>(C7*1000*AVERAGE(F7:F7))/$B$2</f>
        <v>0</v>
      </c>
      <c r="H7" s="19" t="e">
        <f>(C7*1000*STDEV(F7:F7))/$B$2</f>
        <v>#DIV/0!</v>
      </c>
    </row>
    <row r="8" spans="1:8">
      <c r="A8" s="74">
        <v>0</v>
      </c>
      <c r="B8" s="72">
        <v>0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74">
        <v>1</v>
      </c>
      <c r="B9" s="72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74">
        <v>2</v>
      </c>
      <c r="B10" s="72">
        <v>3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74">
        <v>3</v>
      </c>
      <c r="B11" s="72">
        <v>5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74">
        <v>4</v>
      </c>
      <c r="B12" s="72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74">
        <v>5</v>
      </c>
      <c r="B13" s="72">
        <v>7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74">
        <v>6</v>
      </c>
      <c r="B14" s="72">
        <v>9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74">
        <v>7</v>
      </c>
      <c r="B15" s="72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74">
        <v>8</v>
      </c>
      <c r="B16" s="72">
        <v>11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74">
        <v>9</v>
      </c>
      <c r="B17" s="72">
        <v>13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74">
        <v>10</v>
      </c>
      <c r="B18" s="72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74">
        <v>11</v>
      </c>
      <c r="B19" s="72">
        <v>15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74">
        <v>12</v>
      </c>
      <c r="B20" s="72">
        <v>17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74">
        <v>13</v>
      </c>
      <c r="B21" s="72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74">
        <v>14</v>
      </c>
      <c r="B22" s="72">
        <v>19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74">
        <v>15</v>
      </c>
      <c r="B23" s="72">
        <v>24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74">
        <v>16</v>
      </c>
      <c r="B24" s="72">
        <v>30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:G25" si="4">(C24*1000*AVERAGE(D24:F24))/$B$2</f>
        <v>0</v>
      </c>
      <c r="H24" s="19">
        <f t="shared" ref="H24:H25" si="5">(C24*1000*STDEV(D24:F24))/$B$2</f>
        <v>0</v>
      </c>
    </row>
    <row r="25" spans="1:8">
      <c r="A25" s="74">
        <v>17</v>
      </c>
      <c r="B25" s="72">
        <v>48</v>
      </c>
      <c r="C25" s="16">
        <v>4</v>
      </c>
      <c r="D25" s="18">
        <v>0</v>
      </c>
      <c r="E25" s="18">
        <v>0</v>
      </c>
      <c r="F25" s="18">
        <v>0</v>
      </c>
      <c r="G25" s="16">
        <f t="shared" si="4"/>
        <v>0</v>
      </c>
      <c r="H25" s="19">
        <f t="shared" si="5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5"/>
  <sheetViews>
    <sheetView topLeftCell="A3" workbookViewId="0">
      <selection activeCell="D13" sqref="D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8" t="s">
        <v>35</v>
      </c>
      <c r="B1" s="28" t="s">
        <v>61</v>
      </c>
    </row>
    <row r="2" spans="1:8">
      <c r="A2" s="28" t="s">
        <v>66</v>
      </c>
      <c r="B2" s="17">
        <v>88.11</v>
      </c>
    </row>
    <row r="4" spans="1:8">
      <c r="A4" s="145" t="s">
        <v>66</v>
      </c>
      <c r="B4" s="146"/>
      <c r="C4" s="146"/>
      <c r="D4" s="146"/>
      <c r="E4" s="146"/>
      <c r="F4" s="146"/>
      <c r="G4" s="146"/>
      <c r="H4" s="147"/>
    </row>
    <row r="5" spans="1:8">
      <c r="A5" s="148" t="s">
        <v>62</v>
      </c>
      <c r="B5" s="146"/>
      <c r="C5" s="147"/>
      <c r="D5" s="149" t="s">
        <v>45</v>
      </c>
      <c r="E5" s="149" t="s">
        <v>46</v>
      </c>
      <c r="F5" s="149" t="s">
        <v>47</v>
      </c>
      <c r="G5" s="151" t="s">
        <v>63</v>
      </c>
      <c r="H5" s="151" t="s">
        <v>64</v>
      </c>
    </row>
    <row r="6" spans="1:8">
      <c r="A6" s="29" t="s">
        <v>4</v>
      </c>
      <c r="B6" s="29" t="s">
        <v>60</v>
      </c>
      <c r="C6" s="29" t="s">
        <v>19</v>
      </c>
      <c r="D6" s="150"/>
      <c r="E6" s="150"/>
      <c r="F6" s="150"/>
      <c r="G6" s="152"/>
      <c r="H6" s="152"/>
    </row>
    <row r="7" spans="1:8">
      <c r="A7" s="73">
        <v>0</v>
      </c>
      <c r="B7" s="69">
        <v>0</v>
      </c>
      <c r="C7" s="16">
        <v>2</v>
      </c>
      <c r="D7" s="58">
        <v>0</v>
      </c>
      <c r="E7" s="59">
        <v>0</v>
      </c>
      <c r="F7" s="59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74">
        <v>0</v>
      </c>
      <c r="B8" s="72">
        <v>0</v>
      </c>
      <c r="C8" s="16">
        <v>2</v>
      </c>
      <c r="D8" s="60">
        <v>6.0000000000000001E-3</v>
      </c>
      <c r="E8" s="61">
        <v>4.0000000000000001E-3</v>
      </c>
      <c r="F8" s="61">
        <v>4.0000000000000001E-3</v>
      </c>
      <c r="G8" s="16">
        <f>(C8*1000*AVERAGE(D8:F8))/$B$2</f>
        <v>0.10592819581583628</v>
      </c>
      <c r="H8" s="19">
        <f t="shared" ref="H8:H17" si="0">(C8*1000*STDEV(D8:F8))/$B$2</f>
        <v>2.6210431015304771E-2</v>
      </c>
    </row>
    <row r="9" spans="1:8">
      <c r="A9" s="74">
        <v>1</v>
      </c>
      <c r="B9" s="72">
        <v>2</v>
      </c>
      <c r="C9" s="16">
        <v>2</v>
      </c>
      <c r="D9" s="60">
        <v>1.2E-2</v>
      </c>
      <c r="E9" s="61">
        <v>7.0000000000000001E-3</v>
      </c>
      <c r="F9" s="61">
        <v>6.0000000000000001E-3</v>
      </c>
      <c r="G9" s="16">
        <f t="shared" ref="G9:G17" si="1">(C9*1000*AVERAGE(D9:F9))/$B$2</f>
        <v>0.18915749252827907</v>
      </c>
      <c r="H9" s="19">
        <f t="shared" si="0"/>
        <v>7.2966751870714233E-2</v>
      </c>
    </row>
    <row r="10" spans="1:8">
      <c r="A10" s="74">
        <v>2</v>
      </c>
      <c r="B10" s="72">
        <v>3</v>
      </c>
      <c r="C10" s="16">
        <v>2</v>
      </c>
      <c r="D10" s="44">
        <v>1.6E-2</v>
      </c>
      <c r="E10" s="44">
        <v>1.9E-2</v>
      </c>
      <c r="F10" s="44">
        <v>1.7000000000000001E-2</v>
      </c>
      <c r="G10" s="16">
        <f t="shared" si="1"/>
        <v>0.39344758445882044</v>
      </c>
      <c r="H10" s="19">
        <f t="shared" si="0"/>
        <v>3.4673141111155284E-2</v>
      </c>
    </row>
    <row r="11" spans="1:8">
      <c r="A11" s="74">
        <v>3</v>
      </c>
      <c r="B11" s="72">
        <v>5</v>
      </c>
      <c r="C11" s="16">
        <v>2</v>
      </c>
      <c r="D11" s="44">
        <v>3.5999999999999997E-2</v>
      </c>
      <c r="E11" s="44">
        <v>3.4000000000000002E-2</v>
      </c>
      <c r="F11" s="44">
        <v>3.5000000000000003E-2</v>
      </c>
      <c r="G11" s="16">
        <f t="shared" si="1"/>
        <v>0.79446146861877198</v>
      </c>
      <c r="H11" s="19">
        <f t="shared" si="0"/>
        <v>2.2698899103393427E-2</v>
      </c>
    </row>
    <row r="12" spans="1:8">
      <c r="A12" s="74">
        <v>4</v>
      </c>
      <c r="B12" s="72">
        <v>6</v>
      </c>
      <c r="C12" s="16">
        <v>2</v>
      </c>
      <c r="D12" s="44">
        <v>4.9000000000000002E-2</v>
      </c>
      <c r="E12" s="44">
        <v>4.7E-2</v>
      </c>
      <c r="F12" s="44">
        <v>5.0999999999999997E-2</v>
      </c>
      <c r="G12" s="16">
        <f t="shared" si="1"/>
        <v>1.1122460560662806</v>
      </c>
      <c r="H12" s="19">
        <f t="shared" si="0"/>
        <v>4.5397798206786931E-2</v>
      </c>
    </row>
    <row r="13" spans="1:8">
      <c r="A13" s="74">
        <v>5</v>
      </c>
      <c r="B13" s="72">
        <v>7</v>
      </c>
      <c r="C13" s="16">
        <v>2</v>
      </c>
      <c r="D13" s="44">
        <v>7.0999999999999994E-2</v>
      </c>
      <c r="E13" s="44">
        <v>7.0999999999999994E-2</v>
      </c>
      <c r="F13" s="44">
        <v>7.3999999999999996E-2</v>
      </c>
      <c r="G13" s="16">
        <f t="shared" si="1"/>
        <v>1.634320735444331</v>
      </c>
      <c r="H13" s="19">
        <f t="shared" si="0"/>
        <v>3.9315646522957187E-2</v>
      </c>
    </row>
    <row r="14" spans="1:8">
      <c r="A14" s="74">
        <v>6</v>
      </c>
      <c r="B14" s="72">
        <v>9</v>
      </c>
      <c r="C14" s="16">
        <v>2</v>
      </c>
      <c r="D14" s="44">
        <v>0.10199999999999999</v>
      </c>
      <c r="E14" s="44">
        <v>0.104</v>
      </c>
      <c r="F14" s="44">
        <v>0.104</v>
      </c>
      <c r="G14" s="16">
        <f t="shared" si="1"/>
        <v>2.34555290735066</v>
      </c>
      <c r="H14" s="19">
        <f t="shared" si="0"/>
        <v>2.6210431015304791E-2</v>
      </c>
    </row>
    <row r="15" spans="1:8">
      <c r="A15" s="74">
        <v>7</v>
      </c>
      <c r="B15" s="72">
        <v>10</v>
      </c>
      <c r="C15" s="16">
        <v>2</v>
      </c>
      <c r="D15" s="44">
        <v>0.13300000000000001</v>
      </c>
      <c r="E15" s="44">
        <v>0.13300000000000001</v>
      </c>
      <c r="F15" s="44">
        <v>0.13800000000000001</v>
      </c>
      <c r="G15" s="16">
        <f t="shared" si="1"/>
        <v>3.0567850792569899</v>
      </c>
      <c r="H15" s="19">
        <f t="shared" si="0"/>
        <v>6.5526077538261979E-2</v>
      </c>
    </row>
    <row r="16" spans="1:8">
      <c r="A16" s="74">
        <v>8</v>
      </c>
      <c r="B16" s="72">
        <v>11</v>
      </c>
      <c r="C16" s="16">
        <v>2</v>
      </c>
      <c r="D16" s="44">
        <v>0.19400000000000001</v>
      </c>
      <c r="E16" s="44">
        <v>0.20699999999999999</v>
      </c>
      <c r="F16" s="44">
        <v>0.20100000000000001</v>
      </c>
      <c r="G16" s="16">
        <f t="shared" si="1"/>
        <v>4.5549124200809601</v>
      </c>
      <c r="H16" s="19">
        <f t="shared" si="0"/>
        <v>0.14768827825780736</v>
      </c>
    </row>
    <row r="17" spans="1:8">
      <c r="A17" s="74">
        <v>9</v>
      </c>
      <c r="B17" s="72">
        <v>13</v>
      </c>
      <c r="C17" s="16">
        <v>2</v>
      </c>
      <c r="D17" s="44">
        <v>0.32300000000000001</v>
      </c>
      <c r="E17" s="44">
        <v>0.32100000000000001</v>
      </c>
      <c r="F17" s="44">
        <v>0.33300000000000002</v>
      </c>
      <c r="G17" s="16">
        <f t="shared" si="1"/>
        <v>7.3922748080051468</v>
      </c>
      <c r="H17" s="19">
        <f t="shared" si="0"/>
        <v>0.14593350374142874</v>
      </c>
    </row>
    <row r="18" spans="1:8">
      <c r="A18" s="74">
        <v>10</v>
      </c>
      <c r="B18" s="72">
        <v>14</v>
      </c>
      <c r="C18" s="16">
        <v>2</v>
      </c>
      <c r="D18" s="75">
        <v>0.48</v>
      </c>
      <c r="E18" s="35">
        <v>0.48399999999999999</v>
      </c>
      <c r="F18" s="35">
        <v>0.48599999999999999</v>
      </c>
      <c r="G18" s="16">
        <f t="shared" ref="G18:G23" si="2">(C18*1000*AVERAGE(D18:F18))/$B$2</f>
        <v>10.971134566640185</v>
      </c>
      <c r="H18" s="19">
        <f t="shared" ref="H18:H23" si="3">(C18*1000*STDEV(D18:F18))/$B$2</f>
        <v>6.9346282222310651E-2</v>
      </c>
    </row>
    <row r="19" spans="1:8">
      <c r="A19" s="74">
        <v>11</v>
      </c>
      <c r="B19" s="72">
        <v>15</v>
      </c>
      <c r="C19" s="16">
        <v>2</v>
      </c>
      <c r="D19" s="35">
        <v>0.65600000000000003</v>
      </c>
      <c r="E19" s="35">
        <v>0.68400000000000005</v>
      </c>
      <c r="F19" s="35">
        <v>0.70299999999999996</v>
      </c>
      <c r="G19" s="16">
        <f t="shared" si="2"/>
        <v>15.457950289410963</v>
      </c>
      <c r="H19" s="19">
        <f t="shared" si="3"/>
        <v>0.53667417625862546</v>
      </c>
    </row>
    <row r="20" spans="1:8">
      <c r="A20" s="74">
        <v>12</v>
      </c>
      <c r="B20" s="72">
        <v>17</v>
      </c>
      <c r="C20" s="16">
        <v>2</v>
      </c>
      <c r="D20" s="35">
        <v>0.93100000000000005</v>
      </c>
      <c r="E20" s="35">
        <v>0.93799999999999994</v>
      </c>
      <c r="F20" s="35">
        <v>0.93200000000000005</v>
      </c>
      <c r="G20" s="16">
        <f t="shared" si="2"/>
        <v>21.193205462868384</v>
      </c>
      <c r="H20" s="19">
        <f t="shared" si="3"/>
        <v>8.5936645039158377E-2</v>
      </c>
    </row>
    <row r="21" spans="1:8">
      <c r="A21" s="74">
        <v>13</v>
      </c>
      <c r="B21" s="72">
        <v>18</v>
      </c>
      <c r="C21" s="16">
        <v>2</v>
      </c>
      <c r="D21" s="62">
        <v>1.0820000000000001</v>
      </c>
      <c r="E21" s="35">
        <v>1.038</v>
      </c>
      <c r="F21" s="35">
        <v>1.1659999999999999</v>
      </c>
      <c r="G21" s="16">
        <f t="shared" si="2"/>
        <v>24.862860817916996</v>
      </c>
      <c r="H21" s="19">
        <f t="shared" si="3"/>
        <v>1.4761848777824309</v>
      </c>
    </row>
    <row r="22" spans="1:8">
      <c r="A22" s="74">
        <v>14</v>
      </c>
      <c r="B22" s="72">
        <v>19</v>
      </c>
      <c r="C22" s="16">
        <v>2</v>
      </c>
      <c r="D22" s="35">
        <v>1.161</v>
      </c>
      <c r="E22" s="35">
        <v>1.1819999999999999</v>
      </c>
      <c r="F22" s="35">
        <v>1.175</v>
      </c>
      <c r="G22" s="16">
        <f t="shared" si="2"/>
        <v>26.618242348579425</v>
      </c>
      <c r="H22" s="19">
        <f t="shared" si="3"/>
        <v>0.2427119877780862</v>
      </c>
    </row>
    <row r="23" spans="1:8">
      <c r="A23" s="74">
        <v>15</v>
      </c>
      <c r="B23" s="72">
        <v>24</v>
      </c>
      <c r="C23" s="16">
        <v>2</v>
      </c>
      <c r="D23" s="35">
        <v>1.2310000000000001</v>
      </c>
      <c r="E23" s="35">
        <v>1.2370000000000001</v>
      </c>
      <c r="F23" s="35">
        <v>1.2330000000000001</v>
      </c>
      <c r="G23" s="16">
        <f t="shared" si="2"/>
        <v>28.002875193886432</v>
      </c>
      <c r="H23" s="19">
        <f t="shared" si="3"/>
        <v>6.9346282222310651E-2</v>
      </c>
    </row>
    <row r="24" spans="1:8">
      <c r="A24" s="74">
        <v>16</v>
      </c>
      <c r="B24" s="72">
        <v>30</v>
      </c>
      <c r="C24" s="16">
        <v>2</v>
      </c>
      <c r="D24" s="35">
        <v>1.254</v>
      </c>
      <c r="E24" s="35">
        <v>1.2669999999999999</v>
      </c>
      <c r="F24" s="35">
        <v>1.2629999999999999</v>
      </c>
      <c r="G24" s="16">
        <f t="shared" ref="G24:G25" si="4">(C24*1000*AVERAGE(D24:F24))/$B$2</f>
        <v>28.630878069080314</v>
      </c>
      <c r="H24" s="19">
        <f t="shared" ref="H24:H25" si="5">(C24*1000*STDEV(D24:F24))/$B$2</f>
        <v>0.15113671815865029</v>
      </c>
    </row>
    <row r="25" spans="1:8">
      <c r="A25" s="74">
        <v>17</v>
      </c>
      <c r="B25" s="72">
        <v>48</v>
      </c>
      <c r="C25" s="16">
        <v>2</v>
      </c>
      <c r="D25" s="35">
        <v>1.2809999999999999</v>
      </c>
      <c r="E25" s="35">
        <v>1.298</v>
      </c>
      <c r="F25" s="35">
        <v>1.29</v>
      </c>
      <c r="G25" s="16">
        <f t="shared" si="4"/>
        <v>29.27401354367646</v>
      </c>
      <c r="H25" s="19">
        <f t="shared" si="5"/>
        <v>0.19305187942606844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42</v>
      </c>
      <c r="B2" s="17">
        <v>90.08</v>
      </c>
    </row>
    <row r="4" spans="1:8">
      <c r="A4" s="145" t="s">
        <v>42</v>
      </c>
      <c r="B4" s="146"/>
      <c r="C4" s="146"/>
      <c r="D4" s="146"/>
      <c r="E4" s="146"/>
      <c r="F4" s="146"/>
      <c r="G4" s="146"/>
      <c r="H4" s="147"/>
    </row>
    <row r="5" spans="1:8">
      <c r="A5" s="148" t="s">
        <v>62</v>
      </c>
      <c r="B5" s="146"/>
      <c r="C5" s="147"/>
      <c r="D5" s="149" t="s">
        <v>45</v>
      </c>
      <c r="E5" s="149" t="s">
        <v>46</v>
      </c>
      <c r="F5" s="149" t="s">
        <v>47</v>
      </c>
      <c r="G5" s="151" t="s">
        <v>63</v>
      </c>
      <c r="H5" s="151" t="s">
        <v>64</v>
      </c>
    </row>
    <row r="6" spans="1:8">
      <c r="A6" s="22" t="s">
        <v>4</v>
      </c>
      <c r="B6" s="22" t="s">
        <v>60</v>
      </c>
      <c r="C6" s="22" t="s">
        <v>19</v>
      </c>
      <c r="D6" s="150"/>
      <c r="E6" s="150"/>
      <c r="F6" s="150"/>
      <c r="G6" s="152"/>
      <c r="H6" s="152"/>
    </row>
    <row r="7" spans="1:8">
      <c r="A7" s="73">
        <v>0</v>
      </c>
      <c r="B7" s="69">
        <v>0</v>
      </c>
      <c r="C7" s="16">
        <v>2</v>
      </c>
      <c r="D7" s="43">
        <v>1E-3</v>
      </c>
      <c r="E7" s="43">
        <v>0</v>
      </c>
      <c r="F7" s="43">
        <v>6.0000000000000001E-3</v>
      </c>
      <c r="G7" s="16">
        <f>(C7*1000*AVERAGE(D7:F7))/$B$2</f>
        <v>5.1805802249851984E-2</v>
      </c>
      <c r="H7" s="19">
        <f>(C7*1000*STDEV(D7:F7))/$B$2</f>
        <v>7.1371009184376513E-2</v>
      </c>
    </row>
    <row r="8" spans="1:8">
      <c r="A8" s="74">
        <v>0</v>
      </c>
      <c r="B8" s="72">
        <v>0</v>
      </c>
      <c r="C8" s="16">
        <v>2</v>
      </c>
      <c r="D8" s="43">
        <v>4.0000000000000001E-3</v>
      </c>
      <c r="E8" s="43">
        <v>2E-3</v>
      </c>
      <c r="F8" s="43">
        <v>7.0000000000000001E-3</v>
      </c>
      <c r="G8" s="16">
        <f t="shared" ref="G8:G23" si="0">(C8*1000*AVERAGE(D8:F8))/$B$2</f>
        <v>9.6210775606867985E-2</v>
      </c>
      <c r="H8" s="19">
        <f t="shared" ref="H8:H23" si="1">(C8*1000*STDEV(D8:F8))/$B$2</f>
        <v>5.5875032824679878E-2</v>
      </c>
    </row>
    <row r="9" spans="1:8">
      <c r="A9" s="74">
        <v>1</v>
      </c>
      <c r="B9" s="72">
        <v>2</v>
      </c>
      <c r="C9" s="16">
        <v>2</v>
      </c>
      <c r="D9" s="43">
        <v>3.0000000000000001E-3</v>
      </c>
      <c r="E9" s="43">
        <v>5.0000000000000001E-3</v>
      </c>
      <c r="F9" s="43">
        <v>7.0000000000000001E-3</v>
      </c>
      <c r="G9" s="16">
        <f t="shared" si="0"/>
        <v>0.11101243339253997</v>
      </c>
      <c r="H9" s="19">
        <f t="shared" si="1"/>
        <v>4.4404973357015987E-2</v>
      </c>
    </row>
    <row r="10" spans="1:8">
      <c r="A10" s="74">
        <v>2</v>
      </c>
      <c r="B10" s="72">
        <v>3</v>
      </c>
      <c r="C10" s="16">
        <v>2</v>
      </c>
      <c r="D10" s="57">
        <v>6.0000000000000001E-3</v>
      </c>
      <c r="E10" s="57">
        <v>5.0000000000000001E-3</v>
      </c>
      <c r="F10" s="57">
        <v>7.0000000000000001E-3</v>
      </c>
      <c r="G10" s="16">
        <f t="shared" si="0"/>
        <v>0.13321492007104793</v>
      </c>
      <c r="H10" s="19">
        <f t="shared" si="1"/>
        <v>2.2202486678507993E-2</v>
      </c>
    </row>
    <row r="11" spans="1:8">
      <c r="A11" s="74">
        <v>3</v>
      </c>
      <c r="B11" s="72">
        <v>5</v>
      </c>
      <c r="C11" s="16">
        <v>2</v>
      </c>
      <c r="D11" s="57">
        <v>8.0000000000000002E-3</v>
      </c>
      <c r="E11" s="57">
        <v>0.01</v>
      </c>
      <c r="F11" s="57">
        <v>8.0000000000000002E-3</v>
      </c>
      <c r="G11" s="16">
        <f t="shared" si="0"/>
        <v>0.19242155121373597</v>
      </c>
      <c r="H11" s="19">
        <f t="shared" si="1"/>
        <v>2.5637223321031345E-2</v>
      </c>
    </row>
    <row r="12" spans="1:8">
      <c r="A12" s="74">
        <v>4</v>
      </c>
      <c r="B12" s="72">
        <v>6</v>
      </c>
      <c r="C12" s="16">
        <v>2</v>
      </c>
      <c r="D12" s="57">
        <v>6.0000000000000001E-3</v>
      </c>
      <c r="E12" s="57">
        <v>8.0000000000000002E-3</v>
      </c>
      <c r="F12" s="57">
        <v>1.0999999999999999E-2</v>
      </c>
      <c r="G12" s="16">
        <f t="shared" si="0"/>
        <v>0.18502072232089994</v>
      </c>
      <c r="H12" s="19">
        <f t="shared" si="1"/>
        <v>5.5875032824679899E-2</v>
      </c>
    </row>
    <row r="13" spans="1:8">
      <c r="A13" s="74">
        <v>5</v>
      </c>
      <c r="B13" s="72">
        <v>7</v>
      </c>
      <c r="C13" s="16">
        <v>2</v>
      </c>
      <c r="D13" s="57">
        <v>8.9999999999999993E-3</v>
      </c>
      <c r="E13" s="57">
        <v>8.0000000000000002E-3</v>
      </c>
      <c r="F13" s="57">
        <v>1.0999999999999999E-2</v>
      </c>
      <c r="G13" s="16">
        <f t="shared" si="0"/>
        <v>0.20722320899940794</v>
      </c>
      <c r="H13" s="19">
        <f t="shared" si="1"/>
        <v>3.3914858606837177E-2</v>
      </c>
    </row>
    <row r="14" spans="1:8">
      <c r="A14" s="74">
        <v>6</v>
      </c>
      <c r="B14" s="72">
        <v>9</v>
      </c>
      <c r="C14" s="16">
        <v>2</v>
      </c>
      <c r="D14" s="57">
        <v>1.0999999999999999E-2</v>
      </c>
      <c r="E14" s="57">
        <v>8.0000000000000002E-3</v>
      </c>
      <c r="F14" s="57">
        <v>1.0999999999999999E-2</v>
      </c>
      <c r="G14" s="16">
        <f t="shared" si="0"/>
        <v>0.22202486678507993</v>
      </c>
      <c r="H14" s="19">
        <f t="shared" si="1"/>
        <v>3.8455834981546998E-2</v>
      </c>
    </row>
    <row r="15" spans="1:8">
      <c r="A15" s="74">
        <v>7</v>
      </c>
      <c r="B15" s="72">
        <v>10</v>
      </c>
      <c r="C15" s="16">
        <v>2</v>
      </c>
      <c r="D15" s="57">
        <v>1.2E-2</v>
      </c>
      <c r="E15" s="57">
        <v>8.0000000000000002E-3</v>
      </c>
      <c r="F15" s="57">
        <v>1.0999999999999999E-2</v>
      </c>
      <c r="G15" s="16">
        <f t="shared" si="0"/>
        <v>0.22942569567791593</v>
      </c>
      <c r="H15" s="19">
        <f t="shared" si="1"/>
        <v>4.6218161622249836E-2</v>
      </c>
    </row>
    <row r="16" spans="1:8">
      <c r="A16" s="74">
        <v>8</v>
      </c>
      <c r="B16" s="72">
        <v>11</v>
      </c>
      <c r="C16" s="16">
        <v>2</v>
      </c>
      <c r="D16" s="57">
        <v>0.01</v>
      </c>
      <c r="E16" s="57">
        <v>0.01</v>
      </c>
      <c r="F16" s="57">
        <v>8.9999999999999993E-3</v>
      </c>
      <c r="G16" s="16">
        <f t="shared" si="0"/>
        <v>0.21462403789224394</v>
      </c>
      <c r="H16" s="19">
        <f t="shared" si="1"/>
        <v>1.2818611660515681E-2</v>
      </c>
    </row>
    <row r="17" spans="1:8">
      <c r="A17" s="74">
        <v>9</v>
      </c>
      <c r="B17" s="72">
        <v>13</v>
      </c>
      <c r="C17" s="16">
        <v>2</v>
      </c>
      <c r="D17" s="57">
        <v>1.0999999999999999E-2</v>
      </c>
      <c r="E17" s="57">
        <v>1.2E-2</v>
      </c>
      <c r="F17" s="57">
        <v>1.0999999999999999E-2</v>
      </c>
      <c r="G17" s="16">
        <f t="shared" si="0"/>
        <v>0.25162818235642392</v>
      </c>
      <c r="H17" s="19">
        <f t="shared" si="1"/>
        <v>1.2818611660515679E-2</v>
      </c>
    </row>
    <row r="18" spans="1:8">
      <c r="A18" s="74">
        <v>10</v>
      </c>
      <c r="B18" s="72">
        <v>14</v>
      </c>
      <c r="C18" s="16">
        <v>2</v>
      </c>
      <c r="D18" s="43">
        <v>1.2E-2</v>
      </c>
      <c r="E18" s="43">
        <v>8.0000000000000002E-3</v>
      </c>
      <c r="F18" s="43">
        <v>8.9999999999999993E-3</v>
      </c>
      <c r="G18" s="16">
        <f t="shared" si="0"/>
        <v>0.21462403789224394</v>
      </c>
      <c r="H18" s="19">
        <f t="shared" si="1"/>
        <v>4.621816162224985E-2</v>
      </c>
    </row>
    <row r="19" spans="1:8">
      <c r="A19" s="74">
        <v>11</v>
      </c>
      <c r="B19" s="72">
        <v>15</v>
      </c>
      <c r="C19" s="16">
        <v>2</v>
      </c>
      <c r="D19" s="57">
        <v>0.01</v>
      </c>
      <c r="E19" s="57">
        <v>8.0000000000000002E-3</v>
      </c>
      <c r="F19" s="57">
        <v>1.2E-2</v>
      </c>
      <c r="G19" s="16">
        <f t="shared" si="0"/>
        <v>0.22202486678507993</v>
      </c>
      <c r="H19" s="19">
        <f t="shared" si="1"/>
        <v>4.4404973357015987E-2</v>
      </c>
    </row>
    <row r="20" spans="1:8">
      <c r="A20" s="74">
        <v>12</v>
      </c>
      <c r="B20" s="72">
        <v>17</v>
      </c>
      <c r="C20" s="16">
        <v>2</v>
      </c>
      <c r="D20" s="57">
        <v>1.6E-2</v>
      </c>
      <c r="E20" s="57">
        <v>1.4999999999999999E-2</v>
      </c>
      <c r="F20" s="57">
        <v>1.4999999999999999E-2</v>
      </c>
      <c r="G20" s="16">
        <f t="shared" si="0"/>
        <v>0.3404381290704559</v>
      </c>
      <c r="H20" s="19">
        <f t="shared" si="1"/>
        <v>1.2818611660515679E-2</v>
      </c>
    </row>
    <row r="21" spans="1:8">
      <c r="A21" s="74">
        <v>13</v>
      </c>
      <c r="B21" s="72">
        <v>18</v>
      </c>
      <c r="C21" s="16">
        <v>2</v>
      </c>
      <c r="D21" s="57">
        <v>0.02</v>
      </c>
      <c r="E21" s="57">
        <v>2.1000000000000001E-2</v>
      </c>
      <c r="F21" s="57">
        <v>2.5999999999999999E-2</v>
      </c>
      <c r="G21" s="16">
        <f t="shared" si="0"/>
        <v>0.49585553582001185</v>
      </c>
      <c r="H21" s="19">
        <f t="shared" si="1"/>
        <v>7.1371009184376499E-2</v>
      </c>
    </row>
    <row r="22" spans="1:8">
      <c r="A22" s="74">
        <v>14</v>
      </c>
      <c r="B22" s="72">
        <v>19</v>
      </c>
      <c r="C22" s="16">
        <v>2</v>
      </c>
      <c r="D22" s="57">
        <v>3.5999999999999997E-2</v>
      </c>
      <c r="E22" s="57">
        <v>3.5000000000000003E-2</v>
      </c>
      <c r="F22" s="57">
        <v>3.5999999999999997E-2</v>
      </c>
      <c r="G22" s="16">
        <f t="shared" si="0"/>
        <v>0.79188869153345187</v>
      </c>
      <c r="H22" s="19">
        <f t="shared" si="1"/>
        <v>1.2818611660515591E-2</v>
      </c>
    </row>
    <row r="23" spans="1:8">
      <c r="A23" s="74">
        <v>15</v>
      </c>
      <c r="B23" s="72">
        <v>24</v>
      </c>
      <c r="C23" s="16">
        <v>2</v>
      </c>
      <c r="D23" s="57">
        <v>5.8000000000000003E-2</v>
      </c>
      <c r="E23" s="57">
        <v>6.9000000000000006E-2</v>
      </c>
      <c r="F23" s="57">
        <v>6.2E-2</v>
      </c>
      <c r="G23" s="16">
        <f t="shared" si="0"/>
        <v>1.3987566607460036</v>
      </c>
      <c r="H23" s="19">
        <f t="shared" si="1"/>
        <v>0.12361821409480514</v>
      </c>
    </row>
    <row r="24" spans="1:8">
      <c r="A24" s="74">
        <v>16</v>
      </c>
      <c r="B24" s="72">
        <v>30</v>
      </c>
      <c r="C24" s="16">
        <v>2</v>
      </c>
      <c r="D24" s="57">
        <v>7.4999999999999997E-2</v>
      </c>
      <c r="E24" s="57">
        <v>7.5999999999999998E-2</v>
      </c>
      <c r="F24" s="57">
        <v>7.5999999999999998E-2</v>
      </c>
      <c r="G24" s="16">
        <f t="shared" ref="G24:G25" si="2">(C24*1000*AVERAGE(D24:F24))/$B$2</f>
        <v>1.6799881586737713</v>
      </c>
      <c r="H24" s="19">
        <f t="shared" ref="H24:H25" si="3">(C24*1000*STDEV(D24:F24))/$B$2</f>
        <v>1.2818611660515681E-2</v>
      </c>
    </row>
    <row r="25" spans="1:8">
      <c r="A25" s="74">
        <v>17</v>
      </c>
      <c r="B25" s="72">
        <v>48</v>
      </c>
      <c r="C25" s="16">
        <v>2</v>
      </c>
      <c r="D25" s="57">
        <v>9.5000000000000001E-2</v>
      </c>
      <c r="E25" s="57">
        <v>9.7000000000000003E-2</v>
      </c>
      <c r="F25" s="57">
        <v>9.1999999999999998E-2</v>
      </c>
      <c r="G25" s="16">
        <f t="shared" si="2"/>
        <v>2.1018354055654234</v>
      </c>
      <c r="H25" s="19">
        <f t="shared" si="3"/>
        <v>5.5875032824679961E-2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7" sqref="G7:H25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61</v>
      </c>
    </row>
    <row r="2" spans="1:8">
      <c r="A2" s="21" t="s">
        <v>44</v>
      </c>
      <c r="B2" s="17">
        <v>46.07</v>
      </c>
    </row>
    <row r="4" spans="1:8">
      <c r="A4" s="145" t="s">
        <v>44</v>
      </c>
      <c r="B4" s="146"/>
      <c r="C4" s="146"/>
      <c r="D4" s="146"/>
      <c r="E4" s="146"/>
      <c r="F4" s="146"/>
      <c r="G4" s="146"/>
      <c r="H4" s="147"/>
    </row>
    <row r="5" spans="1:8">
      <c r="A5" s="148" t="s">
        <v>62</v>
      </c>
      <c r="B5" s="146"/>
      <c r="C5" s="147"/>
      <c r="D5" s="149" t="s">
        <v>45</v>
      </c>
      <c r="E5" s="149" t="s">
        <v>46</v>
      </c>
      <c r="F5" s="149" t="s">
        <v>47</v>
      </c>
      <c r="G5" s="151" t="s">
        <v>63</v>
      </c>
      <c r="H5" s="151" t="s">
        <v>64</v>
      </c>
    </row>
    <row r="6" spans="1:8">
      <c r="A6" s="22" t="s">
        <v>4</v>
      </c>
      <c r="B6" s="22" t="s">
        <v>60</v>
      </c>
      <c r="C6" s="22" t="s">
        <v>19</v>
      </c>
      <c r="D6" s="150"/>
      <c r="E6" s="150"/>
      <c r="F6" s="150"/>
      <c r="G6" s="152"/>
      <c r="H6" s="152"/>
    </row>
    <row r="7" spans="1:8">
      <c r="A7" s="73">
        <v>0</v>
      </c>
      <c r="B7" s="69">
        <v>0</v>
      </c>
      <c r="C7" s="16">
        <v>2</v>
      </c>
      <c r="D7" s="18">
        <v>0</v>
      </c>
      <c r="E7" s="18">
        <v>0</v>
      </c>
      <c r="F7" s="1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74">
        <v>0</v>
      </c>
      <c r="B8" s="72">
        <v>0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74">
        <v>1</v>
      </c>
      <c r="B9" s="72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74">
        <v>2</v>
      </c>
      <c r="B10" s="72">
        <v>3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74">
        <v>3</v>
      </c>
      <c r="B11" s="72">
        <v>5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74">
        <v>4</v>
      </c>
      <c r="B12" s="72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74">
        <v>5</v>
      </c>
      <c r="B13" s="72">
        <v>7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74">
        <v>6</v>
      </c>
      <c r="B14" s="72">
        <v>9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74">
        <v>7</v>
      </c>
      <c r="B15" s="72">
        <v>10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74">
        <v>8</v>
      </c>
      <c r="B16" s="72">
        <v>11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74">
        <v>9</v>
      </c>
      <c r="B17" s="72">
        <v>13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74">
        <v>10</v>
      </c>
      <c r="B18" s="72">
        <v>14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74">
        <v>11</v>
      </c>
      <c r="B19" s="72">
        <v>15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74">
        <v>12</v>
      </c>
      <c r="B20" s="72">
        <v>17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74">
        <v>13</v>
      </c>
      <c r="B21" s="72">
        <v>18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74">
        <v>14</v>
      </c>
      <c r="B22" s="72">
        <v>19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74">
        <v>15</v>
      </c>
      <c r="B23" s="72">
        <v>24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  <row r="24" spans="1:8">
      <c r="A24" s="74">
        <v>16</v>
      </c>
      <c r="B24" s="72">
        <v>30</v>
      </c>
      <c r="C24" s="16">
        <v>3</v>
      </c>
      <c r="D24" s="18">
        <v>0</v>
      </c>
      <c r="E24" s="18">
        <v>0</v>
      </c>
      <c r="F24" s="18">
        <v>0</v>
      </c>
      <c r="G24" s="16">
        <f t="shared" ref="G24:G25" si="4">(C24*1000*AVERAGE(D24:F24))/$B$2</f>
        <v>0</v>
      </c>
      <c r="H24" s="19">
        <f t="shared" ref="H24:H25" si="5">(C24*1000*STDEV(D24:F24))/$B$2</f>
        <v>0</v>
      </c>
    </row>
    <row r="25" spans="1:8">
      <c r="A25" s="74">
        <v>17</v>
      </c>
      <c r="B25" s="72">
        <v>48</v>
      </c>
      <c r="C25" s="16">
        <v>4</v>
      </c>
      <c r="D25" s="18">
        <v>0</v>
      </c>
      <c r="E25" s="18">
        <v>0</v>
      </c>
      <c r="F25" s="18">
        <v>0</v>
      </c>
      <c r="G25" s="16">
        <f t="shared" si="4"/>
        <v>0</v>
      </c>
      <c r="H25" s="19">
        <f t="shared" si="5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28"/>
  <sheetViews>
    <sheetView workbookViewId="0">
      <selection activeCell="C40" sqref="C40"/>
    </sheetView>
  </sheetViews>
  <sheetFormatPr baseColWidth="10" defaultColWidth="8.83203125" defaultRowHeight="14" x14ac:dyDescent="0"/>
  <cols>
    <col min="1" max="1" width="27.6640625" customWidth="1"/>
  </cols>
  <sheetData>
    <row r="1" spans="1:5">
      <c r="B1" s="31" t="s">
        <v>78</v>
      </c>
      <c r="C1" s="31" t="s">
        <v>79</v>
      </c>
    </row>
    <row r="2" spans="1:5">
      <c r="A2" s="31" t="s">
        <v>145</v>
      </c>
      <c r="B2" s="79">
        <f>Metabolites!H4-Metabolites!H21</f>
        <v>23.244879275717572</v>
      </c>
      <c r="C2" s="79">
        <f>Metabolites!I4+Metabolites!I21</f>
        <v>0.16017334100610528</v>
      </c>
    </row>
    <row r="3" spans="1:5">
      <c r="A3" s="31" t="s">
        <v>124</v>
      </c>
      <c r="B3" s="79">
        <f>Metabolites!P4-Metabolites!P21</f>
        <v>12.548697699558154</v>
      </c>
      <c r="C3" s="79">
        <f>Metabolites!Q4+Metabolites!Q21</f>
        <v>0.3731218621585537</v>
      </c>
    </row>
    <row r="4" spans="1:5">
      <c r="A4" s="31" t="s">
        <v>125</v>
      </c>
      <c r="B4" s="79">
        <f>Metabolites!T21-Metabolites!T4</f>
        <v>22.063144398100867</v>
      </c>
      <c r="C4" s="79">
        <f>Metabolites!U4+Metabolites!U21</f>
        <v>0.36508605486712353</v>
      </c>
    </row>
    <row r="5" spans="1:5">
      <c r="A5" s="31" t="s">
        <v>126</v>
      </c>
      <c r="B5" s="79">
        <f>Metabolites!L21-Metabolites!L4</f>
        <v>2.0642625215910764</v>
      </c>
      <c r="C5" s="79">
        <f>Metabolites!M21+Metabolites!M4</f>
        <v>0.11330889090801788</v>
      </c>
    </row>
    <row r="6" spans="1:5">
      <c r="A6" s="31" t="s">
        <v>127</v>
      </c>
      <c r="B6" s="79">
        <f>Metabolites!L43-Metabolites!L26</f>
        <v>29.984784138487992</v>
      </c>
      <c r="C6" s="79">
        <f>Metabolites!M43+Metabolites!M26</f>
        <v>0.22464815328866081</v>
      </c>
    </row>
    <row r="7" spans="1:5">
      <c r="A7" s="31" t="s">
        <v>80</v>
      </c>
      <c r="B7" s="79">
        <f>'H2'!G101</f>
        <v>0</v>
      </c>
      <c r="C7" s="79"/>
    </row>
    <row r="8" spans="1:5">
      <c r="A8" s="31" t="s">
        <v>81</v>
      </c>
      <c r="B8" s="79">
        <f>'CO2'!G101</f>
        <v>17.492657764661885</v>
      </c>
      <c r="C8" s="79"/>
    </row>
    <row r="9" spans="1:5">
      <c r="A9" s="31" t="s">
        <v>128</v>
      </c>
      <c r="B9" s="79">
        <f>Calculation!G21*1.5/1000</f>
        <v>4.0500000000000001E-2</v>
      </c>
      <c r="C9" s="79"/>
    </row>
    <row r="10" spans="1:5" ht="16">
      <c r="A10" s="31" t="s">
        <v>129</v>
      </c>
      <c r="B10" s="79">
        <f>Calculation!H21*1.5/1000</f>
        <v>0</v>
      </c>
      <c r="C10" s="79"/>
    </row>
    <row r="12" spans="1:5">
      <c r="A12" s="31" t="s">
        <v>82</v>
      </c>
      <c r="B12" s="76">
        <f>((4*$B$6)+(3*$B$5)+($B$4)+(B8))/((6*$B$2)+(2*$B$3))</f>
        <v>1.0068121644613102</v>
      </c>
    </row>
    <row r="14" spans="1:5">
      <c r="A14" s="65"/>
      <c r="B14" s="65"/>
      <c r="C14" s="65" t="s">
        <v>131</v>
      </c>
      <c r="D14" s="65" t="s">
        <v>132</v>
      </c>
    </row>
    <row r="15" spans="1:5">
      <c r="A15" s="65" t="s">
        <v>181</v>
      </c>
      <c r="B15" s="65" t="s">
        <v>133</v>
      </c>
      <c r="C15" s="80">
        <f>B2</f>
        <v>23.244879275717572</v>
      </c>
      <c r="D15" s="80">
        <f>B2</f>
        <v>23.244879275717572</v>
      </c>
      <c r="E15" s="65"/>
    </row>
    <row r="16" spans="1:5">
      <c r="A16" s="65" t="s">
        <v>173</v>
      </c>
      <c r="B16" s="65" t="s">
        <v>134</v>
      </c>
      <c r="C16" s="80">
        <f>2*C15</f>
        <v>46.489758551435145</v>
      </c>
      <c r="D16" s="80">
        <f>2*B2</f>
        <v>46.489758551435145</v>
      </c>
      <c r="E16" s="65"/>
    </row>
    <row r="17" spans="1:5">
      <c r="A17" s="65" t="s">
        <v>174</v>
      </c>
      <c r="B17" s="65" t="s">
        <v>135</v>
      </c>
      <c r="C17" s="80">
        <f>B5</f>
        <v>2.0642625215910764</v>
      </c>
      <c r="D17" s="80">
        <f>B5</f>
        <v>2.0642625215910764</v>
      </c>
      <c r="E17" s="65"/>
    </row>
    <row r="18" spans="1:5">
      <c r="A18" s="65" t="s">
        <v>175</v>
      </c>
      <c r="B18" s="65" t="s">
        <v>136</v>
      </c>
      <c r="C18" s="80">
        <f>B4</f>
        <v>22.063144398100867</v>
      </c>
      <c r="D18" s="80">
        <f>B4</f>
        <v>22.063144398100867</v>
      </c>
      <c r="E18" s="65"/>
    </row>
    <row r="19" spans="1:5">
      <c r="A19" s="65" t="s">
        <v>176</v>
      </c>
      <c r="B19" s="65" t="s">
        <v>137</v>
      </c>
      <c r="C19" s="81">
        <f>C16-C17-C18</f>
        <v>22.362351631743202</v>
      </c>
      <c r="D19" s="81">
        <f>B8</f>
        <v>17.492657764661885</v>
      </c>
      <c r="E19" s="65"/>
    </row>
    <row r="20" spans="1:5">
      <c r="A20" s="65" t="s">
        <v>177</v>
      </c>
      <c r="B20" s="65" t="s">
        <v>138</v>
      </c>
      <c r="C20" s="80">
        <f>B3</f>
        <v>12.548697699558154</v>
      </c>
      <c r="D20" s="80">
        <f>B3</f>
        <v>12.548697699558154</v>
      </c>
      <c r="E20" s="65"/>
    </row>
    <row r="21" spans="1:5">
      <c r="A21" s="65" t="s">
        <v>178</v>
      </c>
      <c r="B21" s="65" t="s">
        <v>140</v>
      </c>
      <c r="C21" s="80">
        <f>C16-C17+C20</f>
        <v>56.974193729402224</v>
      </c>
      <c r="D21" s="80">
        <f>B6</f>
        <v>29.984784138487992</v>
      </c>
      <c r="E21" s="65"/>
    </row>
    <row r="22" spans="1:5">
      <c r="A22" s="65" t="s">
        <v>179</v>
      </c>
      <c r="B22" s="65" t="s">
        <v>141</v>
      </c>
      <c r="C22" s="81">
        <f>C21/2</f>
        <v>28.487096864701112</v>
      </c>
      <c r="D22" s="81">
        <f>B6</f>
        <v>29.984784138487992</v>
      </c>
      <c r="E22" s="65"/>
    </row>
    <row r="23" spans="1:5">
      <c r="A23" s="65" t="s">
        <v>180</v>
      </c>
      <c r="B23" s="65"/>
      <c r="E23" s="65"/>
    </row>
    <row r="24" spans="1:5">
      <c r="A24" s="65"/>
      <c r="B24" s="65"/>
      <c r="C24" s="66"/>
      <c r="D24" s="66"/>
      <c r="E24" s="65"/>
    </row>
    <row r="25" spans="1:5">
      <c r="A25" s="65"/>
      <c r="B25" s="65"/>
      <c r="C25" s="65"/>
      <c r="D25" s="65"/>
      <c r="E25" s="65"/>
    </row>
    <row r="26" spans="1:5">
      <c r="A26" s="65"/>
      <c r="B26" s="65"/>
      <c r="C26" s="65"/>
      <c r="D26" s="65"/>
      <c r="E26" s="65"/>
    </row>
    <row r="27" spans="1:5">
      <c r="A27" s="65"/>
      <c r="B27" s="65"/>
      <c r="C27" s="65"/>
      <c r="D27" s="65"/>
      <c r="E27" s="65"/>
    </row>
    <row r="28" spans="1:5">
      <c r="C28" s="65"/>
      <c r="D28" s="65"/>
      <c r="E28" s="6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3" sqref="A3:D21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38.1640625" style="2" customWidth="1"/>
    <col min="12" max="16384" width="8.83203125" style="2"/>
  </cols>
  <sheetData>
    <row r="1" spans="1:11">
      <c r="A1" s="122" t="s">
        <v>4</v>
      </c>
      <c r="B1" s="122" t="s">
        <v>118</v>
      </c>
      <c r="C1" s="122" t="s">
        <v>118</v>
      </c>
      <c r="D1" s="122" t="s">
        <v>5</v>
      </c>
      <c r="E1" s="4" t="s">
        <v>7</v>
      </c>
      <c r="F1" s="4" t="s">
        <v>9</v>
      </c>
      <c r="G1" s="121" t="s">
        <v>11</v>
      </c>
      <c r="H1" s="121" t="s">
        <v>12</v>
      </c>
      <c r="I1" s="4" t="s">
        <v>13</v>
      </c>
      <c r="J1" s="4" t="s">
        <v>16</v>
      </c>
      <c r="K1" s="4" t="s">
        <v>16</v>
      </c>
    </row>
    <row r="2" spans="1:11">
      <c r="A2" s="123"/>
      <c r="B2" s="123"/>
      <c r="C2" s="123"/>
      <c r="D2" s="123"/>
      <c r="E2" s="5" t="s">
        <v>8</v>
      </c>
      <c r="F2" s="5" t="s">
        <v>10</v>
      </c>
      <c r="G2" s="121"/>
      <c r="H2" s="121"/>
      <c r="I2" s="5" t="s">
        <v>14</v>
      </c>
      <c r="J2" s="5" t="s">
        <v>17</v>
      </c>
      <c r="K2" s="5" t="s">
        <v>142</v>
      </c>
    </row>
    <row r="3" spans="1:11">
      <c r="A3" s="33" t="s">
        <v>6</v>
      </c>
      <c r="B3" s="32">
        <v>-10</v>
      </c>
      <c r="C3" s="32">
        <f>B3</f>
        <v>-10</v>
      </c>
      <c r="D3" s="13">
        <f>C3/60</f>
        <v>-0.16666666666666666</v>
      </c>
      <c r="E3" s="3">
        <v>51</v>
      </c>
      <c r="F3" s="1">
        <f>E3</f>
        <v>51</v>
      </c>
      <c r="G3" s="1">
        <v>0</v>
      </c>
      <c r="H3" s="1">
        <v>0</v>
      </c>
      <c r="I3" s="1">
        <f>$F$23+G3+H3</f>
        <v>1500</v>
      </c>
      <c r="J3" s="13">
        <f>F3*1500/I3</f>
        <v>51</v>
      </c>
      <c r="K3" s="13">
        <f>$F$24-J3</f>
        <v>1524</v>
      </c>
    </row>
    <row r="4" spans="1:11">
      <c r="A4" s="1">
        <v>0</v>
      </c>
      <c r="B4" s="32">
        <v>10</v>
      </c>
      <c r="C4" s="32">
        <f>B4</f>
        <v>10</v>
      </c>
      <c r="D4" s="13">
        <f t="shared" ref="D4:D19" si="0">C4/60</f>
        <v>0.16666666666666666</v>
      </c>
      <c r="E4" s="1">
        <v>52</v>
      </c>
      <c r="F4" s="1">
        <f>E4+F3</f>
        <v>103</v>
      </c>
      <c r="G4" s="41">
        <v>0</v>
      </c>
      <c r="H4" s="1">
        <v>0</v>
      </c>
      <c r="I4" s="1">
        <f>$F$24-F3+G4+H4</f>
        <v>1524</v>
      </c>
      <c r="J4" s="13">
        <f>E4*K3/I4</f>
        <v>52</v>
      </c>
      <c r="K4" s="13">
        <f>K3-J4</f>
        <v>1472</v>
      </c>
    </row>
    <row r="5" spans="1:11">
      <c r="A5" s="1">
        <v>1</v>
      </c>
      <c r="B5" s="32">
        <v>110</v>
      </c>
      <c r="C5" s="32">
        <f>C4+B5</f>
        <v>120</v>
      </c>
      <c r="D5" s="13">
        <f t="shared" si="0"/>
        <v>2</v>
      </c>
      <c r="E5" s="1">
        <v>44</v>
      </c>
      <c r="F5" s="1">
        <f t="shared" ref="F5:F18" si="1">E5+F4</f>
        <v>147</v>
      </c>
      <c r="G5" s="41">
        <v>0</v>
      </c>
      <c r="H5" s="1">
        <v>0</v>
      </c>
      <c r="I5" s="41">
        <f t="shared" ref="I5:I19" si="2">$F$24-F4+G5+H5</f>
        <v>1472</v>
      </c>
      <c r="J5" s="13">
        <f t="shared" ref="J5:J13" si="3">E5*K4/I5</f>
        <v>44</v>
      </c>
      <c r="K5" s="13">
        <f>K4-J5</f>
        <v>1428</v>
      </c>
    </row>
    <row r="6" spans="1:11">
      <c r="A6" s="1">
        <v>2</v>
      </c>
      <c r="B6" s="32">
        <v>80</v>
      </c>
      <c r="C6" s="32">
        <f>C5+B6</f>
        <v>200</v>
      </c>
      <c r="D6" s="13">
        <f t="shared" si="0"/>
        <v>3.3333333333333335</v>
      </c>
      <c r="E6" s="1">
        <v>52</v>
      </c>
      <c r="F6" s="1">
        <f t="shared" si="1"/>
        <v>199</v>
      </c>
      <c r="G6" s="41">
        <v>0</v>
      </c>
      <c r="H6" s="23">
        <v>0</v>
      </c>
      <c r="I6" s="41">
        <f t="shared" si="2"/>
        <v>1428</v>
      </c>
      <c r="J6" s="13">
        <f>E6*K5/I6</f>
        <v>52</v>
      </c>
      <c r="K6" s="13">
        <f t="shared" ref="K6:K13" si="4">K5-J6</f>
        <v>1376</v>
      </c>
    </row>
    <row r="7" spans="1:11">
      <c r="A7" s="1">
        <v>3</v>
      </c>
      <c r="B7" s="32">
        <v>80</v>
      </c>
      <c r="C7" s="32">
        <f>C6+B7</f>
        <v>280</v>
      </c>
      <c r="D7" s="13">
        <f t="shared" si="0"/>
        <v>4.666666666666667</v>
      </c>
      <c r="E7" s="1">
        <v>46</v>
      </c>
      <c r="F7" s="1">
        <f t="shared" si="1"/>
        <v>245</v>
      </c>
      <c r="G7" s="41">
        <v>0</v>
      </c>
      <c r="H7" s="23">
        <v>0</v>
      </c>
      <c r="I7" s="41">
        <f t="shared" si="2"/>
        <v>1376</v>
      </c>
      <c r="J7" s="13">
        <f>E7*K6/I7</f>
        <v>46</v>
      </c>
      <c r="K7" s="13">
        <f>K6-J7</f>
        <v>1330</v>
      </c>
    </row>
    <row r="8" spans="1:11">
      <c r="A8" s="1">
        <v>4</v>
      </c>
      <c r="B8" s="32">
        <v>80</v>
      </c>
      <c r="C8" s="32">
        <f t="shared" ref="C8:C18" si="5">C7+B8</f>
        <v>360</v>
      </c>
      <c r="D8" s="13">
        <f t="shared" si="0"/>
        <v>6</v>
      </c>
      <c r="E8" s="1">
        <v>50</v>
      </c>
      <c r="F8" s="1">
        <f t="shared" si="1"/>
        <v>295</v>
      </c>
      <c r="G8" s="41">
        <v>0</v>
      </c>
      <c r="H8" s="23">
        <v>0</v>
      </c>
      <c r="I8" s="41">
        <f t="shared" si="2"/>
        <v>1330</v>
      </c>
      <c r="J8" s="13">
        <f t="shared" si="3"/>
        <v>50</v>
      </c>
      <c r="K8" s="13">
        <f t="shared" si="4"/>
        <v>1280</v>
      </c>
    </row>
    <row r="9" spans="1:11">
      <c r="A9" s="1">
        <v>5</v>
      </c>
      <c r="B9" s="32">
        <v>80</v>
      </c>
      <c r="C9" s="32">
        <f t="shared" si="5"/>
        <v>440</v>
      </c>
      <c r="D9" s="13">
        <f t="shared" si="0"/>
        <v>7.333333333333333</v>
      </c>
      <c r="E9" s="1">
        <v>53</v>
      </c>
      <c r="F9" s="1">
        <f t="shared" si="1"/>
        <v>348</v>
      </c>
      <c r="G9" s="41">
        <v>1</v>
      </c>
      <c r="H9" s="23">
        <v>0</v>
      </c>
      <c r="I9" s="41">
        <f t="shared" si="2"/>
        <v>1281</v>
      </c>
      <c r="J9" s="13">
        <f t="shared" si="3"/>
        <v>52.958626073380174</v>
      </c>
      <c r="K9" s="13">
        <f t="shared" si="4"/>
        <v>1227.0413739266198</v>
      </c>
    </row>
    <row r="10" spans="1:11">
      <c r="A10" s="1">
        <v>6</v>
      </c>
      <c r="B10" s="32">
        <v>80</v>
      </c>
      <c r="C10" s="32">
        <f t="shared" si="5"/>
        <v>520</v>
      </c>
      <c r="D10" s="13">
        <f t="shared" si="0"/>
        <v>8.6666666666666661</v>
      </c>
      <c r="E10" s="1">
        <v>53</v>
      </c>
      <c r="F10" s="1">
        <f t="shared" si="1"/>
        <v>401</v>
      </c>
      <c r="G10" s="41">
        <v>1</v>
      </c>
      <c r="H10" s="23">
        <v>0</v>
      </c>
      <c r="I10" s="41">
        <f t="shared" si="2"/>
        <v>1228</v>
      </c>
      <c r="J10" s="13">
        <f t="shared" si="3"/>
        <v>52.958626073380174</v>
      </c>
      <c r="K10" s="13">
        <f t="shared" si="4"/>
        <v>1174.0827478532397</v>
      </c>
    </row>
    <row r="11" spans="1:11">
      <c r="A11" s="1">
        <v>7</v>
      </c>
      <c r="B11" s="32">
        <v>80</v>
      </c>
      <c r="C11" s="32">
        <f t="shared" si="5"/>
        <v>600</v>
      </c>
      <c r="D11" s="13">
        <f t="shared" si="0"/>
        <v>10</v>
      </c>
      <c r="E11" s="1">
        <v>47</v>
      </c>
      <c r="F11" s="1">
        <f t="shared" si="1"/>
        <v>448</v>
      </c>
      <c r="G11" s="41">
        <v>2</v>
      </c>
      <c r="H11" s="23">
        <v>0</v>
      </c>
      <c r="I11" s="41">
        <f t="shared" si="2"/>
        <v>1176</v>
      </c>
      <c r="J11" s="13">
        <f>E11*K10/I11</f>
        <v>46.92337512678764</v>
      </c>
      <c r="K11" s="13">
        <f t="shared" si="4"/>
        <v>1127.1593727264519</v>
      </c>
    </row>
    <row r="12" spans="1:11">
      <c r="A12" s="1">
        <v>8</v>
      </c>
      <c r="B12" s="32">
        <v>80</v>
      </c>
      <c r="C12" s="32">
        <f t="shared" si="5"/>
        <v>680</v>
      </c>
      <c r="D12" s="13">
        <f t="shared" si="0"/>
        <v>11.333333333333334</v>
      </c>
      <c r="E12" s="1">
        <v>50</v>
      </c>
      <c r="F12" s="1">
        <f t="shared" si="1"/>
        <v>498</v>
      </c>
      <c r="G12" s="41">
        <v>4</v>
      </c>
      <c r="H12" s="23">
        <v>0</v>
      </c>
      <c r="I12" s="41">
        <f t="shared" si="2"/>
        <v>1131</v>
      </c>
      <c r="J12" s="13">
        <f t="shared" si="3"/>
        <v>49.83021099586437</v>
      </c>
      <c r="K12" s="13">
        <f t="shared" si="4"/>
        <v>1077.3291617305877</v>
      </c>
    </row>
    <row r="13" spans="1:11">
      <c r="A13" s="1">
        <v>9</v>
      </c>
      <c r="B13" s="32">
        <v>80</v>
      </c>
      <c r="C13" s="32">
        <f t="shared" si="5"/>
        <v>760</v>
      </c>
      <c r="D13" s="13">
        <f t="shared" si="0"/>
        <v>12.666666666666666</v>
      </c>
      <c r="E13" s="1">
        <v>55</v>
      </c>
      <c r="F13" s="1">
        <f t="shared" si="1"/>
        <v>553</v>
      </c>
      <c r="G13" s="41">
        <v>7</v>
      </c>
      <c r="H13" s="23">
        <v>0</v>
      </c>
      <c r="I13" s="41">
        <f t="shared" si="2"/>
        <v>1084</v>
      </c>
      <c r="J13" s="13">
        <f t="shared" si="3"/>
        <v>54.661534958655281</v>
      </c>
      <c r="K13" s="13">
        <f t="shared" si="4"/>
        <v>1022.6676267719324</v>
      </c>
    </row>
    <row r="14" spans="1:11">
      <c r="A14" s="38">
        <v>10</v>
      </c>
      <c r="B14" s="32">
        <v>80</v>
      </c>
      <c r="C14" s="32">
        <f t="shared" si="5"/>
        <v>840</v>
      </c>
      <c r="D14" s="13">
        <f t="shared" si="0"/>
        <v>14</v>
      </c>
      <c r="E14" s="3">
        <v>46</v>
      </c>
      <c r="F14" s="38">
        <f t="shared" si="1"/>
        <v>599</v>
      </c>
      <c r="G14" s="41">
        <v>11</v>
      </c>
      <c r="H14" s="41">
        <v>0</v>
      </c>
      <c r="I14" s="41">
        <f t="shared" si="2"/>
        <v>1033</v>
      </c>
      <c r="J14" s="13">
        <f t="shared" ref="J14:J19" si="6">E14*K13/I14</f>
        <v>45.539894318982469</v>
      </c>
      <c r="K14" s="13">
        <f t="shared" ref="K14:K19" si="7">K13-J14</f>
        <v>977.12773245295</v>
      </c>
    </row>
    <row r="15" spans="1:11">
      <c r="A15" s="38">
        <v>11</v>
      </c>
      <c r="B15" s="32">
        <v>80</v>
      </c>
      <c r="C15" s="32">
        <f t="shared" si="5"/>
        <v>920</v>
      </c>
      <c r="D15" s="13">
        <f t="shared" si="0"/>
        <v>15.333333333333334</v>
      </c>
      <c r="E15" s="38">
        <v>41</v>
      </c>
      <c r="F15" s="38">
        <f t="shared" si="1"/>
        <v>640</v>
      </c>
      <c r="G15" s="41">
        <v>15</v>
      </c>
      <c r="H15" s="41">
        <v>0</v>
      </c>
      <c r="I15" s="41">
        <f t="shared" si="2"/>
        <v>991</v>
      </c>
      <c r="J15" s="13">
        <f t="shared" si="6"/>
        <v>40.426071675651812</v>
      </c>
      <c r="K15" s="13">
        <f t="shared" si="7"/>
        <v>936.70166077729823</v>
      </c>
    </row>
    <row r="16" spans="1:11">
      <c r="A16" s="38">
        <v>12</v>
      </c>
      <c r="B16" s="32">
        <v>80</v>
      </c>
      <c r="C16" s="32">
        <f t="shared" si="5"/>
        <v>1000</v>
      </c>
      <c r="D16" s="13">
        <f t="shared" si="0"/>
        <v>16.666666666666668</v>
      </c>
      <c r="E16" s="38">
        <v>44</v>
      </c>
      <c r="F16" s="38">
        <f t="shared" si="1"/>
        <v>684</v>
      </c>
      <c r="G16" s="41">
        <v>20</v>
      </c>
      <c r="H16" s="41">
        <v>0</v>
      </c>
      <c r="I16" s="41">
        <f t="shared" si="2"/>
        <v>955</v>
      </c>
      <c r="J16" s="13">
        <f t="shared" si="6"/>
        <v>43.156935156231548</v>
      </c>
      <c r="K16" s="13">
        <f t="shared" si="7"/>
        <v>893.54472562106673</v>
      </c>
    </row>
    <row r="17" spans="1:11">
      <c r="A17" s="38">
        <v>13</v>
      </c>
      <c r="B17" s="32">
        <v>80</v>
      </c>
      <c r="C17" s="32">
        <f t="shared" si="5"/>
        <v>1080</v>
      </c>
      <c r="D17" s="13">
        <f t="shared" si="0"/>
        <v>18</v>
      </c>
      <c r="E17" s="38">
        <v>37</v>
      </c>
      <c r="F17" s="38">
        <f t="shared" si="1"/>
        <v>721</v>
      </c>
      <c r="G17" s="41">
        <v>23</v>
      </c>
      <c r="H17" s="41">
        <v>0</v>
      </c>
      <c r="I17" s="41">
        <f t="shared" si="2"/>
        <v>914</v>
      </c>
      <c r="J17" s="13">
        <f t="shared" si="6"/>
        <v>36.171941846804664</v>
      </c>
      <c r="K17" s="13">
        <f t="shared" si="7"/>
        <v>857.37278377426207</v>
      </c>
    </row>
    <row r="18" spans="1:11">
      <c r="A18" s="38">
        <v>14</v>
      </c>
      <c r="B18" s="32">
        <v>80</v>
      </c>
      <c r="C18" s="32">
        <f t="shared" si="5"/>
        <v>1160</v>
      </c>
      <c r="D18" s="13">
        <f t="shared" si="0"/>
        <v>19.333333333333332</v>
      </c>
      <c r="E18" s="38">
        <v>41</v>
      </c>
      <c r="F18" s="38">
        <f t="shared" si="1"/>
        <v>762</v>
      </c>
      <c r="G18" s="41">
        <v>24</v>
      </c>
      <c r="H18" s="41">
        <v>0</v>
      </c>
      <c r="I18" s="41">
        <f t="shared" si="2"/>
        <v>878</v>
      </c>
      <c r="J18" s="13">
        <f t="shared" si="6"/>
        <v>40.036770085130691</v>
      </c>
      <c r="K18" s="13">
        <f t="shared" si="7"/>
        <v>817.33601368913139</v>
      </c>
    </row>
    <row r="19" spans="1:11">
      <c r="A19" s="38">
        <v>15</v>
      </c>
      <c r="B19" s="32">
        <v>280</v>
      </c>
      <c r="C19" s="32">
        <f>C18+B19</f>
        <v>1440</v>
      </c>
      <c r="D19" s="13">
        <f t="shared" si="0"/>
        <v>24</v>
      </c>
      <c r="E19" s="38">
        <v>60</v>
      </c>
      <c r="F19" s="38">
        <f>E19+F18</f>
        <v>822</v>
      </c>
      <c r="G19" s="41">
        <v>26</v>
      </c>
      <c r="H19" s="41">
        <v>0</v>
      </c>
      <c r="I19" s="41">
        <f t="shared" si="2"/>
        <v>839</v>
      </c>
      <c r="J19" s="13">
        <f t="shared" si="6"/>
        <v>58.450728034979598</v>
      </c>
      <c r="K19" s="13">
        <f t="shared" si="7"/>
        <v>758.88528565415174</v>
      </c>
    </row>
    <row r="20" spans="1:11">
      <c r="A20" s="41">
        <v>16</v>
      </c>
      <c r="B20" s="32">
        <v>360</v>
      </c>
      <c r="C20" s="32">
        <f>C19+B20</f>
        <v>1800</v>
      </c>
      <c r="D20" s="13">
        <f t="shared" ref="D20:D21" si="8">C20/60</f>
        <v>30</v>
      </c>
      <c r="E20" s="41">
        <v>42</v>
      </c>
      <c r="F20" s="41">
        <f>E20+F19</f>
        <v>864</v>
      </c>
      <c r="G20" s="41">
        <v>26</v>
      </c>
      <c r="H20" s="41">
        <v>0</v>
      </c>
      <c r="I20" s="41">
        <f t="shared" ref="I20" si="9">$F$24-F19+G20+H20</f>
        <v>779</v>
      </c>
      <c r="J20" s="13">
        <f t="shared" ref="J20:J21" si="10">E20*K19/I20</f>
        <v>40.915509624485715</v>
      </c>
      <c r="K20" s="13">
        <f t="shared" ref="K20:K21" si="11">K19-J20</f>
        <v>717.96977602966604</v>
      </c>
    </row>
    <row r="21" spans="1:11">
      <c r="A21" s="41">
        <v>17</v>
      </c>
      <c r="B21" s="32">
        <v>1080</v>
      </c>
      <c r="C21" s="32">
        <f>C20+B21</f>
        <v>2880</v>
      </c>
      <c r="D21" s="13">
        <f t="shared" si="8"/>
        <v>48</v>
      </c>
      <c r="E21" s="41">
        <v>41</v>
      </c>
      <c r="F21" s="41">
        <f t="shared" ref="F21" si="12">E21+F20</f>
        <v>905</v>
      </c>
      <c r="G21" s="41">
        <v>27</v>
      </c>
      <c r="H21" s="41">
        <v>0</v>
      </c>
      <c r="I21" s="41">
        <f>$F$24-F20+G21+H21</f>
        <v>738</v>
      </c>
      <c r="J21" s="13">
        <f t="shared" si="10"/>
        <v>39.887209779425895</v>
      </c>
      <c r="K21" s="13">
        <f t="shared" si="11"/>
        <v>678.08256625024012</v>
      </c>
    </row>
    <row r="23" spans="1:11">
      <c r="A23" s="118" t="s">
        <v>15</v>
      </c>
      <c r="B23" s="119"/>
      <c r="C23" s="119"/>
      <c r="D23" s="119"/>
      <c r="E23" s="120"/>
      <c r="F23" s="1">
        <v>1500</v>
      </c>
    </row>
    <row r="24" spans="1:11">
      <c r="A24" s="118" t="s">
        <v>15</v>
      </c>
      <c r="B24" s="119"/>
      <c r="C24" s="119"/>
      <c r="D24" s="119"/>
      <c r="E24" s="120"/>
      <c r="F24" s="41">
        <v>1575</v>
      </c>
    </row>
  </sheetData>
  <mergeCells count="8">
    <mergeCell ref="A24:E24"/>
    <mergeCell ref="A1:A2"/>
    <mergeCell ref="D1:D2"/>
    <mergeCell ref="G1:G2"/>
    <mergeCell ref="H1:H2"/>
    <mergeCell ref="A23:E23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A3" sqref="A3:D21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122" t="s">
        <v>4</v>
      </c>
      <c r="B1" s="122" t="s">
        <v>118</v>
      </c>
      <c r="C1" s="122" t="s">
        <v>118</v>
      </c>
      <c r="D1" s="122" t="s">
        <v>5</v>
      </c>
      <c r="E1" s="127" t="s">
        <v>18</v>
      </c>
      <c r="F1" s="127"/>
      <c r="G1" s="127"/>
      <c r="H1" s="127"/>
      <c r="I1" s="127" t="s">
        <v>20</v>
      </c>
      <c r="J1" s="127"/>
      <c r="K1" s="127"/>
      <c r="L1" s="127"/>
      <c r="M1" s="127" t="s">
        <v>21</v>
      </c>
      <c r="N1" s="127"/>
      <c r="O1" s="127"/>
      <c r="P1" s="127"/>
      <c r="Q1" s="39" t="s">
        <v>22</v>
      </c>
      <c r="R1" s="39" t="s">
        <v>22</v>
      </c>
      <c r="S1" s="39" t="s">
        <v>22</v>
      </c>
    </row>
    <row r="2" spans="1:19">
      <c r="A2" s="123"/>
      <c r="B2" s="123"/>
      <c r="C2" s="123"/>
      <c r="D2" s="123"/>
      <c r="E2" s="42" t="s">
        <v>19</v>
      </c>
      <c r="F2" s="42" t="s">
        <v>68</v>
      </c>
      <c r="G2" s="42" t="s">
        <v>119</v>
      </c>
      <c r="H2" s="42" t="s">
        <v>70</v>
      </c>
      <c r="I2" s="42" t="s">
        <v>19</v>
      </c>
      <c r="J2" s="42" t="s">
        <v>68</v>
      </c>
      <c r="K2" s="42" t="s">
        <v>69</v>
      </c>
      <c r="L2" s="42" t="s">
        <v>70</v>
      </c>
      <c r="M2" s="42" t="s">
        <v>19</v>
      </c>
      <c r="N2" s="42" t="s">
        <v>68</v>
      </c>
      <c r="O2" s="42" t="s">
        <v>69</v>
      </c>
      <c r="P2" s="42" t="s">
        <v>71</v>
      </c>
      <c r="Q2" s="40" t="s">
        <v>70</v>
      </c>
      <c r="R2" s="40" t="s">
        <v>23</v>
      </c>
      <c r="S2" s="40" t="s">
        <v>72</v>
      </c>
    </row>
    <row r="3" spans="1:19" s="6" customFormat="1">
      <c r="A3" s="41" t="s">
        <v>6</v>
      </c>
      <c r="B3" s="32">
        <v>-10</v>
      </c>
      <c r="C3" s="32">
        <f>B3</f>
        <v>-10</v>
      </c>
      <c r="D3" s="13">
        <f>C3/60</f>
        <v>-0.16666666666666666</v>
      </c>
      <c r="Q3" s="124"/>
      <c r="R3" s="125"/>
      <c r="S3" s="126"/>
    </row>
    <row r="4" spans="1:19">
      <c r="A4" s="41">
        <v>0</v>
      </c>
      <c r="B4" s="32">
        <v>10</v>
      </c>
      <c r="C4" s="32">
        <f>B4</f>
        <v>10</v>
      </c>
      <c r="D4" s="13">
        <f t="shared" ref="D4:D21" si="0">C4/60</f>
        <v>0.16666666666666666</v>
      </c>
      <c r="Q4" s="47" t="e">
        <f>AVERAGE('Flow cytometer'!P4,'Flow cytometer'!L4,'Flow cytometer'!H4)*Calculation!K4/Calculation!M3</f>
        <v>#DIV/0!</v>
      </c>
      <c r="R4" s="47" t="e">
        <f>STDEV('Flow cytometer'!P4,'Flow cytometer'!L4,'Flow cytometer'!H4)*Calculation!K4/Calculation!M3</f>
        <v>#DIV/0!</v>
      </c>
      <c r="S4" s="48" t="e">
        <f t="shared" ref="S4:S19" si="1">LOG(Q4)</f>
        <v>#DIV/0!</v>
      </c>
    </row>
    <row r="5" spans="1:19">
      <c r="A5" s="41">
        <v>1</v>
      </c>
      <c r="B5" s="32">
        <v>110</v>
      </c>
      <c r="C5" s="32">
        <f>C4+B5</f>
        <v>120</v>
      </c>
      <c r="D5" s="13">
        <f t="shared" si="0"/>
        <v>2</v>
      </c>
      <c r="Q5" s="47" t="e">
        <f>AVERAGE('Flow cytometer'!P5,'Flow cytometer'!L5,'Flow cytometer'!H5)*Calculation!K5/Calculation!M4</f>
        <v>#DIV/0!</v>
      </c>
      <c r="R5" s="47" t="e">
        <f>STDEV('Flow cytometer'!P5,'Flow cytometer'!L5,'Flow cytometer'!H5)*Calculation!K5/Calculation!M4</f>
        <v>#DIV/0!</v>
      </c>
      <c r="S5" s="48" t="e">
        <f t="shared" si="1"/>
        <v>#DIV/0!</v>
      </c>
    </row>
    <row r="6" spans="1:19">
      <c r="A6" s="41">
        <v>2</v>
      </c>
      <c r="B6" s="32">
        <v>80</v>
      </c>
      <c r="C6" s="32">
        <f>C5+B6</f>
        <v>200</v>
      </c>
      <c r="D6" s="13">
        <f t="shared" si="0"/>
        <v>3.3333333333333335</v>
      </c>
      <c r="Q6" s="47" t="e">
        <f>AVERAGE('Flow cytometer'!P6,'Flow cytometer'!L6,'Flow cytometer'!H6)*Calculation!K6/Calculation!M5</f>
        <v>#DIV/0!</v>
      </c>
      <c r="R6" s="47" t="e">
        <f>STDEV('Flow cytometer'!P6,'Flow cytometer'!L6,'Flow cytometer'!H6)*Calculation!K6/Calculation!M5</f>
        <v>#DIV/0!</v>
      </c>
      <c r="S6" s="48" t="e">
        <f t="shared" si="1"/>
        <v>#DIV/0!</v>
      </c>
    </row>
    <row r="7" spans="1:19">
      <c r="A7" s="41">
        <v>3</v>
      </c>
      <c r="B7" s="32">
        <v>80</v>
      </c>
      <c r="C7" s="32">
        <f>C6+B7</f>
        <v>280</v>
      </c>
      <c r="D7" s="13">
        <f t="shared" si="0"/>
        <v>4.666666666666667</v>
      </c>
      <c r="Q7" s="47" t="e">
        <f>AVERAGE('Flow cytometer'!P7,'Flow cytometer'!L7,'Flow cytometer'!H7)*Calculation!K7/Calculation!M6</f>
        <v>#DIV/0!</v>
      </c>
      <c r="R7" s="47" t="e">
        <f>STDEV('Flow cytometer'!P7,'Flow cytometer'!L7,'Flow cytometer'!H7)*Calculation!K7/Calculation!M6</f>
        <v>#DIV/0!</v>
      </c>
      <c r="S7" s="48" t="e">
        <f t="shared" si="1"/>
        <v>#DIV/0!</v>
      </c>
    </row>
    <row r="8" spans="1:19">
      <c r="A8" s="41">
        <v>4</v>
      </c>
      <c r="B8" s="32">
        <v>80</v>
      </c>
      <c r="C8" s="32">
        <f t="shared" ref="C8:C18" si="2">C7+B8</f>
        <v>360</v>
      </c>
      <c r="D8" s="13">
        <f t="shared" si="0"/>
        <v>6</v>
      </c>
      <c r="Q8" s="47" t="e">
        <f>AVERAGE('Flow cytometer'!P8,'Flow cytometer'!L8,'Flow cytometer'!H8)*Calculation!K8/Calculation!M7</f>
        <v>#DIV/0!</v>
      </c>
      <c r="R8" s="47" t="e">
        <f>STDEV('Flow cytometer'!P8,'Flow cytometer'!L8,'Flow cytometer'!H8)*Calculation!K8/Calculation!M7</f>
        <v>#DIV/0!</v>
      </c>
      <c r="S8" s="48" t="e">
        <f t="shared" si="1"/>
        <v>#DIV/0!</v>
      </c>
    </row>
    <row r="9" spans="1:19">
      <c r="A9" s="41">
        <v>5</v>
      </c>
      <c r="B9" s="32">
        <v>80</v>
      </c>
      <c r="C9" s="32">
        <f t="shared" si="2"/>
        <v>440</v>
      </c>
      <c r="D9" s="13">
        <f t="shared" si="0"/>
        <v>7.333333333333333</v>
      </c>
      <c r="Q9" s="47" t="e">
        <f>AVERAGE('Flow cytometer'!P9,'Flow cytometer'!L9,'Flow cytometer'!H9)*Calculation!K9/Calculation!M8</f>
        <v>#DIV/0!</v>
      </c>
      <c r="R9" s="47" t="e">
        <f>STDEV('Flow cytometer'!P9,'Flow cytometer'!L9,'Flow cytometer'!H9)*Calculation!K9/Calculation!M8</f>
        <v>#DIV/0!</v>
      </c>
      <c r="S9" s="48" t="e">
        <f t="shared" si="1"/>
        <v>#DIV/0!</v>
      </c>
    </row>
    <row r="10" spans="1:19">
      <c r="A10" s="41">
        <v>6</v>
      </c>
      <c r="B10" s="32">
        <v>80</v>
      </c>
      <c r="C10" s="32">
        <f t="shared" si="2"/>
        <v>520</v>
      </c>
      <c r="D10" s="13">
        <f t="shared" si="0"/>
        <v>8.6666666666666661</v>
      </c>
      <c r="Q10" s="47" t="e">
        <f>AVERAGE('Flow cytometer'!P10,'Flow cytometer'!L10,'Flow cytometer'!H10)*Calculation!K10/Calculation!M9</f>
        <v>#DIV/0!</v>
      </c>
      <c r="R10" s="47" t="e">
        <f>STDEV('Flow cytometer'!P10,'Flow cytometer'!L10,'Flow cytometer'!H10)*Calculation!K10/Calculation!M9</f>
        <v>#DIV/0!</v>
      </c>
      <c r="S10" s="48" t="e">
        <f t="shared" si="1"/>
        <v>#DIV/0!</v>
      </c>
    </row>
    <row r="11" spans="1:19">
      <c r="A11" s="41">
        <v>7</v>
      </c>
      <c r="B11" s="32">
        <v>80</v>
      </c>
      <c r="C11" s="32">
        <f t="shared" si="2"/>
        <v>600</v>
      </c>
      <c r="D11" s="13">
        <f t="shared" si="0"/>
        <v>10</v>
      </c>
      <c r="Q11" s="47" t="e">
        <f>AVERAGE('Flow cytometer'!P11,'Flow cytometer'!L11,'Flow cytometer'!H11)*Calculation!K11/Calculation!M10</f>
        <v>#DIV/0!</v>
      </c>
      <c r="R11" s="47" t="e">
        <f>STDEV('Flow cytometer'!P11,'Flow cytometer'!L11,'Flow cytometer'!H11)*Calculation!K11/Calculation!M10</f>
        <v>#DIV/0!</v>
      </c>
      <c r="S11" s="48" t="e">
        <f t="shared" si="1"/>
        <v>#DIV/0!</v>
      </c>
    </row>
    <row r="12" spans="1:19">
      <c r="A12" s="41">
        <v>8</v>
      </c>
      <c r="B12" s="32">
        <v>80</v>
      </c>
      <c r="C12" s="32">
        <f t="shared" si="2"/>
        <v>680</v>
      </c>
      <c r="D12" s="13">
        <f t="shared" si="0"/>
        <v>11.333333333333334</v>
      </c>
      <c r="Q12" s="47" t="e">
        <f>AVERAGE('Flow cytometer'!P12,'Flow cytometer'!L12,'Flow cytometer'!H12)*Calculation!K12/Calculation!M11</f>
        <v>#DIV/0!</v>
      </c>
      <c r="R12" s="47" t="e">
        <f>STDEV('Flow cytometer'!P12,'Flow cytometer'!L12,'Flow cytometer'!H12)*Calculation!K12/Calculation!M11</f>
        <v>#DIV/0!</v>
      </c>
      <c r="S12" s="48" t="e">
        <f t="shared" si="1"/>
        <v>#DIV/0!</v>
      </c>
    </row>
    <row r="13" spans="1:19">
      <c r="A13" s="41">
        <v>9</v>
      </c>
      <c r="B13" s="32">
        <v>80</v>
      </c>
      <c r="C13" s="32">
        <f t="shared" si="2"/>
        <v>760</v>
      </c>
      <c r="D13" s="13">
        <f t="shared" si="0"/>
        <v>12.666666666666666</v>
      </c>
      <c r="Q13" s="47" t="e">
        <f>AVERAGE('Flow cytometer'!P13,'Flow cytometer'!L13,'Flow cytometer'!H13)*Calculation!K13/Calculation!M12</f>
        <v>#DIV/0!</v>
      </c>
      <c r="R13" s="47" t="e">
        <f>STDEV('Flow cytometer'!P13,'Flow cytometer'!L13,'Flow cytometer'!H13)*Calculation!K13/Calculation!M12</f>
        <v>#DIV/0!</v>
      </c>
      <c r="S13" s="48" t="e">
        <f t="shared" si="1"/>
        <v>#DIV/0!</v>
      </c>
    </row>
    <row r="14" spans="1:19">
      <c r="A14" s="41">
        <v>10</v>
      </c>
      <c r="B14" s="32">
        <v>80</v>
      </c>
      <c r="C14" s="32">
        <f t="shared" si="2"/>
        <v>840</v>
      </c>
      <c r="D14" s="13">
        <f t="shared" si="0"/>
        <v>14</v>
      </c>
      <c r="Q14" s="47" t="e">
        <f>AVERAGE('Flow cytometer'!P14,'Flow cytometer'!L14,'Flow cytometer'!H14)*Calculation!K14/Calculation!M13</f>
        <v>#DIV/0!</v>
      </c>
      <c r="R14" s="47" t="e">
        <f>STDEV('Flow cytometer'!P14,'Flow cytometer'!L14,'Flow cytometer'!H14)*Calculation!K14/Calculation!M13</f>
        <v>#DIV/0!</v>
      </c>
      <c r="S14" s="48" t="e">
        <f t="shared" si="1"/>
        <v>#DIV/0!</v>
      </c>
    </row>
    <row r="15" spans="1:19">
      <c r="A15" s="41">
        <v>11</v>
      </c>
      <c r="B15" s="32">
        <v>80</v>
      </c>
      <c r="C15" s="32">
        <f t="shared" si="2"/>
        <v>920</v>
      </c>
      <c r="D15" s="13">
        <f t="shared" si="0"/>
        <v>15.333333333333334</v>
      </c>
      <c r="Q15" s="47" t="e">
        <f>AVERAGE('Flow cytometer'!P15,'Flow cytometer'!L15,'Flow cytometer'!H15)*Calculation!K15/Calculation!M14</f>
        <v>#DIV/0!</v>
      </c>
      <c r="R15" s="47" t="e">
        <f>STDEV('Flow cytometer'!P15,'Flow cytometer'!L15,'Flow cytometer'!H15)*Calculation!K15/Calculation!M14</f>
        <v>#DIV/0!</v>
      </c>
      <c r="S15" s="48" t="e">
        <f t="shared" si="1"/>
        <v>#DIV/0!</v>
      </c>
    </row>
    <row r="16" spans="1:19">
      <c r="A16" s="41">
        <v>12</v>
      </c>
      <c r="B16" s="32">
        <v>80</v>
      </c>
      <c r="C16" s="32">
        <f t="shared" si="2"/>
        <v>1000</v>
      </c>
      <c r="D16" s="13">
        <f t="shared" si="0"/>
        <v>16.666666666666668</v>
      </c>
      <c r="Q16" s="47" t="e">
        <f>AVERAGE('Flow cytometer'!P16,'Flow cytometer'!L16,'Flow cytometer'!H16)*Calculation!K16/Calculation!M15</f>
        <v>#DIV/0!</v>
      </c>
      <c r="R16" s="47" t="e">
        <f>STDEV('Flow cytometer'!P16,'Flow cytometer'!L16,'Flow cytometer'!H16)*Calculation!K16/Calculation!M15</f>
        <v>#DIV/0!</v>
      </c>
      <c r="S16" s="48" t="e">
        <f t="shared" si="1"/>
        <v>#DIV/0!</v>
      </c>
    </row>
    <row r="17" spans="1:19">
      <c r="A17" s="41">
        <v>13</v>
      </c>
      <c r="B17" s="32">
        <v>80</v>
      </c>
      <c r="C17" s="32">
        <f t="shared" si="2"/>
        <v>1080</v>
      </c>
      <c r="D17" s="13">
        <f t="shared" si="0"/>
        <v>18</v>
      </c>
      <c r="Q17" s="47" t="e">
        <f>AVERAGE('Flow cytometer'!P17,'Flow cytometer'!L17,'Flow cytometer'!H17)*Calculation!K17/Calculation!M16</f>
        <v>#DIV/0!</v>
      </c>
      <c r="R17" s="47" t="e">
        <f>STDEV('Flow cytometer'!P17,'Flow cytometer'!L17,'Flow cytometer'!H17)*Calculation!K17/Calculation!M16</f>
        <v>#DIV/0!</v>
      </c>
      <c r="S17" s="48" t="e">
        <f t="shared" si="1"/>
        <v>#DIV/0!</v>
      </c>
    </row>
    <row r="18" spans="1:19">
      <c r="A18" s="41">
        <v>14</v>
      </c>
      <c r="B18" s="32">
        <v>80</v>
      </c>
      <c r="C18" s="32">
        <f t="shared" si="2"/>
        <v>1160</v>
      </c>
      <c r="D18" s="13">
        <f t="shared" si="0"/>
        <v>19.333333333333332</v>
      </c>
      <c r="Q18" s="47" t="e">
        <f>AVERAGE('Flow cytometer'!P18,'Flow cytometer'!L18,'Flow cytometer'!H18)*Calculation!K18/Calculation!M17</f>
        <v>#DIV/0!</v>
      </c>
      <c r="R18" s="47" t="e">
        <f>STDEV('Flow cytometer'!P18,'Flow cytometer'!L18,'Flow cytometer'!H18)*Calculation!K18/Calculation!M17</f>
        <v>#DIV/0!</v>
      </c>
      <c r="S18" s="48" t="e">
        <f t="shared" si="1"/>
        <v>#DIV/0!</v>
      </c>
    </row>
    <row r="19" spans="1:19">
      <c r="A19" s="41">
        <v>15</v>
      </c>
      <c r="B19" s="32">
        <v>280</v>
      </c>
      <c r="C19" s="32">
        <f>C18+B19</f>
        <v>1440</v>
      </c>
      <c r="D19" s="13">
        <f t="shared" si="0"/>
        <v>24</v>
      </c>
      <c r="Q19" s="47" t="e">
        <f>AVERAGE('Flow cytometer'!P19,'Flow cytometer'!L19,'Flow cytometer'!H19)*Calculation!K19/Calculation!M18</f>
        <v>#DIV/0!</v>
      </c>
      <c r="R19" s="47" t="e">
        <f>STDEV('Flow cytometer'!P19,'Flow cytometer'!L19,'Flow cytometer'!H19)*Calculation!K19/Calculation!M18</f>
        <v>#DIV/0!</v>
      </c>
      <c r="S19" s="48" t="e">
        <f t="shared" si="1"/>
        <v>#DIV/0!</v>
      </c>
    </row>
    <row r="20" spans="1:19">
      <c r="A20" s="41">
        <v>16</v>
      </c>
      <c r="B20" s="32">
        <v>360</v>
      </c>
      <c r="C20" s="32">
        <f>C19+B20</f>
        <v>1800</v>
      </c>
      <c r="D20" s="13">
        <f t="shared" si="0"/>
        <v>30</v>
      </c>
      <c r="Q20" s="47" t="e">
        <f>AVERAGE('Flow cytometer'!P20,'Flow cytometer'!L20,'Flow cytometer'!H20)*Calculation!K20/Calculation!M19</f>
        <v>#DIV/0!</v>
      </c>
      <c r="R20" s="47" t="e">
        <f>STDEV('Flow cytometer'!P20,'Flow cytometer'!L20,'Flow cytometer'!H20)*Calculation!K20/Calculation!M19</f>
        <v>#DIV/0!</v>
      </c>
      <c r="S20" s="48" t="e">
        <f t="shared" ref="S20:S21" si="3">LOG(Q20)</f>
        <v>#DIV/0!</v>
      </c>
    </row>
    <row r="21" spans="1:19">
      <c r="A21" s="41">
        <v>17</v>
      </c>
      <c r="B21" s="32">
        <v>1080</v>
      </c>
      <c r="C21" s="32">
        <f>C20+B21</f>
        <v>2880</v>
      </c>
      <c r="D21" s="13">
        <f t="shared" si="0"/>
        <v>48</v>
      </c>
      <c r="Q21" s="47" t="e">
        <f>AVERAGE('Flow cytometer'!P21,'Flow cytometer'!L21,'Flow cytometer'!H21)*Calculation!K21/Calculation!M20</f>
        <v>#DIV/0!</v>
      </c>
      <c r="R21" s="47" t="e">
        <f>STDEV('Flow cytometer'!P21,'Flow cytometer'!L21,'Flow cytometer'!H21)*Calculation!K21/Calculation!M20</f>
        <v>#DIV/0!</v>
      </c>
      <c r="S21" s="48" t="e">
        <f t="shared" si="3"/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21"/>
  <sheetViews>
    <sheetView workbookViewId="0">
      <selection activeCell="Q21" sqref="Q21"/>
    </sheetView>
  </sheetViews>
  <sheetFormatPr baseColWidth="10" defaultColWidth="8.83203125" defaultRowHeight="14" x14ac:dyDescent="0"/>
  <cols>
    <col min="17" max="17" width="9.1640625" bestFit="1" customWidth="1"/>
    <col min="19" max="20" width="14.83203125" bestFit="1" customWidth="1"/>
    <col min="21" max="23" width="14.83203125" customWidth="1"/>
    <col min="24" max="24" width="14.83203125" bestFit="1" customWidth="1"/>
  </cols>
  <sheetData>
    <row r="1" spans="1:24">
      <c r="A1" s="122" t="s">
        <v>4</v>
      </c>
      <c r="B1" s="122" t="s">
        <v>118</v>
      </c>
      <c r="C1" s="122" t="s">
        <v>118</v>
      </c>
      <c r="D1" s="122" t="s">
        <v>5</v>
      </c>
      <c r="E1" s="121" t="s">
        <v>120</v>
      </c>
      <c r="F1" s="121"/>
      <c r="G1" s="121"/>
      <c r="H1" s="121"/>
      <c r="I1" s="121" t="s">
        <v>121</v>
      </c>
      <c r="J1" s="121"/>
      <c r="K1" s="121"/>
      <c r="L1" s="121"/>
      <c r="M1" s="121" t="s">
        <v>122</v>
      </c>
      <c r="N1" s="121"/>
      <c r="O1" s="121"/>
      <c r="P1" s="121"/>
      <c r="Q1" s="25" t="s">
        <v>123</v>
      </c>
      <c r="R1" s="25" t="s">
        <v>123</v>
      </c>
      <c r="S1" s="25" t="s">
        <v>123</v>
      </c>
      <c r="T1" s="63" t="s">
        <v>123</v>
      </c>
      <c r="U1" s="77" t="s">
        <v>120</v>
      </c>
      <c r="V1" s="77" t="s">
        <v>121</v>
      </c>
      <c r="W1" s="77" t="s">
        <v>122</v>
      </c>
      <c r="X1" s="77" t="s">
        <v>123</v>
      </c>
    </row>
    <row r="2" spans="1:24">
      <c r="A2" s="123"/>
      <c r="B2" s="123"/>
      <c r="C2" s="123"/>
      <c r="D2" s="123"/>
      <c r="E2" s="24" t="s">
        <v>19</v>
      </c>
      <c r="F2" s="24" t="s">
        <v>68</v>
      </c>
      <c r="G2" s="24" t="s">
        <v>69</v>
      </c>
      <c r="H2" s="24" t="s">
        <v>70</v>
      </c>
      <c r="I2" s="24" t="s">
        <v>19</v>
      </c>
      <c r="J2" s="24" t="s">
        <v>68</v>
      </c>
      <c r="K2" s="24" t="s">
        <v>69</v>
      </c>
      <c r="L2" s="24" t="s">
        <v>70</v>
      </c>
      <c r="M2" s="24" t="s">
        <v>19</v>
      </c>
      <c r="N2" s="24" t="s">
        <v>68</v>
      </c>
      <c r="O2" s="24" t="s">
        <v>69</v>
      </c>
      <c r="P2" s="24" t="s">
        <v>71</v>
      </c>
      <c r="Q2" s="26" t="s">
        <v>70</v>
      </c>
      <c r="R2" s="26" t="s">
        <v>23</v>
      </c>
      <c r="S2" s="26" t="s">
        <v>72</v>
      </c>
      <c r="T2" s="64" t="s">
        <v>139</v>
      </c>
      <c r="U2" s="78" t="s">
        <v>151</v>
      </c>
      <c r="V2" s="78" t="s">
        <v>151</v>
      </c>
      <c r="W2" s="78" t="s">
        <v>151</v>
      </c>
      <c r="X2" s="78" t="s">
        <v>150</v>
      </c>
    </row>
    <row r="3" spans="1:24">
      <c r="A3" s="67" t="s">
        <v>6</v>
      </c>
      <c r="B3" s="68">
        <v>-10</v>
      </c>
      <c r="C3" s="68">
        <v>-10</v>
      </c>
      <c r="D3" s="69">
        <v>-0.16666666666666666</v>
      </c>
      <c r="E3" s="45" t="s">
        <v>102</v>
      </c>
      <c r="F3" s="45" t="s">
        <v>102</v>
      </c>
      <c r="G3" s="45" t="s">
        <v>102</v>
      </c>
      <c r="H3" s="46" t="s">
        <v>102</v>
      </c>
      <c r="I3" s="45" t="s">
        <v>102</v>
      </c>
      <c r="J3" s="45" t="s">
        <v>102</v>
      </c>
      <c r="K3" s="45" t="s">
        <v>102</v>
      </c>
      <c r="L3" s="46" t="s">
        <v>102</v>
      </c>
      <c r="M3" s="45" t="s">
        <v>102</v>
      </c>
      <c r="N3" s="45" t="s">
        <v>102</v>
      </c>
      <c r="O3" s="45" t="s">
        <v>102</v>
      </c>
      <c r="P3" s="46" t="s">
        <v>102</v>
      </c>
      <c r="Q3" s="128" t="s">
        <v>102</v>
      </c>
      <c r="R3" s="129"/>
      <c r="S3" s="130"/>
      <c r="T3" s="46" t="s">
        <v>102</v>
      </c>
      <c r="U3" s="46" t="s">
        <v>102</v>
      </c>
      <c r="V3" s="46" t="s">
        <v>102</v>
      </c>
      <c r="W3" s="46" t="s">
        <v>102</v>
      </c>
      <c r="X3" s="46" t="s">
        <v>102</v>
      </c>
    </row>
    <row r="4" spans="1:24">
      <c r="A4" s="70">
        <v>0</v>
      </c>
      <c r="B4" s="71">
        <v>10</v>
      </c>
      <c r="C4" s="71">
        <v>10</v>
      </c>
      <c r="D4" s="72">
        <v>0.16666666666666666</v>
      </c>
      <c r="E4" s="32">
        <v>1</v>
      </c>
      <c r="F4" s="32">
        <v>11315</v>
      </c>
      <c r="G4" s="32">
        <v>7</v>
      </c>
      <c r="H4" s="46">
        <f>('Flow cytometer'!F4/'Flow cytometer'!G4)*POWER(10,'Flow cytometer'!E4+2)*10.2</f>
        <v>16487571.428571427</v>
      </c>
      <c r="I4" s="32">
        <v>1</v>
      </c>
      <c r="J4" s="32">
        <v>12440</v>
      </c>
      <c r="K4" s="32">
        <v>7</v>
      </c>
      <c r="L4" s="46">
        <f>('Flow cytometer'!J4/'Flow cytometer'!K4)*POWER(10,'Flow cytometer'!I4+2)*10.2</f>
        <v>18126857.142857142</v>
      </c>
      <c r="M4" s="32">
        <v>1</v>
      </c>
      <c r="N4" s="32">
        <v>12143</v>
      </c>
      <c r="O4" s="32">
        <v>7</v>
      </c>
      <c r="P4" s="46">
        <f>('Flow cytometer'!N4/'Flow cytometer'!O4)*POWER(10,'Flow cytometer'!M4+2)*10.2</f>
        <v>17694085.714285713</v>
      </c>
      <c r="Q4" s="49">
        <f>AVERAGE(H4,L4,P4)*Calculation!I4/Calculation!K3</f>
        <v>17436171.428571429</v>
      </c>
      <c r="R4" s="50">
        <f>STDEV(H4,L4,P4)*Calculation!I4/Calculation!K3</f>
        <v>849531.78124596295</v>
      </c>
      <c r="S4" s="51">
        <f>LOG(Q4)</f>
        <v>7.2414511302536884</v>
      </c>
      <c r="T4" s="51">
        <f>LN(Q4)</f>
        <v>16.674057424167025</v>
      </c>
      <c r="U4" s="51">
        <f>LOG(H4)</f>
        <v>7.2171566900384079</v>
      </c>
      <c r="V4" s="51">
        <f>LOG(L4)</f>
        <v>7.2583225121024606</v>
      </c>
      <c r="W4" s="51">
        <f>LOG(P4)</f>
        <v>7.247828126764488</v>
      </c>
      <c r="X4" s="51">
        <f xml:space="preserve"> STDEV(U4:W4)*Calculation!I4/Calculation!K3</f>
        <v>2.1391174428850478E-2</v>
      </c>
    </row>
    <row r="5" spans="1:24">
      <c r="A5" s="70">
        <v>1</v>
      </c>
      <c r="B5" s="71">
        <v>110</v>
      </c>
      <c r="C5" s="71">
        <v>120</v>
      </c>
      <c r="D5" s="72">
        <v>2</v>
      </c>
      <c r="E5" s="32">
        <v>1</v>
      </c>
      <c r="F5" s="32">
        <v>27916</v>
      </c>
      <c r="G5" s="32">
        <v>7</v>
      </c>
      <c r="H5" s="46">
        <f>('Flow cytometer'!F5/'Flow cytometer'!G5)*POWER(10,'Flow cytometer'!E5+2)*10.2</f>
        <v>40677600</v>
      </c>
      <c r="I5" s="32">
        <v>1</v>
      </c>
      <c r="J5" s="32">
        <v>28244</v>
      </c>
      <c r="K5" s="32">
        <v>7</v>
      </c>
      <c r="L5" s="46">
        <f>('Flow cytometer'!J5/'Flow cytometer'!K5)*POWER(10,'Flow cytometer'!I5+2)*10.2</f>
        <v>41155542.857142851</v>
      </c>
      <c r="M5" s="32">
        <v>1</v>
      </c>
      <c r="N5" s="32">
        <v>28227</v>
      </c>
      <c r="O5" s="32">
        <v>7</v>
      </c>
      <c r="P5" s="46">
        <f>('Flow cytometer'!N5/'Flow cytometer'!O5)*POWER(10,'Flow cytometer'!M5+2)*10.2</f>
        <v>41130771.428571425</v>
      </c>
      <c r="Q5" s="49">
        <f>AVERAGE(H5,L5,P5)*Calculation!I5/Calculation!K4</f>
        <v>40987971.428571425</v>
      </c>
      <c r="R5" s="50">
        <f>STDEV(H5,L5,P5)*Calculation!I5/Calculation!K4</f>
        <v>269074.75480518024</v>
      </c>
      <c r="S5" s="51">
        <f t="shared" ref="S5:S19" si="0">LOG(Q5)</f>
        <v>7.6126564248015391</v>
      </c>
      <c r="T5" s="51">
        <f t="shared" ref="T5:T19" si="1">LN(Q5)</f>
        <v>17.528789201833373</v>
      </c>
      <c r="U5" s="51">
        <f t="shared" ref="U5:U20" si="2">LOG(H5)</f>
        <v>7.6093553214015355</v>
      </c>
      <c r="V5" s="51">
        <f t="shared" ref="V5:V20" si="3">LOG(L5)</f>
        <v>7.6144283345704027</v>
      </c>
      <c r="W5" s="51">
        <f t="shared" ref="W5:W20" si="4">LOG(P5)</f>
        <v>7.6141668549998132</v>
      </c>
      <c r="X5" s="51">
        <f xml:space="preserve"> STDEV(U5:W5)*Calculation!I5/Calculation!K4</f>
        <v>2.8564164537840894E-3</v>
      </c>
    </row>
    <row r="6" spans="1:24">
      <c r="A6" s="70">
        <v>2</v>
      </c>
      <c r="B6" s="71">
        <v>80</v>
      </c>
      <c r="C6" s="71">
        <v>200</v>
      </c>
      <c r="D6" s="72">
        <v>3.3333333333333335</v>
      </c>
      <c r="E6" s="32">
        <v>2</v>
      </c>
      <c r="F6" s="32">
        <v>4087</v>
      </c>
      <c r="G6" s="32">
        <v>7</v>
      </c>
      <c r="H6" s="46">
        <f>('Flow cytometer'!F6/'Flow cytometer'!G6)*POWER(10,'Flow cytometer'!E6+2)*10.2</f>
        <v>59553428.571428575</v>
      </c>
      <c r="I6" s="32">
        <v>2</v>
      </c>
      <c r="J6" s="32">
        <v>4092</v>
      </c>
      <c r="K6" s="32">
        <v>7</v>
      </c>
      <c r="L6" s="46">
        <f>('Flow cytometer'!J6/'Flow cytometer'!K6)*POWER(10,'Flow cytometer'!I6+2)*10.2</f>
        <v>59626285.714285709</v>
      </c>
      <c r="M6" s="32">
        <v>2</v>
      </c>
      <c r="N6" s="32">
        <v>4079</v>
      </c>
      <c r="O6" s="32">
        <v>7</v>
      </c>
      <c r="P6" s="46">
        <f>('Flow cytometer'!N6/'Flow cytometer'!O6)*POWER(10,'Flow cytometer'!M6+2)*10.2</f>
        <v>59436857.142857127</v>
      </c>
      <c r="Q6" s="49">
        <f>AVERAGE(H6,L6,P6)*Calculation!I6/Calculation!K5</f>
        <v>59538857.142857134</v>
      </c>
      <c r="R6" s="50">
        <f>STDEV(H6,L6,P6)*Calculation!I6/Calculation!K5</f>
        <v>95551.247068406898</v>
      </c>
      <c r="S6" s="51">
        <f t="shared" si="0"/>
        <v>7.7748004940440891</v>
      </c>
      <c r="T6" s="51">
        <f t="shared" si="1"/>
        <v>17.902139718588661</v>
      </c>
      <c r="U6" s="51">
        <f t="shared" si="2"/>
        <v>7.7749067694592542</v>
      </c>
      <c r="V6" s="51">
        <f t="shared" si="3"/>
        <v>7.7754377567877828</v>
      </c>
      <c r="W6" s="51">
        <f t="shared" si="4"/>
        <v>7.774055837064755</v>
      </c>
      <c r="X6" s="51">
        <f xml:space="preserve"> STDEV(U6:W6)*Calculation!I6/Calculation!K5</f>
        <v>6.9710539661748826E-4</v>
      </c>
    </row>
    <row r="7" spans="1:24">
      <c r="A7" s="70">
        <v>3</v>
      </c>
      <c r="B7" s="71">
        <v>80</v>
      </c>
      <c r="C7" s="71">
        <v>280</v>
      </c>
      <c r="D7" s="72">
        <v>4.666666666666667</v>
      </c>
      <c r="E7" s="32">
        <v>2</v>
      </c>
      <c r="F7" s="32">
        <v>5190</v>
      </c>
      <c r="G7" s="32">
        <v>7</v>
      </c>
      <c r="H7" s="46">
        <f>('Flow cytometer'!F7/'Flow cytometer'!G7)*POWER(10,'Flow cytometer'!E7+2)*10.2</f>
        <v>75625714.285714284</v>
      </c>
      <c r="I7" s="32">
        <v>2</v>
      </c>
      <c r="J7" s="32">
        <v>5754</v>
      </c>
      <c r="K7" s="32">
        <v>7</v>
      </c>
      <c r="L7" s="46">
        <f>('Flow cytometer'!J7/'Flow cytometer'!K7)*POWER(10,'Flow cytometer'!I7+2)*10.2</f>
        <v>83844000</v>
      </c>
      <c r="M7" s="32">
        <v>2</v>
      </c>
      <c r="N7" s="32">
        <v>5345</v>
      </c>
      <c r="O7" s="32">
        <v>7</v>
      </c>
      <c r="P7" s="46">
        <f>('Flow cytometer'!N7/'Flow cytometer'!O7)*POWER(10,'Flow cytometer'!M7+2)*10.2</f>
        <v>77884285.714285702</v>
      </c>
      <c r="Q7" s="49">
        <f>AVERAGE(H7,L7,P7)*Calculation!I7/Calculation!K6</f>
        <v>79117999.999999985</v>
      </c>
      <c r="R7" s="50">
        <f>STDEV(H7,L7,P7)*Calculation!I7/Calculation!K6</f>
        <v>4245773.5719759976</v>
      </c>
      <c r="S7" s="51">
        <f t="shared" si="0"/>
        <v>7.8982753003289847</v>
      </c>
      <c r="T7" s="51">
        <f t="shared" si="1"/>
        <v>18.18645096690059</v>
      </c>
      <c r="U7" s="51">
        <f t="shared" si="2"/>
        <v>7.8786694895961187</v>
      </c>
      <c r="V7" s="51">
        <f t="shared" si="3"/>
        <v>7.9234719893019676</v>
      </c>
      <c r="W7" s="51">
        <f t="shared" si="4"/>
        <v>7.8914498412924576</v>
      </c>
      <c r="X7" s="51">
        <f xml:space="preserve"> STDEV(U7:W7)*Calculation!I7/Calculation!K6</f>
        <v>2.3079642301234767E-2</v>
      </c>
    </row>
    <row r="8" spans="1:24">
      <c r="A8" s="70">
        <v>4</v>
      </c>
      <c r="B8" s="71">
        <v>80</v>
      </c>
      <c r="C8" s="71">
        <v>360</v>
      </c>
      <c r="D8" s="72">
        <v>6</v>
      </c>
      <c r="E8" s="32">
        <v>2</v>
      </c>
      <c r="F8" s="32">
        <v>5891</v>
      </c>
      <c r="G8" s="32">
        <v>7</v>
      </c>
      <c r="H8" s="46">
        <f>('Flow cytometer'!F8/'Flow cytometer'!G8)*POWER(10,'Flow cytometer'!E8+2)*10.2</f>
        <v>85840285.714285702</v>
      </c>
      <c r="I8" s="32">
        <v>2</v>
      </c>
      <c r="J8" s="32">
        <v>6376</v>
      </c>
      <c r="K8" s="32">
        <v>7</v>
      </c>
      <c r="L8" s="46">
        <f>('Flow cytometer'!J8/'Flow cytometer'!K8)*POWER(10,'Flow cytometer'!I8+2)*10.2</f>
        <v>92907428.571428567</v>
      </c>
      <c r="M8" s="32">
        <v>2</v>
      </c>
      <c r="N8" s="32">
        <v>6171</v>
      </c>
      <c r="O8" s="32">
        <v>7</v>
      </c>
      <c r="P8" s="46">
        <f>('Flow cytometer'!N8/'Flow cytometer'!O8)*POWER(10,'Flow cytometer'!M8+2)*10.2</f>
        <v>89920285.714285702</v>
      </c>
      <c r="Q8" s="49">
        <f>AVERAGE(H8,L8,P8)*Calculation!I8/Calculation!K7</f>
        <v>89556000</v>
      </c>
      <c r="R8" s="50">
        <f>STDEV(H8,L8,P8)*Calculation!I8/Calculation!K7</f>
        <v>3547626.6858339035</v>
      </c>
      <c r="S8" s="51">
        <f t="shared" si="0"/>
        <v>7.9520946876680201</v>
      </c>
      <c r="T8" s="51">
        <f t="shared" si="1"/>
        <v>18.310374685901525</v>
      </c>
      <c r="U8" s="51">
        <f t="shared" si="2"/>
        <v>7.9336911544836539</v>
      </c>
      <c r="V8" s="51">
        <f t="shared" si="3"/>
        <v>7.9680504401357171</v>
      </c>
      <c r="W8" s="51">
        <f t="shared" si="4"/>
        <v>7.9538576781620467</v>
      </c>
      <c r="X8" s="51">
        <f xml:space="preserve"> STDEV(U8:W8)*Calculation!I8/Calculation!K7</f>
        <v>1.7265976563907954E-2</v>
      </c>
    </row>
    <row r="9" spans="1:24">
      <c r="A9" s="70">
        <v>5</v>
      </c>
      <c r="B9" s="71">
        <v>80</v>
      </c>
      <c r="C9" s="71">
        <v>440</v>
      </c>
      <c r="D9" s="72">
        <v>7.333333333333333</v>
      </c>
      <c r="E9" s="32">
        <v>2</v>
      </c>
      <c r="F9" s="32">
        <v>6337</v>
      </c>
      <c r="G9" s="32">
        <v>7</v>
      </c>
      <c r="H9" s="46">
        <f>('Flow cytometer'!F9/'Flow cytometer'!G9)*POWER(10,'Flow cytometer'!E9+2)*10.2</f>
        <v>92339142.857142866</v>
      </c>
      <c r="I9" s="32">
        <v>2</v>
      </c>
      <c r="J9" s="32">
        <v>7140</v>
      </c>
      <c r="K9" s="32">
        <v>7</v>
      </c>
      <c r="L9" s="46">
        <f>('Flow cytometer'!J9/'Flow cytometer'!K9)*POWER(10,'Flow cytometer'!I9+2)*10.2</f>
        <v>104040000</v>
      </c>
      <c r="M9" s="32">
        <v>2</v>
      </c>
      <c r="N9" s="32">
        <v>6533</v>
      </c>
      <c r="O9" s="32">
        <v>7</v>
      </c>
      <c r="P9" s="46">
        <f>('Flow cytometer'!N9/'Flow cytometer'!O9)*POWER(10,'Flow cytometer'!M9+2)*10.2</f>
        <v>95195142.857142866</v>
      </c>
      <c r="Q9" s="49">
        <f>AVERAGE(H9,L9,P9)*Calculation!I9/Calculation!K8</f>
        <v>97267359.375000015</v>
      </c>
      <c r="R9" s="50">
        <f>STDEV(H9,L9,P9)*Calculation!I9/Calculation!K8</f>
        <v>6105289.1226437204</v>
      </c>
      <c r="S9" s="51">
        <f t="shared" si="0"/>
        <v>7.9879671257610276</v>
      </c>
      <c r="T9" s="51">
        <f t="shared" si="1"/>
        <v>18.392974027103836</v>
      </c>
      <c r="U9" s="51">
        <f t="shared" si="2"/>
        <v>7.9653858388729004</v>
      </c>
      <c r="V9" s="51">
        <f t="shared" si="3"/>
        <v>8.0172003435238359</v>
      </c>
      <c r="W9" s="51">
        <f t="shared" si="4"/>
        <v>7.9786147899374731</v>
      </c>
      <c r="X9" s="51">
        <f xml:space="preserve"> STDEV(U9:W9)*Calculation!I9/Calculation!K8</f>
        <v>2.6942501476183389E-2</v>
      </c>
    </row>
    <row r="10" spans="1:24">
      <c r="A10" s="70">
        <v>6</v>
      </c>
      <c r="B10" s="71">
        <v>80</v>
      </c>
      <c r="C10" s="71">
        <v>520</v>
      </c>
      <c r="D10" s="72">
        <v>8.6666666666666661</v>
      </c>
      <c r="E10" s="32">
        <v>2</v>
      </c>
      <c r="F10" s="32">
        <v>8424</v>
      </c>
      <c r="G10" s="32">
        <v>7</v>
      </c>
      <c r="H10" s="46">
        <f>('Flow cytometer'!F10/'Flow cytometer'!G10)*POWER(10,'Flow cytometer'!E10+2)*10.2</f>
        <v>122749714.28571425</v>
      </c>
      <c r="I10" s="32">
        <v>2</v>
      </c>
      <c r="J10" s="32">
        <v>8784</v>
      </c>
      <c r="K10" s="32">
        <v>7</v>
      </c>
      <c r="L10" s="46">
        <f>('Flow cytometer'!J10/'Flow cytometer'!K10)*POWER(10,'Flow cytometer'!I10+2)*10.2</f>
        <v>127995428.57142857</v>
      </c>
      <c r="M10" s="32">
        <v>2</v>
      </c>
      <c r="N10" s="32">
        <v>8955</v>
      </c>
      <c r="O10" s="32">
        <v>7</v>
      </c>
      <c r="P10" s="46">
        <f>('Flow cytometer'!N10/'Flow cytometer'!O10)*POWER(10,'Flow cytometer'!M10+2)*10.2</f>
        <v>130487142.85714284</v>
      </c>
      <c r="Q10" s="49">
        <f>AVERAGE(H10,L10,P10)*Calculation!I10/Calculation!K9</f>
        <v>127176707.81249996</v>
      </c>
      <c r="R10" s="50">
        <f>STDEV(H10,L10,P10)*Calculation!I10/Calculation!K9</f>
        <v>3952641.670107855</v>
      </c>
      <c r="S10" s="51">
        <f t="shared" si="0"/>
        <v>8.1044075783345679</v>
      </c>
      <c r="T10" s="51">
        <f t="shared" si="1"/>
        <v>18.661088077421152</v>
      </c>
      <c r="U10" s="51">
        <f t="shared" si="2"/>
        <v>8.0890204899250904</v>
      </c>
      <c r="V10" s="51">
        <f t="shared" si="3"/>
        <v>8.1071944588536766</v>
      </c>
      <c r="W10" s="51">
        <f t="shared" si="4"/>
        <v>8.1155677219327114</v>
      </c>
      <c r="X10" s="51">
        <f xml:space="preserve"> STDEV(U10:W10)*Calculation!I10/Calculation!K9</f>
        <v>1.3582388694165707E-2</v>
      </c>
    </row>
    <row r="11" spans="1:24">
      <c r="A11" s="70">
        <v>7</v>
      </c>
      <c r="B11" s="71">
        <v>80</v>
      </c>
      <c r="C11" s="71">
        <v>600</v>
      </c>
      <c r="D11" s="72">
        <v>10</v>
      </c>
      <c r="E11" s="32">
        <v>2</v>
      </c>
      <c r="F11" s="32">
        <v>12042</v>
      </c>
      <c r="G11" s="32">
        <v>7</v>
      </c>
      <c r="H11" s="46">
        <f>('Flow cytometer'!F11/'Flow cytometer'!G11)*POWER(10,'Flow cytometer'!E11+2)*10.2</f>
        <v>175469142.85714284</v>
      </c>
      <c r="I11" s="32">
        <v>2</v>
      </c>
      <c r="J11" s="32">
        <v>12587</v>
      </c>
      <c r="K11" s="32">
        <v>7</v>
      </c>
      <c r="L11" s="46">
        <f>('Flow cytometer'!J11/'Flow cytometer'!K11)*POWER(10,'Flow cytometer'!I11+2)*10.2</f>
        <v>183410571.4285714</v>
      </c>
      <c r="M11" s="32">
        <v>2</v>
      </c>
      <c r="N11" s="32">
        <v>13092</v>
      </c>
      <c r="O11" s="32">
        <v>7</v>
      </c>
      <c r="P11" s="46">
        <f>('Flow cytometer'!N11/'Flow cytometer'!O11)*POWER(10,'Flow cytometer'!M11+2)*10.2</f>
        <v>190769142.85714284</v>
      </c>
      <c r="Q11" s="49">
        <f>AVERAGE(H11,L11,P11)*Calculation!I11/Calculation!K10</f>
        <v>183515474.0106383</v>
      </c>
      <c r="R11" s="50">
        <f>STDEV(H11,L11,P11)*Calculation!I11/Calculation!K10</f>
        <v>7664345.4248498743</v>
      </c>
      <c r="S11" s="51">
        <f t="shared" si="0"/>
        <v>8.2636726898093542</v>
      </c>
      <c r="T11" s="51">
        <f t="shared" si="1"/>
        <v>19.027809548937025</v>
      </c>
      <c r="U11" s="51">
        <f t="shared" si="2"/>
        <v>8.2442007546187899</v>
      </c>
      <c r="V11" s="51">
        <f t="shared" si="3"/>
        <v>8.2634243639445835</v>
      </c>
      <c r="W11" s="51">
        <f t="shared" si="4"/>
        <v>8.2805081283836266</v>
      </c>
      <c r="X11" s="51">
        <f xml:space="preserve"> STDEV(U11:W11)*Calculation!I11/Calculation!K10</f>
        <v>1.8193855239612481E-2</v>
      </c>
    </row>
    <row r="12" spans="1:24">
      <c r="A12" s="70">
        <v>8</v>
      </c>
      <c r="B12" s="71">
        <v>80</v>
      </c>
      <c r="C12" s="71">
        <v>680</v>
      </c>
      <c r="D12" s="72">
        <v>11.333333333333334</v>
      </c>
      <c r="E12" s="32">
        <v>2</v>
      </c>
      <c r="F12" s="32">
        <v>20959</v>
      </c>
      <c r="G12" s="32">
        <v>7</v>
      </c>
      <c r="H12" s="46">
        <f>('Flow cytometer'!F12/'Flow cytometer'!G12)*POWER(10,'Flow cytometer'!E12+2)*10.2</f>
        <v>305402571.42857146</v>
      </c>
      <c r="I12" s="32">
        <v>2</v>
      </c>
      <c r="J12" s="32">
        <v>22663</v>
      </c>
      <c r="K12" s="32">
        <v>7</v>
      </c>
      <c r="L12" s="46">
        <f>('Flow cytometer'!J12/'Flow cytometer'!K12)*POWER(10,'Flow cytometer'!I12+2)*10.2</f>
        <v>330232285.71428567</v>
      </c>
      <c r="M12" s="32">
        <v>2</v>
      </c>
      <c r="N12" s="32">
        <v>23378</v>
      </c>
      <c r="O12" s="32">
        <v>7</v>
      </c>
      <c r="P12" s="46">
        <f>('Flow cytometer'!N12/'Flow cytometer'!O12)*POWER(10,'Flow cytometer'!M12+2)*10.2</f>
        <v>340650857.14285713</v>
      </c>
      <c r="Q12" s="49">
        <f>AVERAGE(H12,L12,P12)*Calculation!I12/Calculation!K11</f>
        <v>326537420.69803816</v>
      </c>
      <c r="R12" s="50">
        <f>STDEV(H12,L12,P12)*Calculation!I12/Calculation!K11</f>
        <v>18170185.176345918</v>
      </c>
      <c r="S12" s="51">
        <f t="shared" si="0"/>
        <v>8.5139329579584953</v>
      </c>
      <c r="T12" s="51">
        <f t="shared" si="1"/>
        <v>19.604055111745932</v>
      </c>
      <c r="U12" s="51">
        <f t="shared" si="2"/>
        <v>8.4848726894084763</v>
      </c>
      <c r="V12" s="51">
        <f t="shared" si="3"/>
        <v>8.5188195305322196</v>
      </c>
      <c r="W12" s="51">
        <f t="shared" si="4"/>
        <v>8.5323094860449586</v>
      </c>
      <c r="X12" s="51">
        <f xml:space="preserve"> STDEV(U12:W12)*Calculation!I12/Calculation!K11</f>
        <v>2.4525790189111187E-2</v>
      </c>
    </row>
    <row r="13" spans="1:24">
      <c r="A13" s="70">
        <v>9</v>
      </c>
      <c r="B13" s="71">
        <v>80</v>
      </c>
      <c r="C13" s="71">
        <v>760</v>
      </c>
      <c r="D13" s="72">
        <v>12.666666666666666</v>
      </c>
      <c r="E13" s="32">
        <v>2</v>
      </c>
      <c r="F13" s="32">
        <v>35581</v>
      </c>
      <c r="G13" s="32">
        <v>7</v>
      </c>
      <c r="H13" s="46">
        <f>('Flow cytometer'!F13/'Flow cytometer'!G13)*POWER(10,'Flow cytometer'!E13+2)*10.2</f>
        <v>518465999.99999994</v>
      </c>
      <c r="I13" s="32">
        <v>2</v>
      </c>
      <c r="J13" s="32">
        <v>37213</v>
      </c>
      <c r="K13" s="32">
        <v>7</v>
      </c>
      <c r="L13" s="46">
        <f>('Flow cytometer'!J13/'Flow cytometer'!K13)*POWER(10,'Flow cytometer'!I13+2)*10.2</f>
        <v>542246571.42857134</v>
      </c>
      <c r="M13" s="32">
        <v>2</v>
      </c>
      <c r="N13" s="32">
        <v>37062</v>
      </c>
      <c r="O13" s="32">
        <v>7</v>
      </c>
      <c r="P13" s="46">
        <f>('Flow cytometer'!N13/'Flow cytometer'!O13)*POWER(10,'Flow cytometer'!M13+2)*10.2</f>
        <v>540046285.71428561</v>
      </c>
      <c r="Q13" s="49">
        <f>AVERAGE(H13,L13,P13)*Calculation!I13/Calculation!K12</f>
        <v>536890259.96952498</v>
      </c>
      <c r="R13" s="50">
        <f>STDEV(H13,L13,P13)*Calculation!I13/Calculation!K12</f>
        <v>13222052.015372543</v>
      </c>
      <c r="S13" s="51">
        <f t="shared" si="0"/>
        <v>8.7298855252523815</v>
      </c>
      <c r="T13" s="51">
        <f t="shared" si="1"/>
        <v>20.101304273990628</v>
      </c>
      <c r="U13" s="51">
        <f t="shared" si="2"/>
        <v>8.7147202814646203</v>
      </c>
      <c r="V13" s="51">
        <f t="shared" si="3"/>
        <v>8.7341968146938669</v>
      </c>
      <c r="W13" s="51">
        <f t="shared" si="4"/>
        <v>8.7324309834689977</v>
      </c>
      <c r="X13" s="51">
        <f xml:space="preserve"> STDEV(U13:W13)*Calculation!I13/Calculation!K12</f>
        <v>1.0837973085393041E-2</v>
      </c>
    </row>
    <row r="14" spans="1:24">
      <c r="A14" s="70">
        <v>10</v>
      </c>
      <c r="B14" s="71">
        <v>80</v>
      </c>
      <c r="C14" s="71">
        <v>840</v>
      </c>
      <c r="D14" s="72">
        <v>14</v>
      </c>
      <c r="E14" s="32">
        <v>3</v>
      </c>
      <c r="F14" s="32">
        <v>4200</v>
      </c>
      <c r="G14" s="32">
        <v>7</v>
      </c>
      <c r="H14" s="46">
        <f>('Flow cytometer'!F14/'Flow cytometer'!G14)*POWER(10,'Flow cytometer'!E14+2)*10.2</f>
        <v>612000000</v>
      </c>
      <c r="I14" s="32">
        <v>3</v>
      </c>
      <c r="J14" s="32">
        <v>3917</v>
      </c>
      <c r="K14" s="32">
        <v>7</v>
      </c>
      <c r="L14" s="46">
        <f>('Flow cytometer'!J14/'Flow cytometer'!K14)*POWER(10,'Flow cytometer'!I14+2)*10.2</f>
        <v>570762857.14285707</v>
      </c>
      <c r="M14" s="32">
        <v>3</v>
      </c>
      <c r="N14" s="32">
        <v>3459</v>
      </c>
      <c r="O14" s="32">
        <v>7</v>
      </c>
      <c r="P14" s="46">
        <f>('Flow cytometer'!N14/'Flow cytometer'!O14)*POWER(10,'Flow cytometer'!M14+2)*10.2</f>
        <v>504025714.28571427</v>
      </c>
      <c r="Q14" s="49">
        <f>AVERAGE(H14,L14,P14)*Calculation!I14/Calculation!K13</f>
        <v>567943597.92333674</v>
      </c>
      <c r="R14" s="50">
        <f>STDEV(H14,L14,P14)*Calculation!I14/Calculation!K13</f>
        <v>55037185.607962474</v>
      </c>
      <c r="S14" s="51">
        <f t="shared" si="0"/>
        <v>8.7543052083748947</v>
      </c>
      <c r="T14" s="51">
        <f t="shared" si="1"/>
        <v>20.157532672324166</v>
      </c>
      <c r="U14" s="51">
        <f t="shared" si="2"/>
        <v>8.7867514221455618</v>
      </c>
      <c r="V14" s="51">
        <f t="shared" si="3"/>
        <v>8.7564557032955257</v>
      </c>
      <c r="W14" s="51">
        <f t="shared" si="4"/>
        <v>8.702452693762023</v>
      </c>
      <c r="X14" s="51">
        <f xml:space="preserve"> STDEV(U14:W14)*Calculation!I14/Calculation!K13</f>
        <v>4.3132775828447836E-2</v>
      </c>
    </row>
    <row r="15" spans="1:24">
      <c r="A15" s="70">
        <v>11</v>
      </c>
      <c r="B15" s="71">
        <v>80</v>
      </c>
      <c r="C15" s="71">
        <v>920</v>
      </c>
      <c r="D15" s="72">
        <v>15.333333333333334</v>
      </c>
      <c r="E15" s="32">
        <v>2</v>
      </c>
      <c r="F15" s="32">
        <v>55036</v>
      </c>
      <c r="G15" s="32">
        <v>7</v>
      </c>
      <c r="H15" s="46">
        <f>('Flow cytometer'!F15/'Flow cytometer'!G15)*POWER(10,'Flow cytometer'!E15+2)*10.2</f>
        <v>801953142.85714293</v>
      </c>
      <c r="I15" s="32">
        <v>2</v>
      </c>
      <c r="J15" s="32">
        <v>58090</v>
      </c>
      <c r="K15" s="32">
        <v>7</v>
      </c>
      <c r="L15" s="46">
        <f>('Flow cytometer'!J15/'Flow cytometer'!K15)*POWER(10,'Flow cytometer'!I15+2)*10.2</f>
        <v>846454285.71428573</v>
      </c>
      <c r="M15" s="32">
        <v>2</v>
      </c>
      <c r="N15" s="32">
        <v>56409</v>
      </c>
      <c r="O15" s="32">
        <v>7</v>
      </c>
      <c r="P15" s="46">
        <f>('Flow cytometer'!N15/'Flow cytometer'!O15)*POWER(10,'Flow cytometer'!M15+2)*10.2</f>
        <v>821959714.28571427</v>
      </c>
      <c r="Q15" s="49">
        <f>AVERAGE(H15,L15,P15)*Calculation!I15/Calculation!K14</f>
        <v>835146302.52952778</v>
      </c>
      <c r="R15" s="50">
        <f>STDEV(H15,L15,P15)*Calculation!I15/Calculation!K14</f>
        <v>22604683.97370369</v>
      </c>
      <c r="S15" s="51">
        <f t="shared" si="0"/>
        <v>8.9217625626878529</v>
      </c>
      <c r="T15" s="51">
        <f t="shared" si="1"/>
        <v>20.543117480077406</v>
      </c>
      <c r="U15" s="51">
        <f t="shared" si="2"/>
        <v>8.9041489937292067</v>
      </c>
      <c r="V15" s="51">
        <f t="shared" si="3"/>
        <v>8.9276035082238892</v>
      </c>
      <c r="W15" s="51">
        <f t="shared" si="4"/>
        <v>8.9148505325130927</v>
      </c>
      <c r="X15" s="51">
        <f xml:space="preserve"> STDEV(U15:W15)*Calculation!I15/Calculation!K14</f>
        <v>1.1908903884827128E-2</v>
      </c>
    </row>
    <row r="16" spans="1:24">
      <c r="A16" s="70">
        <v>12</v>
      </c>
      <c r="B16" s="71">
        <v>80</v>
      </c>
      <c r="C16" s="71">
        <v>1000</v>
      </c>
      <c r="D16" s="72">
        <v>16.666666666666668</v>
      </c>
      <c r="E16" s="32">
        <v>2</v>
      </c>
      <c r="F16" s="32">
        <v>52018</v>
      </c>
      <c r="G16" s="32">
        <v>7</v>
      </c>
      <c r="H16" s="46">
        <f>('Flow cytometer'!F16/'Flow cytometer'!G16)*POWER(10,'Flow cytometer'!E16+2)*10.2</f>
        <v>757976571.42857134</v>
      </c>
      <c r="I16" s="32">
        <v>2</v>
      </c>
      <c r="J16" s="32">
        <v>51843</v>
      </c>
      <c r="K16" s="32">
        <v>7</v>
      </c>
      <c r="L16" s="46">
        <f>('Flow cytometer'!J16/'Flow cytometer'!K16)*POWER(10,'Flow cytometer'!I16+2)*10.2</f>
        <v>755426571.42857134</v>
      </c>
      <c r="M16" s="32">
        <v>2</v>
      </c>
      <c r="N16" s="32">
        <v>53636</v>
      </c>
      <c r="O16" s="32">
        <v>7</v>
      </c>
      <c r="P16" s="46">
        <f>('Flow cytometer'!N16/'Flow cytometer'!O16)*POWER(10,'Flow cytometer'!M16+2)*10.2</f>
        <v>781553142.85714293</v>
      </c>
      <c r="Q16" s="49">
        <f>AVERAGE(H16,L16,P16)*Calculation!I16/Calculation!K15</f>
        <v>779929314.61173737</v>
      </c>
      <c r="R16" s="50">
        <f>STDEV(H16,L16,P16)*Calculation!I16/Calculation!K15</f>
        <v>14685991.590081027</v>
      </c>
      <c r="S16" s="51">
        <f t="shared" si="0"/>
        <v>8.892055244145439</v>
      </c>
      <c r="T16" s="51">
        <f t="shared" si="1"/>
        <v>20.474713851248818</v>
      </c>
      <c r="U16" s="51">
        <f t="shared" si="2"/>
        <v>8.8796557820746145</v>
      </c>
      <c r="V16" s="51">
        <f t="shared" si="3"/>
        <v>8.8781922566655211</v>
      </c>
      <c r="W16" s="51">
        <f t="shared" si="4"/>
        <v>8.8929585138522302</v>
      </c>
      <c r="X16" s="51">
        <f xml:space="preserve"> STDEV(U16:W16)*Calculation!I16/Calculation!K15</f>
        <v>8.2947263220817351E-3</v>
      </c>
    </row>
    <row r="17" spans="1:24">
      <c r="A17" s="70">
        <v>13</v>
      </c>
      <c r="B17" s="71">
        <v>80</v>
      </c>
      <c r="C17" s="71">
        <v>1080</v>
      </c>
      <c r="D17" s="72">
        <v>18</v>
      </c>
      <c r="E17" s="32">
        <v>2</v>
      </c>
      <c r="F17" s="32">
        <v>52009</v>
      </c>
      <c r="G17" s="32">
        <v>7</v>
      </c>
      <c r="H17" s="46">
        <f>('Flow cytometer'!F17/'Flow cytometer'!G17)*POWER(10,'Flow cytometer'!E17+2)*10.2</f>
        <v>757845428.57142854</v>
      </c>
      <c r="I17" s="32">
        <v>2</v>
      </c>
      <c r="J17" s="32">
        <v>54162</v>
      </c>
      <c r="K17" s="32">
        <v>7</v>
      </c>
      <c r="L17" s="46">
        <f>('Flow cytometer'!J17/'Flow cytometer'!K17)*POWER(10,'Flow cytometer'!I17+2)*10.2</f>
        <v>789217714.28571427</v>
      </c>
      <c r="M17" s="32">
        <v>2</v>
      </c>
      <c r="N17" s="32">
        <v>52626</v>
      </c>
      <c r="O17" s="32">
        <v>7</v>
      </c>
      <c r="P17" s="46">
        <f>('Flow cytometer'!N17/'Flow cytometer'!O17)*POWER(10,'Flow cytometer'!M17+2)*10.2</f>
        <v>766836000</v>
      </c>
      <c r="Q17" s="49">
        <f>AVERAGE(H17,L17,P17)*Calculation!I17/Calculation!K16</f>
        <v>788956521.86536956</v>
      </c>
      <c r="R17" s="50">
        <f>STDEV(H17,L17,P17)*Calculation!I17/Calculation!K16</f>
        <v>16525287.332483687</v>
      </c>
      <c r="S17" s="51">
        <f t="shared" si="0"/>
        <v>8.8970530705931576</v>
      </c>
      <c r="T17" s="51">
        <f t="shared" si="1"/>
        <v>20.486221771924708</v>
      </c>
      <c r="U17" s="51">
        <f t="shared" si="2"/>
        <v>8.8795806352310667</v>
      </c>
      <c r="V17" s="51">
        <f t="shared" si="3"/>
        <v>8.8971968245910471</v>
      </c>
      <c r="W17" s="51">
        <f t="shared" si="4"/>
        <v>8.8847024931397112</v>
      </c>
      <c r="X17" s="51">
        <f xml:space="preserve"> STDEV(U17:W17)*Calculation!I17/Calculation!K16</f>
        <v>9.2690059285146578E-3</v>
      </c>
    </row>
    <row r="18" spans="1:24">
      <c r="A18" s="70">
        <v>14</v>
      </c>
      <c r="B18" s="71">
        <v>80</v>
      </c>
      <c r="C18" s="71">
        <v>1160</v>
      </c>
      <c r="D18" s="72">
        <v>19.333333333333332</v>
      </c>
      <c r="E18" s="32">
        <v>2</v>
      </c>
      <c r="F18" s="32">
        <v>40987</v>
      </c>
      <c r="G18" s="32">
        <v>7</v>
      </c>
      <c r="H18" s="46">
        <f>('Flow cytometer'!F18/'Flow cytometer'!G18)*POWER(10,'Flow cytometer'!E18+2)*10.2</f>
        <v>597239142.85714293</v>
      </c>
      <c r="I18" s="32">
        <v>2</v>
      </c>
      <c r="J18" s="32">
        <v>46501</v>
      </c>
      <c r="K18" s="32">
        <v>7</v>
      </c>
      <c r="L18" s="46">
        <f>('Flow cytometer'!J18/'Flow cytometer'!K18)*POWER(10,'Flow cytometer'!I18+2)*10.2</f>
        <v>677586000</v>
      </c>
      <c r="M18" s="32">
        <v>2</v>
      </c>
      <c r="N18" s="32">
        <v>47955</v>
      </c>
      <c r="O18" s="32">
        <v>7</v>
      </c>
      <c r="P18" s="46">
        <f>('Flow cytometer'!N18/'Flow cytometer'!O18)*POWER(10,'Flow cytometer'!M18+2)*10.2</f>
        <v>698772857.14285707</v>
      </c>
      <c r="Q18" s="49">
        <f>AVERAGE(H18,L18,P18)*Calculation!I18/Calculation!K17</f>
        <v>673693355.94874465</v>
      </c>
      <c r="R18" s="50">
        <f>STDEV(H18,L18,P18)*Calculation!I18/Calculation!K17</f>
        <v>54851056.137810886</v>
      </c>
      <c r="S18" s="51">
        <f t="shared" si="0"/>
        <v>8.8284622643052888</v>
      </c>
      <c r="T18" s="51">
        <f t="shared" si="1"/>
        <v>20.328285603849817</v>
      </c>
      <c r="U18" s="51">
        <f t="shared" si="2"/>
        <v>8.7761482635033889</v>
      </c>
      <c r="V18" s="51">
        <f t="shared" si="3"/>
        <v>8.8309644242034668</v>
      </c>
      <c r="W18" s="51">
        <f t="shared" si="4"/>
        <v>8.8443360270750304</v>
      </c>
      <c r="X18" s="51">
        <f xml:space="preserve"> STDEV(U18:W18)*Calculation!I18/Calculation!K17</f>
        <v>3.7001413541934654E-2</v>
      </c>
    </row>
    <row r="19" spans="1:24">
      <c r="A19" s="70">
        <v>15</v>
      </c>
      <c r="B19" s="71">
        <v>280</v>
      </c>
      <c r="C19" s="71">
        <v>1440</v>
      </c>
      <c r="D19" s="72">
        <v>24</v>
      </c>
      <c r="E19" s="32">
        <v>2</v>
      </c>
      <c r="F19" s="32">
        <v>37881</v>
      </c>
      <c r="G19" s="32">
        <v>7</v>
      </c>
      <c r="H19" s="46">
        <f>('Flow cytometer'!F19/'Flow cytometer'!G19)*POWER(10,'Flow cytometer'!E19+2)*10.2</f>
        <v>551980285.71428561</v>
      </c>
      <c r="I19" s="32">
        <v>2</v>
      </c>
      <c r="J19" s="32">
        <v>36348</v>
      </c>
      <c r="K19" s="32">
        <v>7</v>
      </c>
      <c r="L19" s="46">
        <f>('Flow cytometer'!J19/'Flow cytometer'!K19)*POWER(10,'Flow cytometer'!I19+2)*10.2</f>
        <v>529642285.71428567</v>
      </c>
      <c r="M19" s="32">
        <v>2</v>
      </c>
      <c r="N19" s="32">
        <v>35080</v>
      </c>
      <c r="O19" s="32">
        <v>7</v>
      </c>
      <c r="P19" s="46">
        <f>('Flow cytometer'!N19/'Flow cytometer'!O19)*POWER(10,'Flow cytometer'!M19+2)*10.2</f>
        <v>511165714.28571427</v>
      </c>
      <c r="Q19" s="49">
        <f>AVERAGE(H19,L19,P19)*Calculation!I19/Calculation!K18</f>
        <v>545002034.79453254</v>
      </c>
      <c r="R19" s="50">
        <f>STDEV(H19,L19,P19)*Calculation!I19/Calculation!K18</f>
        <v>20979420.691762343</v>
      </c>
      <c r="S19" s="51">
        <f t="shared" si="0"/>
        <v>8.7363981237415747</v>
      </c>
      <c r="T19" s="51">
        <f t="shared" si="1"/>
        <v>20.116300086188499</v>
      </c>
      <c r="U19" s="51">
        <f t="shared" si="2"/>
        <v>8.7419235669350073</v>
      </c>
      <c r="V19" s="51">
        <f t="shared" si="3"/>
        <v>8.7239826511281411</v>
      </c>
      <c r="W19" s="51">
        <f t="shared" si="4"/>
        <v>8.7085617164416629</v>
      </c>
      <c r="X19" s="51">
        <f xml:space="preserve"> STDEV(U19:W19)*Calculation!I19/Calculation!K18</f>
        <v>1.7139338172622382E-2</v>
      </c>
    </row>
    <row r="20" spans="1:24">
      <c r="A20" s="70">
        <v>16</v>
      </c>
      <c r="B20" s="71">
        <v>360</v>
      </c>
      <c r="C20" s="71">
        <v>1800</v>
      </c>
      <c r="D20" s="72">
        <v>30</v>
      </c>
      <c r="E20" s="32">
        <v>2</v>
      </c>
      <c r="F20" s="32">
        <v>33598</v>
      </c>
      <c r="G20" s="32">
        <v>7</v>
      </c>
      <c r="H20" s="46">
        <f>('Flow cytometer'!F20/'Flow cytometer'!G20)*POWER(10,'Flow cytometer'!E20+2)*10.2</f>
        <v>489570857.14285702</v>
      </c>
      <c r="I20" s="32">
        <v>2</v>
      </c>
      <c r="J20" s="32">
        <v>34944</v>
      </c>
      <c r="K20" s="32">
        <v>7</v>
      </c>
      <c r="L20" s="46">
        <f>('Flow cytometer'!J20/'Flow cytometer'!K20)*POWER(10,'Flow cytometer'!I20+2)*10.2</f>
        <v>509183999.99999994</v>
      </c>
      <c r="M20" s="32">
        <v>2</v>
      </c>
      <c r="N20" s="32">
        <v>39000</v>
      </c>
      <c r="O20" s="32">
        <v>7</v>
      </c>
      <c r="P20" s="46">
        <f>('Flow cytometer'!N20/'Flow cytometer'!O20)*POWER(10,'Flow cytometer'!M20+2)*10.2</f>
        <v>568285714.28571427</v>
      </c>
      <c r="Q20" s="49">
        <f>AVERAGE(H20,L20,P20)*Calculation!I20/Calculation!K19</f>
        <v>536191977.10960323</v>
      </c>
      <c r="R20" s="50">
        <f>STDEV(H20,L20,P20)*Calculation!I20/Calculation!K19</f>
        <v>42061094.321210757</v>
      </c>
      <c r="S20" s="51">
        <f t="shared" ref="S20:S21" si="5">LOG(Q20)</f>
        <v>8.729320311468765</v>
      </c>
      <c r="T20" s="51">
        <f t="shared" ref="T20:T21" si="6">LN(Q20)</f>
        <v>20.100002821158117</v>
      </c>
      <c r="U20" s="51">
        <f t="shared" si="2"/>
        <v>8.6898155575060851</v>
      </c>
      <c r="V20" s="51">
        <f t="shared" si="3"/>
        <v>8.7068747484362845</v>
      </c>
      <c r="W20" s="51">
        <f t="shared" si="4"/>
        <v>8.7545667387741606</v>
      </c>
      <c r="X20" s="51">
        <f xml:space="preserve"> STDEV(U20:W20)*Calculation!I20/Calculation!K19</f>
        <v>3.4451097765567686E-2</v>
      </c>
    </row>
    <row r="21" spans="1:24">
      <c r="A21" s="70">
        <v>17</v>
      </c>
      <c r="B21" s="71">
        <v>1080</v>
      </c>
      <c r="C21" s="71">
        <v>2880</v>
      </c>
      <c r="D21" s="72">
        <v>48</v>
      </c>
      <c r="E21" s="32">
        <v>2</v>
      </c>
      <c r="F21" s="32">
        <v>32598</v>
      </c>
      <c r="G21" s="32">
        <v>7</v>
      </c>
      <c r="H21" s="46">
        <f>('Flow cytometer'!F21/'Flow cytometer'!G21)*POWER(10,'Flow cytometer'!E21+2)*10.2</f>
        <v>474999428.5714286</v>
      </c>
      <c r="I21" s="32">
        <v>2</v>
      </c>
      <c r="J21" s="32">
        <v>33919</v>
      </c>
      <c r="K21" s="32">
        <v>7</v>
      </c>
      <c r="L21" s="46">
        <f>('Flow cytometer'!J21/'Flow cytometer'!K21)*POWER(10,'Flow cytometer'!I21+2)*10.2</f>
        <v>494248285.71428567</v>
      </c>
      <c r="M21" s="32">
        <v>2</v>
      </c>
      <c r="N21" s="32">
        <v>42703</v>
      </c>
      <c r="O21" s="32">
        <v>7</v>
      </c>
      <c r="P21" s="46">
        <f>('Flow cytometer'!N21/'Flow cytometer'!O21)*POWER(10,'Flow cytometer'!M21+2)*10.2</f>
        <v>622243714.28571427</v>
      </c>
      <c r="Q21" s="49">
        <f>AVERAGE(H21,L21,P21)*Calculation!I21/Calculation!K20</f>
        <v>545297176.14797568</v>
      </c>
      <c r="R21" s="50">
        <f>STDEV(H21,L21,P21)*Calculation!I21/Calculation!K20</f>
        <v>82268514.383885309</v>
      </c>
      <c r="S21" s="51">
        <f t="shared" si="5"/>
        <v>8.7366332486743001</v>
      </c>
      <c r="T21" s="51">
        <f t="shared" si="6"/>
        <v>20.116841481353585</v>
      </c>
      <c r="U21" s="51">
        <f>LOG(H21)</f>
        <v>8.6766930871650256</v>
      </c>
      <c r="V21" s="51">
        <f>LOG(L21)</f>
        <v>8.693945171650622</v>
      </c>
      <c r="W21" s="51">
        <f>LOG(P21)</f>
        <v>8.7939605181937406</v>
      </c>
      <c r="X21" s="51">
        <f xml:space="preserve"> STDEV(U21:W21)*Calculation!I21/Calculation!K20</f>
        <v>6.5080873142391971E-2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19" workbookViewId="0">
      <selection activeCell="R8" sqref="R8"/>
    </sheetView>
  </sheetViews>
  <sheetFormatPr baseColWidth="10" defaultRowHeight="14" x14ac:dyDescent="0"/>
  <cols>
    <col min="3" max="5" width="11" bestFit="1" customWidth="1"/>
  </cols>
  <sheetData>
    <row r="1" spans="1:22">
      <c r="A1" s="82"/>
      <c r="B1" s="136" t="s">
        <v>4</v>
      </c>
      <c r="C1" s="138" t="s">
        <v>182</v>
      </c>
      <c r="D1" s="139" t="s">
        <v>18</v>
      </c>
      <c r="E1" s="139"/>
      <c r="F1" s="139"/>
      <c r="G1" s="139"/>
      <c r="H1" s="139" t="s">
        <v>20</v>
      </c>
      <c r="I1" s="139"/>
      <c r="J1" s="139"/>
      <c r="K1" s="139"/>
      <c r="L1" s="139" t="s">
        <v>21</v>
      </c>
      <c r="M1" s="139"/>
      <c r="N1" s="139"/>
      <c r="O1" s="139"/>
      <c r="P1" s="112" t="s">
        <v>22</v>
      </c>
      <c r="Q1" s="112" t="s">
        <v>22</v>
      </c>
      <c r="R1" s="112" t="s">
        <v>22</v>
      </c>
      <c r="S1" s="131" t="s">
        <v>234</v>
      </c>
      <c r="T1" s="82"/>
      <c r="U1" s="82"/>
      <c r="V1" s="82"/>
    </row>
    <row r="2" spans="1:22">
      <c r="A2" s="82"/>
      <c r="B2" s="137"/>
      <c r="C2" s="137"/>
      <c r="D2" s="114" t="s">
        <v>19</v>
      </c>
      <c r="E2" s="114" t="s">
        <v>68</v>
      </c>
      <c r="F2" s="114" t="s">
        <v>69</v>
      </c>
      <c r="G2" s="114" t="s">
        <v>70</v>
      </c>
      <c r="H2" s="114" t="s">
        <v>19</v>
      </c>
      <c r="I2" s="114" t="s">
        <v>68</v>
      </c>
      <c r="J2" s="114" t="s">
        <v>69</v>
      </c>
      <c r="K2" s="114" t="s">
        <v>70</v>
      </c>
      <c r="L2" s="114" t="s">
        <v>19</v>
      </c>
      <c r="M2" s="114" t="s">
        <v>68</v>
      </c>
      <c r="N2" s="114" t="s">
        <v>69</v>
      </c>
      <c r="O2" s="114" t="s">
        <v>71</v>
      </c>
      <c r="P2" s="113" t="s">
        <v>70</v>
      </c>
      <c r="Q2" s="113" t="s">
        <v>23</v>
      </c>
      <c r="R2" s="113" t="s">
        <v>72</v>
      </c>
      <c r="S2" s="132"/>
      <c r="T2" s="82"/>
      <c r="U2" s="82"/>
      <c r="V2" s="82"/>
    </row>
    <row r="3" spans="1:22">
      <c r="A3" s="82"/>
      <c r="B3" s="83"/>
      <c r="C3" s="83"/>
      <c r="D3" s="84"/>
      <c r="E3" s="84"/>
      <c r="F3" s="84"/>
      <c r="G3" s="85"/>
      <c r="H3" s="84"/>
      <c r="I3" s="84"/>
      <c r="J3" s="84"/>
      <c r="K3" s="85"/>
      <c r="L3" s="84"/>
      <c r="M3" s="84"/>
      <c r="N3" s="84"/>
      <c r="O3" s="85"/>
      <c r="P3" s="133"/>
      <c r="Q3" s="134"/>
      <c r="R3" s="135"/>
      <c r="S3" s="82"/>
      <c r="T3" s="82"/>
      <c r="U3" s="82"/>
      <c r="V3" s="82"/>
    </row>
    <row r="4" spans="1:22">
      <c r="A4" s="82"/>
      <c r="B4" s="86" t="s">
        <v>183</v>
      </c>
      <c r="C4" s="87">
        <v>500</v>
      </c>
      <c r="D4" s="87">
        <v>2</v>
      </c>
      <c r="E4" s="87">
        <v>26960</v>
      </c>
      <c r="F4" s="87">
        <v>7</v>
      </c>
      <c r="G4" s="85">
        <f>(E4/F4)*(10.2)*POWER(10,D4+2)</f>
        <v>392845714.28571427</v>
      </c>
      <c r="H4" s="87">
        <v>2</v>
      </c>
      <c r="I4" s="87">
        <v>28998</v>
      </c>
      <c r="J4" s="87">
        <v>7</v>
      </c>
      <c r="K4" s="85">
        <f t="shared" ref="K4:K19" si="0">(I4/J4)*(10.2)*POWER(10,H4+2)</f>
        <v>422542285.71428567</v>
      </c>
      <c r="L4" s="87">
        <v>2</v>
      </c>
      <c r="M4" s="87">
        <v>29053</v>
      </c>
      <c r="N4" s="87">
        <v>7</v>
      </c>
      <c r="O4" s="85">
        <f>(M4/N4)*(10.2)*POWER(10,L4+2)</f>
        <v>423343714.28571433</v>
      </c>
      <c r="P4" s="88">
        <f t="shared" ref="P4:P19" si="1">AVERAGE(O4,K4,G4)</f>
        <v>412910571.4285714</v>
      </c>
      <c r="Q4" s="88">
        <f t="shared" ref="Q4:Q19" si="2">STDEV(O4,K4,G4)</f>
        <v>17381295.724462688</v>
      </c>
      <c r="R4" s="89">
        <f t="shared" ref="R4:R19" si="3">LOG(P4)</f>
        <v>8.6158560019212569</v>
      </c>
      <c r="S4" s="82"/>
      <c r="T4" s="82"/>
      <c r="U4" s="82"/>
      <c r="V4" s="82"/>
    </row>
    <row r="5" spans="1:22">
      <c r="A5" s="82"/>
      <c r="B5" s="86" t="s">
        <v>184</v>
      </c>
      <c r="C5" s="87">
        <v>500</v>
      </c>
      <c r="D5" s="87">
        <v>1</v>
      </c>
      <c r="E5" s="87">
        <v>25770</v>
      </c>
      <c r="F5" s="87">
        <v>7</v>
      </c>
      <c r="G5" s="85">
        <f>(E5/F5)*(10.2)*POWER(10,D5+2)</f>
        <v>37550571.428571425</v>
      </c>
      <c r="H5" s="87">
        <v>1</v>
      </c>
      <c r="I5" s="87">
        <v>24760</v>
      </c>
      <c r="J5" s="87">
        <v>7</v>
      </c>
      <c r="K5" s="85">
        <f t="shared" si="0"/>
        <v>36078857.142857142</v>
      </c>
      <c r="L5" s="87">
        <v>1</v>
      </c>
      <c r="M5" s="87">
        <v>27526</v>
      </c>
      <c r="N5" s="87">
        <v>7</v>
      </c>
      <c r="O5" s="85">
        <f>(M5/N5)*(10.2)*POWER(10,L5+2)</f>
        <v>40109314.285714284</v>
      </c>
      <c r="P5" s="88">
        <f t="shared" si="1"/>
        <v>37912914.285714291</v>
      </c>
      <c r="Q5" s="88">
        <f t="shared" si="2"/>
        <v>2039513.5338344474</v>
      </c>
      <c r="R5" s="89">
        <f t="shared" si="3"/>
        <v>7.5787871690098934</v>
      </c>
      <c r="S5" s="82"/>
      <c r="T5" s="82"/>
      <c r="U5" s="82"/>
      <c r="V5" s="82"/>
    </row>
    <row r="6" spans="1:22">
      <c r="A6" s="82"/>
      <c r="B6" s="86" t="s">
        <v>185</v>
      </c>
      <c r="C6" s="87">
        <v>500</v>
      </c>
      <c r="D6" s="87">
        <v>0</v>
      </c>
      <c r="E6" s="87">
        <v>2493</v>
      </c>
      <c r="F6" s="87">
        <v>7</v>
      </c>
      <c r="G6" s="85">
        <f>(E6/F6)*(10.2)*POWER(10,D6+2)</f>
        <v>363265.71428571426</v>
      </c>
      <c r="H6" s="87">
        <v>0</v>
      </c>
      <c r="I6" s="87">
        <v>2459</v>
      </c>
      <c r="J6" s="87">
        <v>7</v>
      </c>
      <c r="K6" s="85">
        <f t="shared" si="0"/>
        <v>358311.42857142852</v>
      </c>
      <c r="L6" s="87">
        <v>0</v>
      </c>
      <c r="M6" s="87">
        <v>2550</v>
      </c>
      <c r="N6" s="87">
        <v>7</v>
      </c>
      <c r="O6" s="85">
        <f>(M6/N6)*(10.2)*POWER(10,L6+2)</f>
        <v>371571.42857142852</v>
      </c>
      <c r="P6" s="88">
        <f t="shared" si="1"/>
        <v>364382.8571428571</v>
      </c>
      <c r="Q6" s="88">
        <f t="shared" si="2"/>
        <v>6700.2168712996863</v>
      </c>
      <c r="R6" s="89">
        <f t="shared" si="3"/>
        <v>5.5615579368427026</v>
      </c>
      <c r="S6" s="95" t="s">
        <v>133</v>
      </c>
      <c r="T6" s="82"/>
      <c r="U6" s="82"/>
      <c r="V6" s="82"/>
    </row>
    <row r="7" spans="1:22">
      <c r="A7" s="82"/>
      <c r="B7" s="86" t="s">
        <v>186</v>
      </c>
      <c r="C7" s="87">
        <v>500</v>
      </c>
      <c r="D7" s="87">
        <f>LOG(705/250)</f>
        <v>0.45024910831936105</v>
      </c>
      <c r="E7" s="87">
        <v>946</v>
      </c>
      <c r="F7" s="87">
        <v>7</v>
      </c>
      <c r="G7" s="85">
        <f>(E7/F7)*(1)*POWER(10,D7+2)</f>
        <v>38110.285714285717</v>
      </c>
      <c r="H7" s="87">
        <f>LOG(705/250)</f>
        <v>0.45024910831936105</v>
      </c>
      <c r="I7" s="87">
        <v>885</v>
      </c>
      <c r="J7" s="87">
        <v>7</v>
      </c>
      <c r="K7" s="85">
        <f t="shared" si="0"/>
        <v>363659.1428571429</v>
      </c>
      <c r="L7" s="87">
        <f>LOG(705/250)</f>
        <v>0.45024910831936105</v>
      </c>
      <c r="M7" s="87">
        <v>947</v>
      </c>
      <c r="N7" s="87">
        <v>7</v>
      </c>
      <c r="O7" s="85">
        <f>(M7/N7)*(1)*POWER(10,L7+2)</f>
        <v>38150.571428571435</v>
      </c>
      <c r="P7" s="88">
        <f t="shared" si="1"/>
        <v>146640.00000000003</v>
      </c>
      <c r="Q7" s="88">
        <f t="shared" si="2"/>
        <v>187944.09190121258</v>
      </c>
      <c r="R7" s="89">
        <f t="shared" si="3"/>
        <v>5.1662524519541604</v>
      </c>
      <c r="S7" s="82"/>
      <c r="T7" s="82"/>
      <c r="U7" s="82"/>
      <c r="V7" s="82"/>
    </row>
    <row r="8" spans="1:22">
      <c r="A8" s="82"/>
      <c r="B8" s="86" t="s">
        <v>187</v>
      </c>
      <c r="C8" s="87">
        <v>500</v>
      </c>
      <c r="D8" s="87">
        <f>LOG(705/250)</f>
        <v>0.45024910831936105</v>
      </c>
      <c r="E8" s="87">
        <v>1248</v>
      </c>
      <c r="F8" s="87">
        <v>70</v>
      </c>
      <c r="G8" s="85">
        <f>(E8/F8)*(1)*POWER(10,D8+2)</f>
        <v>5027.6571428571442</v>
      </c>
      <c r="H8" s="87">
        <f>LOG(705/250)</f>
        <v>0.45024910831936105</v>
      </c>
      <c r="I8" s="87">
        <v>1303</v>
      </c>
      <c r="J8" s="87">
        <v>70</v>
      </c>
      <c r="K8" s="85">
        <f t="shared" si="0"/>
        <v>53542.131428571432</v>
      </c>
      <c r="L8" s="87">
        <f>LOG(705/250)</f>
        <v>0.45024910831936105</v>
      </c>
      <c r="M8" s="87">
        <v>1278</v>
      </c>
      <c r="N8" s="87">
        <v>70</v>
      </c>
      <c r="O8" s="85">
        <f>(M8/N8)*(1)*POWER(10,L8+2)</f>
        <v>5148.5142857142864</v>
      </c>
      <c r="P8" s="88">
        <f t="shared" si="1"/>
        <v>21239.434285714287</v>
      </c>
      <c r="Q8" s="88">
        <f t="shared" si="2"/>
        <v>27975.021602129429</v>
      </c>
      <c r="R8" s="89">
        <f t="shared" si="3"/>
        <v>4.3271429450900092</v>
      </c>
      <c r="S8" s="82"/>
      <c r="T8" s="82"/>
      <c r="U8" s="82"/>
      <c r="V8" s="82"/>
    </row>
    <row r="9" spans="1:22">
      <c r="A9" s="82"/>
      <c r="B9" s="86" t="s">
        <v>188</v>
      </c>
      <c r="C9" s="87">
        <v>900</v>
      </c>
      <c r="D9" s="87">
        <v>2</v>
      </c>
      <c r="E9" s="87">
        <v>26822</v>
      </c>
      <c r="F9" s="87">
        <v>7</v>
      </c>
      <c r="G9" s="85">
        <f t="shared" ref="G9:G19" si="4">(E9/F9)*(10.2)*POWER(10,D9+2)</f>
        <v>390834857.14285713</v>
      </c>
      <c r="H9" s="87">
        <v>2</v>
      </c>
      <c r="I9" s="87">
        <v>25452</v>
      </c>
      <c r="J9" s="87">
        <v>7</v>
      </c>
      <c r="K9" s="85">
        <f t="shared" si="0"/>
        <v>370872000</v>
      </c>
      <c r="L9" s="87">
        <v>2</v>
      </c>
      <c r="M9" s="87">
        <v>29126</v>
      </c>
      <c r="N9" s="87">
        <v>7</v>
      </c>
      <c r="O9" s="85">
        <f t="shared" ref="O9:O19" si="5">(M9/N9)*(10.2)*POWER(10,L9+2)</f>
        <v>424407428.57142854</v>
      </c>
      <c r="P9" s="88">
        <f t="shared" si="1"/>
        <v>395371428.57142854</v>
      </c>
      <c r="Q9" s="88">
        <f t="shared" si="2"/>
        <v>27054498.485954784</v>
      </c>
      <c r="R9" s="89">
        <f t="shared" si="3"/>
        <v>8.5970052819172</v>
      </c>
      <c r="S9" s="82"/>
      <c r="T9" s="82"/>
      <c r="U9" s="82"/>
      <c r="V9" s="82"/>
    </row>
    <row r="10" spans="1:22">
      <c r="A10" s="82"/>
      <c r="B10" s="86" t="s">
        <v>189</v>
      </c>
      <c r="C10" s="87">
        <v>900</v>
      </c>
      <c r="D10" s="87">
        <v>1</v>
      </c>
      <c r="E10" s="87">
        <v>11669</v>
      </c>
      <c r="F10" s="87">
        <v>7</v>
      </c>
      <c r="G10" s="85">
        <f t="shared" si="4"/>
        <v>17003399.999999996</v>
      </c>
      <c r="H10" s="87">
        <v>1</v>
      </c>
      <c r="I10" s="87">
        <v>13970</v>
      </c>
      <c r="J10" s="87">
        <v>20</v>
      </c>
      <c r="K10" s="85">
        <f t="shared" si="0"/>
        <v>7124700</v>
      </c>
      <c r="L10" s="87">
        <v>1</v>
      </c>
      <c r="M10" s="87">
        <v>12995</v>
      </c>
      <c r="N10" s="87">
        <v>7</v>
      </c>
      <c r="O10" s="85">
        <f t="shared" si="5"/>
        <v>18935571.428571429</v>
      </c>
      <c r="P10" s="88">
        <f t="shared" si="1"/>
        <v>14354557.142857142</v>
      </c>
      <c r="Q10" s="88">
        <f t="shared" si="2"/>
        <v>6335333.2459262749</v>
      </c>
      <c r="R10" s="89">
        <f t="shared" si="3"/>
        <v>7.1569897984779303</v>
      </c>
      <c r="S10" s="95" t="s">
        <v>133</v>
      </c>
      <c r="T10" s="82"/>
      <c r="U10" s="82"/>
      <c r="V10" s="82"/>
    </row>
    <row r="11" spans="1:22">
      <c r="A11" s="82"/>
      <c r="B11" s="86" t="s">
        <v>190</v>
      </c>
      <c r="C11" s="87">
        <v>900</v>
      </c>
      <c r="D11" s="87">
        <v>1</v>
      </c>
      <c r="E11" s="87">
        <v>6123</v>
      </c>
      <c r="F11" s="87">
        <v>7</v>
      </c>
      <c r="G11" s="85">
        <f t="shared" si="4"/>
        <v>8922085.7142857127</v>
      </c>
      <c r="H11" s="87">
        <v>1</v>
      </c>
      <c r="I11" s="87">
        <v>6639</v>
      </c>
      <c r="J11" s="87">
        <v>7</v>
      </c>
      <c r="K11" s="85">
        <f t="shared" si="0"/>
        <v>9673971.4285714272</v>
      </c>
      <c r="L11" s="87">
        <v>1</v>
      </c>
      <c r="M11" s="87">
        <v>7021</v>
      </c>
      <c r="N11" s="87">
        <v>7</v>
      </c>
      <c r="O11" s="85">
        <f t="shared" si="5"/>
        <v>10230599.999999998</v>
      </c>
      <c r="P11" s="88">
        <f t="shared" si="1"/>
        <v>9608885.7142857127</v>
      </c>
      <c r="Q11" s="88">
        <f t="shared" si="2"/>
        <v>656680.68468065432</v>
      </c>
      <c r="R11" s="89">
        <f t="shared" si="3"/>
        <v>6.9826730280228597</v>
      </c>
      <c r="S11" s="95" t="s">
        <v>133</v>
      </c>
      <c r="T11" s="82"/>
      <c r="U11" s="82"/>
      <c r="V11" s="82"/>
    </row>
    <row r="12" spans="1:22">
      <c r="A12" s="82"/>
      <c r="B12" s="86" t="s">
        <v>191</v>
      </c>
      <c r="C12" s="87">
        <v>900</v>
      </c>
      <c r="D12" s="87">
        <v>1</v>
      </c>
      <c r="E12" s="87">
        <v>29009</v>
      </c>
      <c r="F12" s="87">
        <v>7</v>
      </c>
      <c r="G12" s="85">
        <f t="shared" si="4"/>
        <v>42270257.142857142</v>
      </c>
      <c r="H12" s="87">
        <v>1</v>
      </c>
      <c r="I12" s="87">
        <v>29016</v>
      </c>
      <c r="J12" s="87">
        <v>7</v>
      </c>
      <c r="K12" s="85">
        <f t="shared" si="0"/>
        <v>42280457.142857134</v>
      </c>
      <c r="L12" s="87">
        <v>1</v>
      </c>
      <c r="M12" s="87">
        <v>31568</v>
      </c>
      <c r="N12" s="87">
        <v>7</v>
      </c>
      <c r="O12" s="85">
        <f t="shared" si="5"/>
        <v>45999085.714285709</v>
      </c>
      <c r="P12" s="88">
        <f t="shared" si="1"/>
        <v>43516599.999999993</v>
      </c>
      <c r="Q12" s="88">
        <f t="shared" si="2"/>
        <v>2149901.7422255576</v>
      </c>
      <c r="R12" s="89">
        <f t="shared" si="3"/>
        <v>7.6386549561082937</v>
      </c>
      <c r="S12" s="82"/>
      <c r="T12" s="82"/>
      <c r="U12" s="82"/>
      <c r="V12" s="82"/>
    </row>
    <row r="13" spans="1:22">
      <c r="A13" s="82"/>
      <c r="B13" s="86" t="s">
        <v>192</v>
      </c>
      <c r="C13" s="87">
        <v>900</v>
      </c>
      <c r="D13" s="87">
        <v>1</v>
      </c>
      <c r="E13" s="87">
        <v>13542</v>
      </c>
      <c r="F13" s="87">
        <v>7</v>
      </c>
      <c r="G13" s="85">
        <f t="shared" si="4"/>
        <v>19732628.571428571</v>
      </c>
      <c r="H13" s="87">
        <v>1</v>
      </c>
      <c r="I13" s="87">
        <v>14070</v>
      </c>
      <c r="J13" s="87">
        <v>7</v>
      </c>
      <c r="K13" s="85">
        <f t="shared" si="0"/>
        <v>20502000</v>
      </c>
      <c r="L13" s="87">
        <v>1</v>
      </c>
      <c r="M13" s="87">
        <v>15197</v>
      </c>
      <c r="N13" s="87">
        <v>7</v>
      </c>
      <c r="O13" s="85">
        <f t="shared" si="5"/>
        <v>22144199.999999996</v>
      </c>
      <c r="P13" s="88">
        <f t="shared" si="1"/>
        <v>20792942.857142854</v>
      </c>
      <c r="Q13" s="88">
        <f t="shared" si="2"/>
        <v>1231829.938898768</v>
      </c>
      <c r="R13" s="89">
        <f t="shared" si="3"/>
        <v>7.3179159600467427</v>
      </c>
      <c r="S13" s="82"/>
      <c r="T13" s="82"/>
      <c r="U13" s="82"/>
      <c r="V13" s="82"/>
    </row>
    <row r="14" spans="1:22">
      <c r="A14" s="82"/>
      <c r="B14" s="86" t="s">
        <v>193</v>
      </c>
      <c r="C14" s="87">
        <v>900</v>
      </c>
      <c r="D14" s="87">
        <v>1</v>
      </c>
      <c r="E14" s="87">
        <v>6282</v>
      </c>
      <c r="F14" s="87">
        <v>7</v>
      </c>
      <c r="G14" s="85">
        <f t="shared" si="4"/>
        <v>9153771.4285714291</v>
      </c>
      <c r="H14" s="87">
        <v>1</v>
      </c>
      <c r="I14" s="87">
        <v>6343</v>
      </c>
      <c r="J14" s="87">
        <v>7</v>
      </c>
      <c r="K14" s="85">
        <f t="shared" si="0"/>
        <v>9242657.1428571418</v>
      </c>
      <c r="L14" s="87">
        <v>1</v>
      </c>
      <c r="M14" s="87">
        <v>7014</v>
      </c>
      <c r="N14" s="87">
        <v>7</v>
      </c>
      <c r="O14" s="85">
        <f t="shared" si="5"/>
        <v>10220400</v>
      </c>
      <c r="P14" s="88">
        <f t="shared" si="1"/>
        <v>9538942.8571428563</v>
      </c>
      <c r="Q14" s="88">
        <f t="shared" si="2"/>
        <v>591830.25075969705</v>
      </c>
      <c r="R14" s="89">
        <f t="shared" si="3"/>
        <v>6.9795002471622967</v>
      </c>
      <c r="S14" s="82"/>
      <c r="T14" s="82"/>
      <c r="U14" s="82"/>
      <c r="V14" s="82"/>
    </row>
    <row r="15" spans="1:22">
      <c r="A15" s="82"/>
      <c r="B15" s="86" t="s">
        <v>194</v>
      </c>
      <c r="C15" s="87">
        <v>900</v>
      </c>
      <c r="D15" s="87">
        <v>1</v>
      </c>
      <c r="E15" s="87">
        <v>3249</v>
      </c>
      <c r="F15" s="87">
        <v>7</v>
      </c>
      <c r="G15" s="85">
        <f t="shared" si="4"/>
        <v>4734257.1428571427</v>
      </c>
      <c r="H15" s="87">
        <v>1</v>
      </c>
      <c r="I15" s="87">
        <v>3902</v>
      </c>
      <c r="J15" s="87">
        <v>7</v>
      </c>
      <c r="K15" s="85">
        <f t="shared" si="0"/>
        <v>5685771.4285714282</v>
      </c>
      <c r="L15" s="87">
        <v>1</v>
      </c>
      <c r="M15" s="87">
        <v>3833</v>
      </c>
      <c r="N15" s="87">
        <v>7</v>
      </c>
      <c r="O15" s="85">
        <f t="shared" si="5"/>
        <v>5585228.5714285709</v>
      </c>
      <c r="P15" s="88">
        <f t="shared" si="1"/>
        <v>5335085.7142857136</v>
      </c>
      <c r="Q15" s="88">
        <f t="shared" si="2"/>
        <v>522755.62714741344</v>
      </c>
      <c r="R15" s="89">
        <f t="shared" si="3"/>
        <v>6.7271414012566968</v>
      </c>
      <c r="S15" s="82"/>
      <c r="T15" s="82"/>
      <c r="U15" s="82"/>
      <c r="V15" s="82"/>
    </row>
    <row r="16" spans="1:22">
      <c r="A16" s="82"/>
      <c r="B16" s="86" t="s">
        <v>195</v>
      </c>
      <c r="C16" s="87">
        <v>900</v>
      </c>
      <c r="D16" s="87">
        <v>0</v>
      </c>
      <c r="E16" s="87">
        <v>12331</v>
      </c>
      <c r="F16" s="87">
        <v>7</v>
      </c>
      <c r="G16" s="85">
        <f t="shared" si="4"/>
        <v>1796802.857142857</v>
      </c>
      <c r="H16" s="87">
        <v>0</v>
      </c>
      <c r="I16" s="87">
        <v>13246</v>
      </c>
      <c r="J16" s="87">
        <v>7</v>
      </c>
      <c r="K16" s="85">
        <f t="shared" si="0"/>
        <v>1930131.4285714284</v>
      </c>
      <c r="L16" s="87">
        <v>0</v>
      </c>
      <c r="M16" s="87">
        <v>11745</v>
      </c>
      <c r="N16" s="87">
        <v>7</v>
      </c>
      <c r="O16" s="85">
        <f t="shared" si="5"/>
        <v>1711414.2857142854</v>
      </c>
      <c r="P16" s="88">
        <f t="shared" si="1"/>
        <v>1812782.857142857</v>
      </c>
      <c r="Q16" s="88">
        <f t="shared" si="2"/>
        <v>110230.74636823416</v>
      </c>
      <c r="R16" s="89">
        <f t="shared" si="3"/>
        <v>6.2583457855668376</v>
      </c>
      <c r="S16" s="82"/>
      <c r="T16" s="82"/>
      <c r="U16" s="82"/>
      <c r="V16" s="82"/>
    </row>
    <row r="17" spans="1:22">
      <c r="A17" s="82"/>
      <c r="B17" s="86" t="s">
        <v>196</v>
      </c>
      <c r="C17" s="87">
        <v>900</v>
      </c>
      <c r="D17" s="87">
        <v>0</v>
      </c>
      <c r="E17" s="87">
        <v>6389</v>
      </c>
      <c r="F17" s="87">
        <v>7</v>
      </c>
      <c r="G17" s="85">
        <f t="shared" si="4"/>
        <v>930968.57142857136</v>
      </c>
      <c r="H17" s="87">
        <v>0</v>
      </c>
      <c r="I17" s="87">
        <v>4586</v>
      </c>
      <c r="J17" s="87">
        <v>7</v>
      </c>
      <c r="K17" s="85">
        <f t="shared" si="0"/>
        <v>668245.7142857142</v>
      </c>
      <c r="L17" s="87">
        <v>0</v>
      </c>
      <c r="M17" s="87">
        <v>5332</v>
      </c>
      <c r="N17" s="87">
        <v>7</v>
      </c>
      <c r="O17" s="85">
        <f t="shared" si="5"/>
        <v>776948.57142857136</v>
      </c>
      <c r="P17" s="88">
        <f t="shared" si="1"/>
        <v>792054.28571428556</v>
      </c>
      <c r="Q17" s="88">
        <f t="shared" si="2"/>
        <v>132011.21872548491</v>
      </c>
      <c r="R17" s="89">
        <f t="shared" si="3"/>
        <v>5.8987549482286576</v>
      </c>
      <c r="S17" s="82"/>
      <c r="T17" s="82"/>
      <c r="U17" s="82"/>
      <c r="V17" s="82"/>
    </row>
    <row r="18" spans="1:22">
      <c r="A18" s="82"/>
      <c r="B18" s="86" t="s">
        <v>197</v>
      </c>
      <c r="C18" s="87">
        <v>900</v>
      </c>
      <c r="D18" s="87">
        <v>0</v>
      </c>
      <c r="E18" s="87">
        <v>2453</v>
      </c>
      <c r="F18" s="87">
        <v>7</v>
      </c>
      <c r="G18" s="85">
        <f t="shared" si="4"/>
        <v>357437.14285714284</v>
      </c>
      <c r="H18" s="87">
        <v>0</v>
      </c>
      <c r="I18" s="87">
        <v>2433</v>
      </c>
      <c r="J18" s="87">
        <v>7</v>
      </c>
      <c r="K18" s="85">
        <f t="shared" si="0"/>
        <v>354522.8571428571</v>
      </c>
      <c r="L18" s="87">
        <v>0</v>
      </c>
      <c r="M18" s="87">
        <v>1833</v>
      </c>
      <c r="N18" s="87">
        <v>7</v>
      </c>
      <c r="O18" s="85">
        <f t="shared" si="5"/>
        <v>267094.28571428568</v>
      </c>
      <c r="P18" s="88">
        <f t="shared" si="1"/>
        <v>326351.42857142852</v>
      </c>
      <c r="Q18" s="88">
        <f t="shared" si="2"/>
        <v>51338.874159841398</v>
      </c>
      <c r="R18" s="89">
        <f t="shared" si="3"/>
        <v>5.5136855181177333</v>
      </c>
      <c r="S18" s="82"/>
      <c r="T18" s="82"/>
      <c r="U18" s="82"/>
      <c r="V18" s="82"/>
    </row>
    <row r="19" spans="1:22">
      <c r="A19" s="82"/>
      <c r="B19" s="86" t="s">
        <v>198</v>
      </c>
      <c r="C19" s="87">
        <v>900</v>
      </c>
      <c r="D19" s="87">
        <v>0</v>
      </c>
      <c r="E19" s="87">
        <v>2574</v>
      </c>
      <c r="F19" s="87">
        <v>14</v>
      </c>
      <c r="G19" s="85">
        <f t="shared" si="4"/>
        <v>187534.28571428571</v>
      </c>
      <c r="H19" s="87">
        <v>0</v>
      </c>
      <c r="I19" s="87">
        <v>1997</v>
      </c>
      <c r="J19" s="87">
        <v>14</v>
      </c>
      <c r="K19" s="85">
        <f t="shared" si="0"/>
        <v>145495.71428571429</v>
      </c>
      <c r="L19" s="87">
        <v>0</v>
      </c>
      <c r="M19" s="87">
        <v>1974</v>
      </c>
      <c r="N19" s="87">
        <v>14</v>
      </c>
      <c r="O19" s="85">
        <f t="shared" si="5"/>
        <v>143819.99999999997</v>
      </c>
      <c r="P19" s="88">
        <f t="shared" si="1"/>
        <v>158950</v>
      </c>
      <c r="Q19" s="88">
        <f t="shared" si="2"/>
        <v>24768.892727345858</v>
      </c>
      <c r="R19" s="89">
        <f t="shared" si="3"/>
        <v>5.2012605322507914</v>
      </c>
      <c r="S19" s="82"/>
      <c r="T19" s="82"/>
      <c r="U19" s="82"/>
      <c r="V19" s="82"/>
    </row>
    <row r="20" spans="1:22" ht="15" thickBot="1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</row>
    <row r="21" spans="1:22" ht="43" thickBot="1">
      <c r="A21" s="82"/>
      <c r="B21" s="90" t="s">
        <v>4</v>
      </c>
      <c r="C21" s="90" t="s">
        <v>199</v>
      </c>
      <c r="D21" s="90" t="s">
        <v>200</v>
      </c>
      <c r="E21" s="90" t="s">
        <v>262</v>
      </c>
      <c r="F21" s="90" t="s">
        <v>261</v>
      </c>
      <c r="G21" s="91" t="s">
        <v>260</v>
      </c>
      <c r="H21" s="92" t="s">
        <v>201</v>
      </c>
      <c r="I21" s="92" t="s">
        <v>224</v>
      </c>
      <c r="J21" s="92" t="s">
        <v>225</v>
      </c>
      <c r="K21" s="92" t="s">
        <v>226</v>
      </c>
      <c r="L21" s="92" t="s">
        <v>227</v>
      </c>
      <c r="M21" s="95" t="s">
        <v>233</v>
      </c>
      <c r="N21" s="82"/>
      <c r="O21" s="82"/>
      <c r="P21" s="82"/>
      <c r="Q21" s="82"/>
      <c r="R21" s="82"/>
      <c r="S21" s="82"/>
      <c r="T21" s="82"/>
      <c r="U21" s="82"/>
      <c r="V21" s="82"/>
    </row>
    <row r="22" spans="1:22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</row>
    <row r="23" spans="1:22">
      <c r="A23" s="82"/>
      <c r="B23" s="86" t="s">
        <v>183</v>
      </c>
      <c r="C23" s="99">
        <v>13.733217239379883</v>
      </c>
      <c r="D23" s="99">
        <v>13.964070320129395</v>
      </c>
      <c r="E23" s="99">
        <v>13.836982727050781</v>
      </c>
      <c r="F23" s="97">
        <f t="shared" ref="F23:F38" si="6">AVERAGE(C23:E23)</f>
        <v>13.844756762186686</v>
      </c>
      <c r="G23" s="82">
        <f>150/100*180/4*1000/900</f>
        <v>75</v>
      </c>
      <c r="H23" s="100">
        <f t="shared" ref="H23:H37" si="7">LOG(G23)/LOG(2)</f>
        <v>6.2288186904958813</v>
      </c>
      <c r="I23" s="99">
        <f t="shared" ref="I23:I38" si="8">C23-H23</f>
        <v>7.5043985488840015</v>
      </c>
      <c r="J23" s="99">
        <f t="shared" ref="J23:J38" si="9">D23-H23</f>
        <v>7.7352516296335132</v>
      </c>
      <c r="K23" s="99">
        <f t="shared" ref="K23:K38" si="10">E23-H23</f>
        <v>7.6081640365548999</v>
      </c>
      <c r="L23" s="97">
        <f t="shared" ref="L23:L38" si="11">AVERAGE(I23:K23)</f>
        <v>7.6159380716908052</v>
      </c>
      <c r="M23" s="82"/>
      <c r="N23" s="82"/>
      <c r="O23" s="82"/>
      <c r="P23" s="82"/>
      <c r="Q23" s="82"/>
      <c r="R23" s="82"/>
      <c r="S23" s="82"/>
      <c r="T23" s="82"/>
      <c r="U23" s="82"/>
      <c r="V23" s="82"/>
    </row>
    <row r="24" spans="1:22">
      <c r="A24" s="82"/>
      <c r="B24" s="86" t="s">
        <v>184</v>
      </c>
      <c r="C24" s="99">
        <v>17.19072151184082</v>
      </c>
      <c r="D24" s="99">
        <v>17.22271728515625</v>
      </c>
      <c r="E24" s="99">
        <v>17.264667510986328</v>
      </c>
      <c r="F24" s="97">
        <f t="shared" si="6"/>
        <v>17.226035435994465</v>
      </c>
      <c r="G24" s="82">
        <f>150/100*180/4*1000/900</f>
        <v>75</v>
      </c>
      <c r="H24" s="100">
        <f t="shared" si="7"/>
        <v>6.2288186904958813</v>
      </c>
      <c r="I24" s="99">
        <f t="shared" si="8"/>
        <v>10.961902821344939</v>
      </c>
      <c r="J24" s="99">
        <f t="shared" si="9"/>
        <v>10.993898594660369</v>
      </c>
      <c r="K24" s="99">
        <f t="shared" si="10"/>
        <v>11.035848820490447</v>
      </c>
      <c r="L24" s="97">
        <f t="shared" si="11"/>
        <v>10.997216745498585</v>
      </c>
      <c r="M24" s="82"/>
      <c r="N24" s="82"/>
      <c r="O24" s="82"/>
      <c r="P24" s="82"/>
      <c r="Q24" s="82"/>
      <c r="R24" s="82"/>
      <c r="S24" s="82"/>
      <c r="T24" s="82"/>
      <c r="U24" s="82"/>
      <c r="V24" s="82"/>
    </row>
    <row r="25" spans="1:22">
      <c r="A25" s="82"/>
      <c r="B25" s="86" t="s">
        <v>185</v>
      </c>
      <c r="C25" s="99">
        <v>20.897546768188477</v>
      </c>
      <c r="D25" s="99">
        <v>20.622665405273438</v>
      </c>
      <c r="E25" s="99">
        <v>20.75037956237793</v>
      </c>
      <c r="F25" s="97">
        <f t="shared" si="6"/>
        <v>20.756863911946613</v>
      </c>
      <c r="G25" s="82">
        <f>150/100*180/4*1000/900</f>
        <v>75</v>
      </c>
      <c r="H25" s="100">
        <f t="shared" si="7"/>
        <v>6.2288186904958813</v>
      </c>
      <c r="I25" s="99">
        <f t="shared" si="8"/>
        <v>14.668728077692595</v>
      </c>
      <c r="J25" s="99">
        <f t="shared" si="9"/>
        <v>14.393846714777556</v>
      </c>
      <c r="K25" s="99">
        <f t="shared" si="10"/>
        <v>14.521560871882048</v>
      </c>
      <c r="L25" s="97">
        <f t="shared" si="11"/>
        <v>14.528045221450734</v>
      </c>
      <c r="M25" s="95" t="s">
        <v>133</v>
      </c>
      <c r="N25" s="82"/>
      <c r="O25" s="82"/>
      <c r="P25" s="82"/>
      <c r="Q25" s="82"/>
      <c r="R25" s="82"/>
      <c r="S25" s="82"/>
      <c r="T25" s="82"/>
      <c r="U25" s="82"/>
      <c r="V25" s="82"/>
    </row>
    <row r="26" spans="1:22">
      <c r="A26" s="82"/>
      <c r="B26" s="86" t="s">
        <v>186</v>
      </c>
      <c r="C26" s="99">
        <v>25.132444381713867</v>
      </c>
      <c r="D26" s="99">
        <v>25.147838592529297</v>
      </c>
      <c r="E26" s="99">
        <v>25.181661605834961</v>
      </c>
      <c r="F26" s="97">
        <f t="shared" si="6"/>
        <v>25.153981526692707</v>
      </c>
      <c r="G26" s="82">
        <f>150/100*180/4*1000/900</f>
        <v>75</v>
      </c>
      <c r="H26" s="100">
        <f t="shared" si="7"/>
        <v>6.2288186904958813</v>
      </c>
      <c r="I26" s="99">
        <f t="shared" si="8"/>
        <v>18.903625691217986</v>
      </c>
      <c r="J26" s="99">
        <f t="shared" si="9"/>
        <v>18.919019902033416</v>
      </c>
      <c r="K26" s="99">
        <f t="shared" si="10"/>
        <v>18.95284291533908</v>
      </c>
      <c r="L26" s="97">
        <f t="shared" si="11"/>
        <v>18.925162836196829</v>
      </c>
      <c r="M26" s="82"/>
      <c r="N26" s="82"/>
      <c r="O26" s="82"/>
      <c r="P26" s="82"/>
      <c r="Q26" s="82"/>
      <c r="R26" s="82"/>
      <c r="S26" s="82"/>
      <c r="T26" s="82"/>
      <c r="U26" s="82"/>
      <c r="V26" s="82"/>
    </row>
    <row r="27" spans="1:22">
      <c r="A27" s="82"/>
      <c r="B27" s="86" t="s">
        <v>187</v>
      </c>
      <c r="C27" s="99">
        <v>28.415132522583008</v>
      </c>
      <c r="D27" s="99">
        <v>28.359806060791016</v>
      </c>
      <c r="E27" s="99">
        <v>28.363668441772461</v>
      </c>
      <c r="F27" s="97">
        <f t="shared" si="6"/>
        <v>28.379535675048828</v>
      </c>
      <c r="G27" s="82">
        <f>150/100*180/4*1000/900</f>
        <v>75</v>
      </c>
      <c r="H27" s="100">
        <f t="shared" si="7"/>
        <v>6.2288186904958813</v>
      </c>
      <c r="I27" s="99">
        <f t="shared" si="8"/>
        <v>22.186313832087126</v>
      </c>
      <c r="J27" s="99">
        <f t="shared" si="9"/>
        <v>22.130987370295134</v>
      </c>
      <c r="K27" s="99">
        <f t="shared" si="10"/>
        <v>22.13484975127658</v>
      </c>
      <c r="L27" s="97">
        <f t="shared" si="11"/>
        <v>22.150716984552947</v>
      </c>
      <c r="M27" s="82"/>
      <c r="N27" s="82"/>
      <c r="O27" s="82"/>
      <c r="P27" s="82"/>
      <c r="Q27" s="82"/>
      <c r="R27" s="82"/>
      <c r="S27" s="82"/>
      <c r="T27" s="82"/>
      <c r="U27" s="82"/>
      <c r="V27" s="82"/>
    </row>
    <row r="28" spans="1:22">
      <c r="A28" s="82"/>
      <c r="B28" s="86" t="s">
        <v>188</v>
      </c>
      <c r="C28" s="99">
        <v>14.936457633972168</v>
      </c>
      <c r="D28" s="99">
        <v>14.999619483947754</v>
      </c>
      <c r="E28" s="99">
        <v>15.074687957763672</v>
      </c>
      <c r="F28" s="97">
        <f t="shared" si="6"/>
        <v>15.003588358561197</v>
      </c>
      <c r="G28" s="82">
        <f t="shared" ref="G28:G37" si="12">150/100*180/4*1000/500</f>
        <v>135</v>
      </c>
      <c r="H28" s="100">
        <f t="shared" si="7"/>
        <v>7.0768155970508309</v>
      </c>
      <c r="I28" s="99">
        <f t="shared" si="8"/>
        <v>7.8596420369213371</v>
      </c>
      <c r="J28" s="99">
        <f t="shared" si="9"/>
        <v>7.9228038868969231</v>
      </c>
      <c r="K28" s="99">
        <f t="shared" si="10"/>
        <v>7.997872360712841</v>
      </c>
      <c r="L28" s="97">
        <f t="shared" si="11"/>
        <v>7.9267727615103674</v>
      </c>
      <c r="M28" s="82"/>
      <c r="N28" s="82"/>
      <c r="O28" s="82"/>
      <c r="P28" s="82"/>
      <c r="Q28" s="82"/>
      <c r="R28" s="82"/>
      <c r="S28" s="82"/>
      <c r="T28" s="82"/>
      <c r="U28" s="82"/>
      <c r="V28" s="82"/>
    </row>
    <row r="29" spans="1:22">
      <c r="A29" s="82"/>
      <c r="B29" s="86" t="s">
        <v>189</v>
      </c>
      <c r="C29" s="99">
        <v>16.18989372253418</v>
      </c>
      <c r="D29" s="99">
        <v>15.8782958984375</v>
      </c>
      <c r="E29" s="99">
        <v>15.960098266601562</v>
      </c>
      <c r="F29" s="97">
        <f t="shared" si="6"/>
        <v>16.009429295857746</v>
      </c>
      <c r="G29" s="82">
        <f t="shared" si="12"/>
        <v>135</v>
      </c>
      <c r="H29" s="100">
        <f t="shared" si="7"/>
        <v>7.0768155970508309</v>
      </c>
      <c r="I29" s="99">
        <f t="shared" si="8"/>
        <v>9.1130781254833479</v>
      </c>
      <c r="J29" s="99">
        <f t="shared" si="9"/>
        <v>8.8014803013866683</v>
      </c>
      <c r="K29" s="99">
        <f t="shared" si="10"/>
        <v>8.8832826695507308</v>
      </c>
      <c r="L29" s="97">
        <f t="shared" si="11"/>
        <v>8.9326136988069162</v>
      </c>
      <c r="M29" s="95" t="s">
        <v>133</v>
      </c>
      <c r="N29" s="82"/>
      <c r="O29" s="82"/>
      <c r="P29" s="82"/>
      <c r="Q29" s="82"/>
      <c r="R29" s="82"/>
      <c r="S29" s="82"/>
      <c r="T29" s="82"/>
      <c r="U29" s="82"/>
      <c r="V29" s="82"/>
    </row>
    <row r="30" spans="1:22">
      <c r="A30" s="82"/>
      <c r="B30" s="86" t="s">
        <v>190</v>
      </c>
      <c r="C30" s="99">
        <v>16.854721069335938</v>
      </c>
      <c r="D30" s="99">
        <v>16.93126106262207</v>
      </c>
      <c r="E30" s="99">
        <v>17.05010986328125</v>
      </c>
      <c r="F30" s="97">
        <f t="shared" si="6"/>
        <v>16.945363998413086</v>
      </c>
      <c r="G30" s="82">
        <f t="shared" si="12"/>
        <v>135</v>
      </c>
      <c r="H30" s="100">
        <f t="shared" si="7"/>
        <v>7.0768155970508309</v>
      </c>
      <c r="I30" s="99">
        <f t="shared" si="8"/>
        <v>9.7779054722851058</v>
      </c>
      <c r="J30" s="99">
        <f t="shared" si="9"/>
        <v>9.8544454655712386</v>
      </c>
      <c r="K30" s="99">
        <f t="shared" si="10"/>
        <v>9.9732942662304183</v>
      </c>
      <c r="L30" s="97">
        <f t="shared" si="11"/>
        <v>9.8685484013622542</v>
      </c>
      <c r="M30" s="95" t="s">
        <v>133</v>
      </c>
      <c r="N30" s="82"/>
      <c r="O30" s="82"/>
      <c r="P30" s="82"/>
      <c r="Q30" s="82"/>
      <c r="R30" s="82"/>
      <c r="S30" s="82"/>
      <c r="T30" s="82"/>
      <c r="U30" s="82"/>
      <c r="V30" s="82"/>
    </row>
    <row r="31" spans="1:22">
      <c r="A31" s="82"/>
      <c r="B31" s="86" t="s">
        <v>191</v>
      </c>
      <c r="C31" s="99">
        <v>18.072385787963867</v>
      </c>
      <c r="D31" s="99">
        <v>18.182058334350586</v>
      </c>
      <c r="E31" s="99">
        <v>18.225353240966797</v>
      </c>
      <c r="F31" s="97">
        <f t="shared" si="6"/>
        <v>18.159932454427082</v>
      </c>
      <c r="G31" s="82">
        <f t="shared" si="12"/>
        <v>135</v>
      </c>
      <c r="H31" s="100">
        <f t="shared" si="7"/>
        <v>7.0768155970508309</v>
      </c>
      <c r="I31" s="99">
        <f t="shared" si="8"/>
        <v>10.995570190913035</v>
      </c>
      <c r="J31" s="99">
        <f t="shared" si="9"/>
        <v>11.105242737299754</v>
      </c>
      <c r="K31" s="99">
        <f t="shared" si="10"/>
        <v>11.148537643915965</v>
      </c>
      <c r="L31" s="97">
        <f t="shared" si="11"/>
        <v>11.083116857376252</v>
      </c>
      <c r="M31" s="82"/>
      <c r="N31" s="82"/>
      <c r="O31" s="82"/>
      <c r="P31" s="82"/>
      <c r="Q31" s="82"/>
      <c r="R31" s="82"/>
      <c r="S31" s="82"/>
      <c r="T31" s="82"/>
      <c r="U31" s="82"/>
      <c r="V31" s="82"/>
    </row>
    <row r="32" spans="1:22">
      <c r="A32" s="82"/>
      <c r="B32" s="86" t="s">
        <v>192</v>
      </c>
      <c r="C32" s="99">
        <v>20.280126571655273</v>
      </c>
      <c r="D32" s="99">
        <v>20.968669891357422</v>
      </c>
      <c r="E32" s="99">
        <v>20.306863784790039</v>
      </c>
      <c r="F32" s="97">
        <f t="shared" si="6"/>
        <v>20.518553415934246</v>
      </c>
      <c r="G32" s="82">
        <f t="shared" si="12"/>
        <v>135</v>
      </c>
      <c r="H32" s="100">
        <f t="shared" si="7"/>
        <v>7.0768155970508309</v>
      </c>
      <c r="I32" s="99">
        <f t="shared" si="8"/>
        <v>13.203310974604442</v>
      </c>
      <c r="J32" s="99">
        <f t="shared" si="9"/>
        <v>13.89185429430659</v>
      </c>
      <c r="K32" s="99">
        <f t="shared" si="10"/>
        <v>13.230048187739207</v>
      </c>
      <c r="L32" s="97">
        <f t="shared" si="11"/>
        <v>13.441737818883412</v>
      </c>
      <c r="M32" s="82"/>
      <c r="N32" s="82"/>
      <c r="O32" s="82"/>
      <c r="P32" s="82"/>
      <c r="Q32" s="82"/>
      <c r="R32" s="82"/>
      <c r="S32" s="82"/>
      <c r="T32" s="82"/>
      <c r="U32" s="82"/>
      <c r="V32" s="82"/>
    </row>
    <row r="33" spans="1:22">
      <c r="A33" s="82"/>
      <c r="B33" s="86" t="s">
        <v>193</v>
      </c>
      <c r="C33" s="99">
        <v>21.049312591552734</v>
      </c>
      <c r="D33" s="99">
        <v>21.128349304199219</v>
      </c>
      <c r="E33" s="99">
        <v>21.15723991394043</v>
      </c>
      <c r="F33" s="97">
        <f t="shared" si="6"/>
        <v>21.111633936564129</v>
      </c>
      <c r="G33" s="82">
        <f t="shared" si="12"/>
        <v>135</v>
      </c>
      <c r="H33" s="100">
        <f t="shared" si="7"/>
        <v>7.0768155970508309</v>
      </c>
      <c r="I33" s="99">
        <f t="shared" si="8"/>
        <v>13.972496994501903</v>
      </c>
      <c r="J33" s="99">
        <f t="shared" si="9"/>
        <v>14.051533707148387</v>
      </c>
      <c r="K33" s="99">
        <f t="shared" si="10"/>
        <v>14.080424316889598</v>
      </c>
      <c r="L33" s="97">
        <f t="shared" si="11"/>
        <v>14.034818339513295</v>
      </c>
      <c r="M33" s="82"/>
      <c r="N33" s="82"/>
      <c r="O33" s="82"/>
      <c r="P33" s="82"/>
      <c r="Q33" s="82"/>
      <c r="R33" s="82"/>
      <c r="S33" s="82"/>
      <c r="T33" s="82"/>
      <c r="U33" s="82"/>
      <c r="V33" s="82"/>
    </row>
    <row r="34" spans="1:22">
      <c r="A34" s="82"/>
      <c r="B34" s="86" t="s">
        <v>194</v>
      </c>
      <c r="C34" s="99">
        <v>21.142179489135742</v>
      </c>
      <c r="D34" s="99">
        <v>21.006193161010742</v>
      </c>
      <c r="E34" s="99">
        <v>21.079441070556641</v>
      </c>
      <c r="F34" s="97">
        <f t="shared" si="6"/>
        <v>21.075937906901043</v>
      </c>
      <c r="G34" s="82">
        <f t="shared" si="12"/>
        <v>135</v>
      </c>
      <c r="H34" s="100">
        <f t="shared" si="7"/>
        <v>7.0768155970508309</v>
      </c>
      <c r="I34" s="99">
        <f t="shared" si="8"/>
        <v>14.06536389208491</v>
      </c>
      <c r="J34" s="99">
        <f t="shared" si="9"/>
        <v>13.92937756395991</v>
      </c>
      <c r="K34" s="99">
        <f t="shared" si="10"/>
        <v>14.002625473505809</v>
      </c>
      <c r="L34" s="97">
        <f t="shared" si="11"/>
        <v>13.999122309850209</v>
      </c>
      <c r="M34" s="82"/>
      <c r="N34" s="82"/>
      <c r="O34" s="82"/>
      <c r="P34" s="82"/>
      <c r="Q34" s="82"/>
      <c r="R34" s="82"/>
      <c r="S34" s="82"/>
      <c r="T34" s="82"/>
      <c r="U34" s="82"/>
      <c r="V34" s="82"/>
    </row>
    <row r="35" spans="1:22">
      <c r="A35" s="82"/>
      <c r="B35" s="86" t="s">
        <v>195</v>
      </c>
      <c r="C35" s="99">
        <v>22.919816970825195</v>
      </c>
      <c r="D35" s="99">
        <v>22.845848083496094</v>
      </c>
      <c r="E35" s="99">
        <v>22.840835571289062</v>
      </c>
      <c r="F35" s="97">
        <f t="shared" si="6"/>
        <v>22.868833541870117</v>
      </c>
      <c r="G35" s="82">
        <f t="shared" si="12"/>
        <v>135</v>
      </c>
      <c r="H35" s="100">
        <f t="shared" si="7"/>
        <v>7.0768155970508309</v>
      </c>
      <c r="I35" s="99">
        <f t="shared" si="8"/>
        <v>15.843001373774364</v>
      </c>
      <c r="J35" s="99">
        <f t="shared" si="9"/>
        <v>15.769032486445262</v>
      </c>
      <c r="K35" s="99">
        <f t="shared" si="10"/>
        <v>15.764019974238231</v>
      </c>
      <c r="L35" s="97">
        <f t="shared" si="11"/>
        <v>15.792017944819285</v>
      </c>
      <c r="M35" s="82"/>
      <c r="N35" s="82"/>
      <c r="O35" s="82"/>
      <c r="P35" s="82"/>
      <c r="Q35" s="82"/>
      <c r="R35" s="82"/>
      <c r="S35" s="82"/>
      <c r="T35" s="82"/>
      <c r="U35" s="82"/>
      <c r="V35" s="82"/>
    </row>
    <row r="36" spans="1:22">
      <c r="A36" s="82"/>
      <c r="B36" s="86" t="s">
        <v>196</v>
      </c>
      <c r="C36" s="99">
        <v>23.948450088500977</v>
      </c>
      <c r="D36" s="99">
        <v>24.184415817260742</v>
      </c>
      <c r="E36" s="99">
        <v>24.005857467651367</v>
      </c>
      <c r="F36" s="97">
        <f t="shared" si="6"/>
        <v>24.046241124471027</v>
      </c>
      <c r="G36" s="82">
        <f t="shared" si="12"/>
        <v>135</v>
      </c>
      <c r="H36" s="100">
        <f t="shared" si="7"/>
        <v>7.0768155970508309</v>
      </c>
      <c r="I36" s="99">
        <f t="shared" si="8"/>
        <v>16.871634491450145</v>
      </c>
      <c r="J36" s="99">
        <f t="shared" si="9"/>
        <v>17.10760022020991</v>
      </c>
      <c r="K36" s="99">
        <f t="shared" si="10"/>
        <v>16.929041870600535</v>
      </c>
      <c r="L36" s="97">
        <f t="shared" si="11"/>
        <v>16.969425527420196</v>
      </c>
      <c r="M36" s="82"/>
      <c r="N36" s="82"/>
      <c r="O36" s="82"/>
      <c r="P36" s="82"/>
      <c r="Q36" s="82"/>
      <c r="R36" s="82"/>
      <c r="S36" s="82"/>
      <c r="T36" s="82"/>
      <c r="U36" s="82"/>
      <c r="V36" s="82"/>
    </row>
    <row r="37" spans="1:22">
      <c r="A37" s="82"/>
      <c r="B37" s="86" t="s">
        <v>197</v>
      </c>
      <c r="C37" s="99">
        <v>24.632528305053711</v>
      </c>
      <c r="D37" s="99">
        <v>24.451812744140625</v>
      </c>
      <c r="E37" s="99">
        <v>24.549453735351562</v>
      </c>
      <c r="F37" s="97">
        <f t="shared" si="6"/>
        <v>24.544598261515301</v>
      </c>
      <c r="G37" s="82">
        <f t="shared" si="12"/>
        <v>135</v>
      </c>
      <c r="H37" s="100">
        <f t="shared" si="7"/>
        <v>7.0768155970508309</v>
      </c>
      <c r="I37" s="99">
        <f t="shared" si="8"/>
        <v>17.555712708002879</v>
      </c>
      <c r="J37" s="99">
        <f t="shared" si="9"/>
        <v>17.374997147089793</v>
      </c>
      <c r="K37" s="99">
        <f t="shared" si="10"/>
        <v>17.472638138300731</v>
      </c>
      <c r="L37" s="97">
        <f t="shared" si="11"/>
        <v>17.467782664464469</v>
      </c>
      <c r="M37" s="82"/>
      <c r="N37" s="82"/>
      <c r="O37" s="82"/>
      <c r="P37" s="82"/>
      <c r="Q37" s="82"/>
      <c r="R37" s="82"/>
      <c r="S37" s="82"/>
      <c r="T37" s="82"/>
      <c r="U37" s="82"/>
      <c r="V37" s="82"/>
    </row>
    <row r="38" spans="1:22">
      <c r="A38" s="82"/>
      <c r="B38" s="86" t="s">
        <v>198</v>
      </c>
      <c r="C38" s="87"/>
      <c r="D38" s="87"/>
      <c r="E38" s="87"/>
      <c r="F38" s="97" t="e">
        <f t="shared" si="6"/>
        <v>#DIV/0!</v>
      </c>
      <c r="G38" s="82">
        <v>0</v>
      </c>
      <c r="H38" s="100">
        <v>0</v>
      </c>
      <c r="I38" s="99">
        <f t="shared" si="8"/>
        <v>0</v>
      </c>
      <c r="J38" s="99">
        <f t="shared" si="9"/>
        <v>0</v>
      </c>
      <c r="K38" s="99">
        <f t="shared" si="10"/>
        <v>0</v>
      </c>
      <c r="L38" s="97">
        <f t="shared" si="11"/>
        <v>0</v>
      </c>
      <c r="M38" s="82"/>
      <c r="N38" s="82"/>
      <c r="O38" s="82"/>
      <c r="P38" s="82"/>
      <c r="Q38" s="82"/>
      <c r="R38" s="82"/>
      <c r="S38" s="82"/>
      <c r="T38" s="82"/>
      <c r="U38" s="82"/>
      <c r="V38" s="82"/>
    </row>
    <row r="39" spans="1:22">
      <c r="A39" s="82"/>
      <c r="B39" s="82"/>
      <c r="C39" s="82"/>
      <c r="D39" s="82"/>
      <c r="E39" s="82"/>
      <c r="F39" s="100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</row>
    <row r="40" spans="1:22">
      <c r="A40" s="82"/>
      <c r="B40" s="86" t="s">
        <v>207</v>
      </c>
      <c r="C40" s="99">
        <v>14.390941619873047</v>
      </c>
      <c r="D40" s="99">
        <v>14.411395072937012</v>
      </c>
      <c r="E40" s="99">
        <v>14.301624298095703</v>
      </c>
      <c r="F40" s="97">
        <f>AVERAGE(C40:E40)</f>
        <v>14.367986996968588</v>
      </c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</row>
    <row r="41" spans="1:22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</row>
    <row r="42" spans="1:22">
      <c r="A42" s="82"/>
      <c r="B42" s="95" t="s">
        <v>229</v>
      </c>
      <c r="C42" s="82" t="s">
        <v>202</v>
      </c>
      <c r="D42" s="82"/>
      <c r="E42" s="82"/>
      <c r="F42" t="s">
        <v>228</v>
      </c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</row>
    <row r="43" spans="1:22">
      <c r="A43" s="82"/>
      <c r="B43" s="82" t="s">
        <v>203</v>
      </c>
      <c r="C43" s="82" t="s">
        <v>202</v>
      </c>
      <c r="D43" s="82"/>
      <c r="E43" s="82"/>
      <c r="F43">
        <v>0.35990572856564834</v>
      </c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</row>
    <row r="44" spans="1:22">
      <c r="A44" s="82"/>
      <c r="B44" s="82"/>
      <c r="C44" s="94" t="s">
        <v>204</v>
      </c>
      <c r="D44" s="105">
        <v>-3.2483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</row>
    <row r="45" spans="1:22">
      <c r="A45" s="82"/>
      <c r="B45" s="82"/>
      <c r="C45" s="94" t="s">
        <v>205</v>
      </c>
      <c r="D45" s="93">
        <v>36.023000000000003</v>
      </c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</row>
    <row r="46" spans="1:22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</row>
    <row r="47" spans="1:22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</row>
    <row r="48" spans="1:22">
      <c r="A48" s="82"/>
      <c r="B48" s="95" t="s">
        <v>206</v>
      </c>
      <c r="C48" s="82"/>
      <c r="D48" s="82">
        <f>-1+ POWER(10,-(1/D44))</f>
        <v>1.0316707994539165</v>
      </c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</row>
    <row r="49" spans="1:22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</row>
    <row r="50" spans="1:22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</row>
    <row r="51" spans="1:22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</row>
    <row r="52" spans="1:22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</row>
    <row r="53" spans="1:22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</row>
    <row r="54" spans="1:22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</row>
    <row r="55" spans="1:22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</row>
  </sheetData>
  <mergeCells count="7">
    <mergeCell ref="S1:S2"/>
    <mergeCell ref="P3:R3"/>
    <mergeCell ref="B1:B2"/>
    <mergeCell ref="C1:C2"/>
    <mergeCell ref="D1:G1"/>
    <mergeCell ref="H1:K1"/>
    <mergeCell ref="L1:O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opLeftCell="A40" workbookViewId="0">
      <selection activeCell="H76" sqref="H76"/>
    </sheetView>
  </sheetViews>
  <sheetFormatPr baseColWidth="10" defaultRowHeight="14" x14ac:dyDescent="0"/>
  <cols>
    <col min="14" max="14" width="23.33203125" customWidth="1"/>
    <col min="15" max="15" width="14" customWidth="1"/>
    <col min="16" max="16" width="15.6640625" customWidth="1"/>
    <col min="17" max="18" width="17.33203125" customWidth="1"/>
    <col min="19" max="19" width="21.5" customWidth="1"/>
    <col min="38" max="38" width="11.5" bestFit="1" customWidth="1"/>
  </cols>
  <sheetData>
    <row r="1" spans="1:29">
      <c r="A1" s="96" t="s">
        <v>223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</row>
    <row r="2" spans="1:29">
      <c r="A2" s="122" t="s">
        <v>4</v>
      </c>
      <c r="B2" s="122" t="s">
        <v>118</v>
      </c>
      <c r="C2" s="122" t="s">
        <v>118</v>
      </c>
      <c r="D2" s="122" t="s">
        <v>5</v>
      </c>
      <c r="E2" s="136" t="s">
        <v>208</v>
      </c>
      <c r="F2" s="136" t="s">
        <v>209</v>
      </c>
      <c r="G2" s="136" t="s">
        <v>210</v>
      </c>
      <c r="H2" s="138" t="s">
        <v>211</v>
      </c>
      <c r="I2" s="138" t="s">
        <v>212</v>
      </c>
      <c r="J2" s="138" t="s">
        <v>213</v>
      </c>
      <c r="K2" s="136" t="s">
        <v>214</v>
      </c>
      <c r="L2" s="136" t="s">
        <v>215</v>
      </c>
      <c r="M2" s="136" t="s">
        <v>216</v>
      </c>
      <c r="N2" s="136" t="s">
        <v>217</v>
      </c>
      <c r="O2" s="136" t="s">
        <v>218</v>
      </c>
      <c r="P2" s="138" t="s">
        <v>219</v>
      </c>
      <c r="Q2" s="138" t="s">
        <v>231</v>
      </c>
      <c r="R2" s="138" t="s">
        <v>232</v>
      </c>
      <c r="S2" s="138" t="s">
        <v>220</v>
      </c>
      <c r="T2" s="82"/>
    </row>
    <row r="3" spans="1:29">
      <c r="A3" s="123"/>
      <c r="B3" s="123"/>
      <c r="C3" s="123"/>
      <c r="D3" s="123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82"/>
    </row>
    <row r="4" spans="1:29">
      <c r="A4" s="41">
        <v>0</v>
      </c>
      <c r="B4" s="32">
        <v>10</v>
      </c>
      <c r="C4" s="32">
        <f>B4</f>
        <v>10</v>
      </c>
      <c r="D4" s="13">
        <f t="shared" ref="D4:D21" si="0">C4/60</f>
        <v>0.16666666666666666</v>
      </c>
      <c r="E4" s="99">
        <v>29.35972785949707</v>
      </c>
      <c r="F4" s="99">
        <v>30.574542999267578</v>
      </c>
      <c r="G4" s="97">
        <v>29.498159408569336</v>
      </c>
      <c r="H4" s="102">
        <f>E4-$H$54+$H$75</f>
        <v>28.747833077803904</v>
      </c>
      <c r="I4" s="102">
        <f>F4-$H$54+$H$75</f>
        <v>29.962648217574412</v>
      </c>
      <c r="J4" s="102">
        <f>G4-$H$54+$H$75</f>
        <v>28.886264626876169</v>
      </c>
      <c r="K4" s="97">
        <f>((H4-'Calibration F. prausnitzii'!$D$45)/('Calibration F. prausnitzii'!$D$44))+$B$24</f>
        <v>5.8928969401510169</v>
      </c>
      <c r="L4" s="97">
        <f>((I4-'Calibration F. prausnitzii'!$D$45)/('Calibration F. prausnitzii'!$D$44))+$B$24</f>
        <v>5.5189120435064618</v>
      </c>
      <c r="M4" s="97">
        <f>((J4-'Calibration F. prausnitzii'!$D$45)/('Calibration F. prausnitzii'!$D$44))+$B$24</f>
        <v>5.8502803255919353</v>
      </c>
      <c r="N4" s="103">
        <f>AVERAGE(K4:M4)</f>
        <v>5.7540297697498053</v>
      </c>
      <c r="O4" s="103">
        <f>STDEV(K4:M4)</f>
        <v>0.20472982893193406</v>
      </c>
      <c r="P4" s="104">
        <f>(AVERAGE(POWER(10,K4),POWER(10,L4),POWER(10,M4)))*(Calculation!$I4/Calculation!$K3)</f>
        <v>606715.9580828402</v>
      </c>
      <c r="Q4" s="104">
        <f>(STDEV(POWER(10,K4),POWER(10,L4),POWER(10,M4)))*(Calculation!$I4/Calculation!$K3)</f>
        <v>242150.64028889567</v>
      </c>
      <c r="R4" s="103">
        <f>LOG(P4)</f>
        <v>5.7829854180793276</v>
      </c>
      <c r="S4" s="103">
        <f>O4*(Calculation!$I4/Calculation!$K3)</f>
        <v>0.20472982893193406</v>
      </c>
      <c r="T4" s="82"/>
    </row>
    <row r="5" spans="1:29">
      <c r="A5" s="41">
        <v>1</v>
      </c>
      <c r="B5" s="32">
        <v>110</v>
      </c>
      <c r="C5" s="32">
        <f>C4+B5</f>
        <v>120</v>
      </c>
      <c r="D5" s="13">
        <f t="shared" si="0"/>
        <v>2</v>
      </c>
      <c r="E5" s="99">
        <v>26.318044662475586</v>
      </c>
      <c r="F5" s="99">
        <v>26.707559585571289</v>
      </c>
      <c r="G5" s="97">
        <v>26.729454040527344</v>
      </c>
      <c r="H5" s="102">
        <f>E5-$H$54+$H$75</f>
        <v>25.706149880782419</v>
      </c>
      <c r="I5" s="102">
        <f>F5-$H$54+$H$75</f>
        <v>26.095664803878122</v>
      </c>
      <c r="J5" s="102">
        <f>G5-$H$54+$H$75</f>
        <v>26.117559258834177</v>
      </c>
      <c r="K5" s="97">
        <f>((H5-'Calibration F. prausnitzii'!$D$45)/('Calibration F. prausnitzii'!$D$44))+$B$24</f>
        <v>6.8292892675288712</v>
      </c>
      <c r="L5" s="97">
        <f>((I5-'Calibration F. prausnitzii'!$D$45)/('Calibration F. prausnitzii'!$D$44))+$B$24</f>
        <v>6.7093757979922817</v>
      </c>
      <c r="M5" s="97">
        <f>((J5-'Calibration F. prausnitzii'!$D$45)/('Calibration F. prausnitzii'!$D$44))+$B$24</f>
        <v>6.7026355169357128</v>
      </c>
      <c r="N5" s="103">
        <f t="shared" ref="N5:N20" si="1">AVERAGE(K5:M5)</f>
        <v>6.7471001941522886</v>
      </c>
      <c r="O5" s="103">
        <f t="shared" ref="O5:O20" si="2">STDEV(K5:M5)</f>
        <v>7.1257565802210446E-2</v>
      </c>
      <c r="P5" s="104">
        <f>(AVERAGE(POWER(10,K5),POWER(10,L5),POWER(10,M5)))*(Calculation!$I5/Calculation!$K4)</f>
        <v>5637800.6037978632</v>
      </c>
      <c r="Q5" s="104">
        <f>(STDEV(POWER(10,K5),POWER(10,L5),POWER(10,M5)))*(Calculation!$I5/Calculation!$K4)</f>
        <v>963804.75902530598</v>
      </c>
      <c r="R5" s="103">
        <f t="shared" ref="R5:R20" si="3">LOG(P5)</f>
        <v>6.7511097117977963</v>
      </c>
      <c r="S5" s="103">
        <f>O5*(Calculation!$I5/Calculation!$K4)</f>
        <v>7.1257565802210446E-2</v>
      </c>
      <c r="T5" s="82"/>
    </row>
    <row r="6" spans="1:29">
      <c r="A6" s="41">
        <v>2</v>
      </c>
      <c r="B6" s="32">
        <v>80</v>
      </c>
      <c r="C6" s="32">
        <f>C5+B6</f>
        <v>200</v>
      </c>
      <c r="D6" s="13">
        <f t="shared" si="0"/>
        <v>3.3333333333333335</v>
      </c>
      <c r="E6" s="99">
        <v>26.940093994140625</v>
      </c>
      <c r="F6" s="99">
        <v>24.856359481811523</v>
      </c>
      <c r="G6" s="97">
        <v>24.796195983886719</v>
      </c>
      <c r="H6" s="102">
        <f>E6-$H$54+$H$75</f>
        <v>26.328199212447458</v>
      </c>
      <c r="I6" s="102">
        <f>F6-$H$54+$H$75</f>
        <v>24.244464700118357</v>
      </c>
      <c r="J6" s="102">
        <f>G6-$H$54+$H$75</f>
        <v>24.184301202193552</v>
      </c>
      <c r="K6" s="97">
        <f>((H6-'Calibration F. prausnitzii'!$D$45)/('Calibration F. prausnitzii'!$D$44))+$B$24</f>
        <v>6.6377893039586837</v>
      </c>
      <c r="L6" s="97">
        <f>((I6-'Calibration F. prausnitzii'!$D$45)/('Calibration F. prausnitzii'!$D$44))+$B$24</f>
        <v>7.2792739304799721</v>
      </c>
      <c r="M6" s="97">
        <f>((J6-'Calibration F. prausnitzii'!$D$45)/('Calibration F. prausnitzii'!$D$44))+$B$24</f>
        <v>7.2977954641821565</v>
      </c>
      <c r="N6" s="103">
        <f t="shared" si="1"/>
        <v>7.0716195662069374</v>
      </c>
      <c r="O6" s="103">
        <f t="shared" si="2"/>
        <v>0.37582214428431665</v>
      </c>
      <c r="P6" s="104">
        <f>(AVERAGE(POWER(10,K6),POWER(10,L6),POWER(10,M6)))*(Calculation!$I6/Calculation!$K5)</f>
        <v>14405789.995417751</v>
      </c>
      <c r="Q6" s="104">
        <f>(STDEV(POWER(10,K6),POWER(10,L6),POWER(10,M6)))*(Calculation!$I6/Calculation!$K5)</f>
        <v>8724484.0443738643</v>
      </c>
      <c r="R6" s="103">
        <f t="shared" si="3"/>
        <v>7.1585370794330343</v>
      </c>
      <c r="S6" s="103">
        <f>O6*(Calculation!$I6/Calculation!$K5)</f>
        <v>0.37582214428431665</v>
      </c>
      <c r="T6" s="82"/>
    </row>
    <row r="7" spans="1:29">
      <c r="A7" s="41">
        <v>3</v>
      </c>
      <c r="B7" s="32">
        <v>80</v>
      </c>
      <c r="C7" s="32">
        <f>C6+B7</f>
        <v>280</v>
      </c>
      <c r="D7" s="13">
        <f t="shared" si="0"/>
        <v>4.666666666666667</v>
      </c>
      <c r="E7" s="99">
        <v>24.133609771728516</v>
      </c>
      <c r="F7" s="99">
        <v>24.200220108032227</v>
      </c>
      <c r="G7" s="97">
        <v>24.292680740356445</v>
      </c>
      <c r="H7" s="102">
        <f>E7-$H$54+$H$75</f>
        <v>23.521714990035349</v>
      </c>
      <c r="I7" s="102">
        <f>F7-$H$54+$H$75</f>
        <v>23.58832532633906</v>
      </c>
      <c r="J7" s="102">
        <f>G7-$H$54+$H$75</f>
        <v>23.680785958663279</v>
      </c>
      <c r="K7" s="97">
        <f>((H7-'Calibration F. prausnitzii'!$D$45)/('Calibration F. prausnitzii'!$D$44))+$B$24</f>
        <v>7.5017748417514092</v>
      </c>
      <c r="L7" s="97">
        <f>((I7-'Calibration F. prausnitzii'!$D$45)/('Calibration F. prausnitzii'!$D$44))+$B$24</f>
        <v>7.481268627330417</v>
      </c>
      <c r="M7" s="97">
        <f>((J7-'Calibration F. prausnitzii'!$D$45)/('Calibration F. prausnitzii'!$D$44))+$B$24</f>
        <v>7.4528043129739165</v>
      </c>
      <c r="N7" s="103">
        <f t="shared" si="1"/>
        <v>7.4786159273519139</v>
      </c>
      <c r="O7" s="103">
        <f t="shared" si="2"/>
        <v>2.459279945571E-2</v>
      </c>
      <c r="P7" s="104">
        <f>(AVERAGE(POWER(10,K7),POWER(10,L7),POWER(10,M7)))*(Calculation!$I7/Calculation!$K6)</f>
        <v>30135514.385590747</v>
      </c>
      <c r="Q7" s="104">
        <f>(STDEV(POWER(10,K7),POWER(10,L7),POWER(10,M7)))*(Calculation!$I7/Calculation!$K6)</f>
        <v>1698067.7873792036</v>
      </c>
      <c r="R7" s="103">
        <f t="shared" si="3"/>
        <v>7.4790786088756755</v>
      </c>
      <c r="S7" s="103">
        <f>O7*(Calculation!$I7/Calculation!$K6)</f>
        <v>2.459279945571E-2</v>
      </c>
      <c r="T7" s="82"/>
    </row>
    <row r="8" spans="1:29">
      <c r="A8" s="41">
        <v>4</v>
      </c>
      <c r="B8" s="32">
        <v>80</v>
      </c>
      <c r="C8" s="32">
        <f t="shared" ref="C8:C18" si="4">C7+B8</f>
        <v>360</v>
      </c>
      <c r="D8" s="13">
        <f t="shared" si="0"/>
        <v>6</v>
      </c>
      <c r="E8" s="99">
        <v>24.357681274414062</v>
      </c>
      <c r="F8" s="99">
        <v>23.588361740112305</v>
      </c>
      <c r="G8" s="97">
        <v>23.83421516418457</v>
      </c>
      <c r="H8" s="102">
        <f>E8-$H$54+$H$75</f>
        <v>23.745786492720896</v>
      </c>
      <c r="I8" s="102">
        <f>F8-$H$54+$H$75</f>
        <v>22.976466958419138</v>
      </c>
      <c r="J8" s="102">
        <f>G8-$H$54+$H$75</f>
        <v>23.222320382491404</v>
      </c>
      <c r="K8" s="97">
        <f>((H8-'Calibration F. prausnitzii'!$D$45)/('Calibration F. prausnitzii'!$D$44))+$B$24</f>
        <v>7.432793681548981</v>
      </c>
      <c r="L8" s="97">
        <f>((I8-'Calibration F. prausnitzii'!$D$45)/('Calibration F. prausnitzii'!$D$44))+$B$24</f>
        <v>7.6696312686874091</v>
      </c>
      <c r="M8" s="97">
        <f>((J8-'Calibration F. prausnitzii'!$D$45)/('Calibration F. prausnitzii'!$D$44))+$B$24</f>
        <v>7.5939444712634447</v>
      </c>
      <c r="N8" s="103">
        <f t="shared" si="1"/>
        <v>7.5654564738332786</v>
      </c>
      <c r="O8" s="103">
        <f t="shared" si="2"/>
        <v>0.12096150283695224</v>
      </c>
      <c r="P8" s="104">
        <f>(AVERAGE(POWER(10,K8),POWER(10,L8),POWER(10,M8)))*(Calculation!$I8/Calculation!$K7)</f>
        <v>37694112.107263103</v>
      </c>
      <c r="Q8" s="104">
        <f>(STDEV(POWER(10,K8),POWER(10,L8),POWER(10,M8)))*(Calculation!$I8/Calculation!$K7)</f>
        <v>9915495.8493159581</v>
      </c>
      <c r="R8" s="103">
        <f t="shared" si="3"/>
        <v>7.576273517870896</v>
      </c>
      <c r="S8" s="103">
        <f>O8*(Calculation!$I8/Calculation!$K7)</f>
        <v>0.12096150283695224</v>
      </c>
      <c r="T8" s="82"/>
    </row>
    <row r="9" spans="1:29">
      <c r="A9" s="41">
        <v>5</v>
      </c>
      <c r="B9" s="32">
        <v>80</v>
      </c>
      <c r="C9" s="32">
        <f t="shared" si="4"/>
        <v>440</v>
      </c>
      <c r="D9" s="13">
        <f t="shared" si="0"/>
        <v>7.333333333333333</v>
      </c>
      <c r="E9" s="99">
        <v>23.6661376953125</v>
      </c>
      <c r="F9" s="99">
        <v>23.592294692993164</v>
      </c>
      <c r="G9" s="97">
        <v>23.299291610717773</v>
      </c>
      <c r="H9" s="102">
        <f>E9-$H$54+$H$75</f>
        <v>23.054242913619333</v>
      </c>
      <c r="I9" s="102">
        <f>F9-$H$54+$H$75</f>
        <v>22.980399911299997</v>
      </c>
      <c r="J9" s="102">
        <f>G9-$H$54+$H$75</f>
        <v>22.687396829024607</v>
      </c>
      <c r="K9" s="97">
        <f>((H9-'Calibration F. prausnitzii'!$D$45)/('Calibration F. prausnitzii'!$D$44))+$B$24</f>
        <v>7.6456876812108234</v>
      </c>
      <c r="L9" s="97">
        <f>((I9-'Calibration F. prausnitzii'!$D$45)/('Calibration F. prausnitzii'!$D$44))+$B$24</f>
        <v>7.6684204960122084</v>
      </c>
      <c r="M9" s="97">
        <f>((J9-'Calibration F. prausnitzii'!$D$45)/('Calibration F. prausnitzii'!$D$44))+$B$24</f>
        <v>7.758622473131128</v>
      </c>
      <c r="N9" s="103">
        <f t="shared" si="1"/>
        <v>7.6909102167847196</v>
      </c>
      <c r="O9" s="103">
        <f t="shared" si="2"/>
        <v>5.973196348555581E-2</v>
      </c>
      <c r="P9" s="104">
        <f>(AVERAGE(POWER(10,K9),POWER(10,L9),POWER(10,M9)))*(Calculation!$I9/Calculation!$K8)</f>
        <v>49436088.975666903</v>
      </c>
      <c r="Q9" s="104">
        <f>(STDEV(POWER(10,K9),POWER(10,L9),POWER(10,M9)))*(Calculation!$I9/Calculation!$K8)</f>
        <v>7004345.1893126983</v>
      </c>
      <c r="R9" s="103">
        <f t="shared" si="3"/>
        <v>7.6940441052144042</v>
      </c>
      <c r="S9" s="103">
        <f>O9*(Calculation!$I9/Calculation!$K8)</f>
        <v>5.9778629082028897E-2</v>
      </c>
      <c r="T9" s="82"/>
    </row>
    <row r="10" spans="1:29">
      <c r="A10" s="41">
        <v>6</v>
      </c>
      <c r="B10" s="32">
        <v>80</v>
      </c>
      <c r="C10" s="32">
        <f t="shared" si="4"/>
        <v>520</v>
      </c>
      <c r="D10" s="13">
        <f t="shared" si="0"/>
        <v>8.6666666666666661</v>
      </c>
      <c r="E10" s="99">
        <v>22.953136444091797</v>
      </c>
      <c r="F10" s="99">
        <v>22.704135894775391</v>
      </c>
      <c r="G10" s="97">
        <v>22.879451751708984</v>
      </c>
      <c r="H10" s="102">
        <f>E10-$H$54+$H$75</f>
        <v>22.34124166239863</v>
      </c>
      <c r="I10" s="102">
        <f>F10-$H$54+$H$75</f>
        <v>22.092241113082224</v>
      </c>
      <c r="J10" s="102">
        <f>G10-$H$54+$H$75</f>
        <v>22.267556970015818</v>
      </c>
      <c r="K10" s="97">
        <f>((H10-'Calibration F. prausnitzii'!$D$45)/('Calibration F. prausnitzii'!$D$44))+$B$24</f>
        <v>7.8651874968746185</v>
      </c>
      <c r="L10" s="97">
        <f>((I10-'Calibration F. prausnitzii'!$D$45)/('Calibration F. prausnitzii'!$D$44))+$B$24</f>
        <v>7.941843147312202</v>
      </c>
      <c r="M10" s="97">
        <f>((J10-'Calibration F. prausnitzii'!$D$45)/('Calibration F. prausnitzii'!$D$44))+$B$24</f>
        <v>7.8878715754334987</v>
      </c>
      <c r="N10" s="103">
        <f t="shared" si="1"/>
        <v>7.8983007398734388</v>
      </c>
      <c r="O10" s="103">
        <f t="shared" si="2"/>
        <v>3.9377630568493402E-2</v>
      </c>
      <c r="P10" s="104">
        <f>(AVERAGE(POWER(10,K10),POWER(10,L10),POWER(10,M10)))*(Calculation!$I10/Calculation!$K9)</f>
        <v>79404016.959629998</v>
      </c>
      <c r="Q10" s="104">
        <f>(STDEV(POWER(10,K10),POWER(10,L10),POWER(10,M10)))*(Calculation!$I10/Calculation!$K9)</f>
        <v>7311328.4276527436</v>
      </c>
      <c r="R10" s="103">
        <f t="shared" si="3"/>
        <v>7.8998424734506898</v>
      </c>
      <c r="S10" s="103">
        <f>O10*(Calculation!$I10/Calculation!$K9)</f>
        <v>3.9408394342375037E-2</v>
      </c>
      <c r="T10" s="82"/>
    </row>
    <row r="11" spans="1:29">
      <c r="A11" s="41">
        <v>7</v>
      </c>
      <c r="B11" s="32">
        <v>80</v>
      </c>
      <c r="C11" s="32">
        <f t="shared" si="4"/>
        <v>600</v>
      </c>
      <c r="D11" s="13">
        <f t="shared" si="0"/>
        <v>10</v>
      </c>
      <c r="E11" s="99">
        <v>24.508262634277344</v>
      </c>
      <c r="F11" s="99">
        <v>22.962095260620117</v>
      </c>
      <c r="G11" s="97">
        <v>22.84092903137207</v>
      </c>
      <c r="H11" s="102">
        <f>E11-$H$54+$H$75</f>
        <v>23.896367852584177</v>
      </c>
      <c r="I11" s="102">
        <f>F11-$H$54+$H$75</f>
        <v>22.350200478926951</v>
      </c>
      <c r="J11" s="102">
        <f>G11-$H$54+$H$75</f>
        <v>22.229034249678904</v>
      </c>
      <c r="K11" s="97">
        <f>((H11-'Calibration F. prausnitzii'!$D$45)/('Calibration F. prausnitzii'!$D$44))+$B$24</f>
        <v>7.3864367071736829</v>
      </c>
      <c r="L11" s="97">
        <f>((I11-'Calibration F. prausnitzii'!$D$45)/('Calibration F. prausnitzii'!$D$44))+$B$24</f>
        <v>7.8624294952958476</v>
      </c>
      <c r="M11" s="97">
        <f>((J11-'Calibration F. prausnitzii'!$D$45)/('Calibration F. prausnitzii'!$D$44))+$B$24</f>
        <v>7.8997309235038475</v>
      </c>
      <c r="N11" s="103">
        <f t="shared" si="1"/>
        <v>7.7161990419911257</v>
      </c>
      <c r="O11" s="103">
        <f t="shared" si="2"/>
        <v>0.28619092793933515</v>
      </c>
      <c r="P11" s="104">
        <f>(AVERAGE(POWER(10,K11),POWER(10,L11),POWER(10,M11)))*(Calculation!$I11/Calculation!$K10)</f>
        <v>58956158.444887668</v>
      </c>
      <c r="Q11" s="104">
        <f>(STDEV(POWER(10,K11),POWER(10,L11),POWER(10,M11)))*(Calculation!$I11/Calculation!$K10)</f>
        <v>30116690.228080235</v>
      </c>
      <c r="R11" s="103">
        <f t="shared" si="3"/>
        <v>7.770529177351996</v>
      </c>
      <c r="S11" s="103">
        <f>O11*(Calculation!$I11/Calculation!$K10)</f>
        <v>0.2866582716354914</v>
      </c>
      <c r="T11" s="82"/>
    </row>
    <row r="12" spans="1:29">
      <c r="A12" s="41">
        <v>8</v>
      </c>
      <c r="B12" s="32">
        <v>80</v>
      </c>
      <c r="C12" s="32">
        <f t="shared" si="4"/>
        <v>680</v>
      </c>
      <c r="D12" s="13">
        <f t="shared" si="0"/>
        <v>11.333333333333334</v>
      </c>
      <c r="E12" s="99">
        <v>21.955318450927734</v>
      </c>
      <c r="F12" s="99">
        <v>21.228509902954102</v>
      </c>
      <c r="G12" s="97">
        <v>21.653308868408203</v>
      </c>
      <c r="H12" s="102">
        <f>E12-$H$54+$H$75</f>
        <v>21.343423669234568</v>
      </c>
      <c r="I12" s="102">
        <f>F12-$H$54+$H$75</f>
        <v>20.616615121260935</v>
      </c>
      <c r="J12" s="102">
        <f>G12-$H$54+$H$75</f>
        <v>21.041414086715037</v>
      </c>
      <c r="K12" s="97">
        <f>((H12-'Calibration F. prausnitzii'!$D$45)/('Calibration F. prausnitzii'!$D$44))+$B$24</f>
        <v>8.1723690974546326</v>
      </c>
      <c r="L12" s="97">
        <f>((I12-'Calibration F. prausnitzii'!$D$45)/('Calibration F. prausnitzii'!$D$44))+$B$24</f>
        <v>8.3961195355218159</v>
      </c>
      <c r="M12" s="97">
        <f>((J12-'Calibration F. prausnitzii'!$D$45)/('Calibration F. prausnitzii'!$D$44))+$B$24</f>
        <v>8.265343755743439</v>
      </c>
      <c r="N12" s="103">
        <f t="shared" si="1"/>
        <v>8.2779441295732941</v>
      </c>
      <c r="O12" s="103">
        <f t="shared" si="2"/>
        <v>0.11240614618117291</v>
      </c>
      <c r="P12" s="104">
        <f>(AVERAGE(POWER(10,K12),POWER(10,L12),POWER(10,M12)))*(Calculation!$I12/Calculation!$K11)</f>
        <v>194626612.16236636</v>
      </c>
      <c r="Q12" s="104">
        <f>(STDEV(POWER(10,K12),POWER(10,L12),POWER(10,M12)))*(Calculation!$I12/Calculation!$K11)</f>
        <v>50995620.96555049</v>
      </c>
      <c r="R12" s="103">
        <f t="shared" si="3"/>
        <v>8.2892022230087772</v>
      </c>
      <c r="S12" s="103">
        <f>O12*(Calculation!$I12/Calculation!$K11)</f>
        <v>0.11278915334163646</v>
      </c>
      <c r="T12" s="82"/>
    </row>
    <row r="13" spans="1:29">
      <c r="A13" s="41">
        <v>9</v>
      </c>
      <c r="B13" s="32">
        <v>80</v>
      </c>
      <c r="C13" s="32">
        <f t="shared" si="4"/>
        <v>760</v>
      </c>
      <c r="D13" s="13">
        <f t="shared" si="0"/>
        <v>12.666666666666666</v>
      </c>
      <c r="E13" s="99">
        <v>21.325223922729492</v>
      </c>
      <c r="F13" s="99">
        <v>20.591224670410156</v>
      </c>
      <c r="G13" s="97">
        <v>21.120353698730469</v>
      </c>
      <c r="H13" s="102">
        <f>E13-$H$54+$H$75</f>
        <v>20.713329141036326</v>
      </c>
      <c r="I13" s="102">
        <f>F13-$H$54+$H$75</f>
        <v>19.97932988871699</v>
      </c>
      <c r="J13" s="102">
        <f>G13-$H$54+$H$75</f>
        <v>20.508458917037302</v>
      </c>
      <c r="K13" s="97">
        <f>((H13-'Calibration F. prausnitzii'!$D$45)/('Calibration F. prausnitzii'!$D$44))+$B$24</f>
        <v>8.3663458016378183</v>
      </c>
      <c r="L13" s="97">
        <f>((I13-'Calibration F. prausnitzii'!$D$45)/('Calibration F. prausnitzii'!$D$44))+$B$24</f>
        <v>8.5923099220452119</v>
      </c>
      <c r="M13" s="97">
        <f>((J13-'Calibration F. prausnitzii'!$D$45)/('Calibration F. prausnitzii'!$D$44))+$B$24</f>
        <v>8.429415784089878</v>
      </c>
      <c r="N13" s="103">
        <f t="shared" si="1"/>
        <v>8.4626905025909682</v>
      </c>
      <c r="O13" s="103">
        <f t="shared" si="2"/>
        <v>0.11659910418338097</v>
      </c>
      <c r="P13" s="104">
        <f>(AVERAGE(POWER(10,K13),POWER(10,L13),POWER(10,M13)))*(Calculation!$I13/Calculation!$K12)</f>
        <v>299298611.00219685</v>
      </c>
      <c r="Q13" s="104">
        <f>(STDEV(POWER(10,K13),POWER(10,L13),POWER(10,M13)))*(Calculation!$I13/Calculation!$K12)</f>
        <v>83638773.737545103</v>
      </c>
      <c r="R13" s="103">
        <f t="shared" si="3"/>
        <v>8.4761047013524493</v>
      </c>
      <c r="S13" s="103">
        <f>O13*(Calculation!$I13/Calculation!$K12)</f>
        <v>0.11732108757898148</v>
      </c>
      <c r="T13" s="82"/>
    </row>
    <row r="14" spans="1:29">
      <c r="A14" s="41">
        <v>10</v>
      </c>
      <c r="B14" s="32">
        <v>80</v>
      </c>
      <c r="C14" s="32">
        <f t="shared" si="4"/>
        <v>840</v>
      </c>
      <c r="D14" s="13">
        <f t="shared" si="0"/>
        <v>14</v>
      </c>
      <c r="E14" s="99">
        <v>20.701656341552734</v>
      </c>
      <c r="F14" s="99">
        <v>20.17108154296875</v>
      </c>
      <c r="G14" s="97">
        <v>20.668722152709961</v>
      </c>
      <c r="H14" s="102">
        <f>E14-$H$54+$H$75</f>
        <v>20.089761559859568</v>
      </c>
      <c r="I14" s="102">
        <f>F14-$H$54+$H$75</f>
        <v>19.559186761275583</v>
      </c>
      <c r="J14" s="102">
        <f>G14-$H$54+$H$75</f>
        <v>20.056827371016794</v>
      </c>
      <c r="K14" s="97">
        <f>((H14-'Calibration F. prausnitzii'!$D$45)/('Calibration F. prausnitzii'!$D$44))+$B$24</f>
        <v>8.558313163389121</v>
      </c>
      <c r="L14" s="97">
        <f>((I14-'Calibration F. prausnitzii'!$D$45)/('Calibration F. prausnitzii'!$D$44))+$B$24</f>
        <v>8.7216523865470759</v>
      </c>
      <c r="M14" s="97">
        <f>((J14-'Calibration F. prausnitzii'!$D$45)/('Calibration F. prausnitzii'!$D$44))+$B$24</f>
        <v>8.5684520633807395</v>
      </c>
      <c r="N14" s="103">
        <f t="shared" si="1"/>
        <v>8.6161392044389782</v>
      </c>
      <c r="O14" s="103">
        <f t="shared" si="2"/>
        <v>9.1517610448439674E-2</v>
      </c>
      <c r="P14" s="104">
        <f>(AVERAGE(POWER(10,K14),POWER(10,L14),POWER(10,M14)))*(Calculation!$I14/Calculation!$K13)</f>
        <v>423802981.50191891</v>
      </c>
      <c r="Q14" s="104">
        <f>(STDEV(POWER(10,K14),POWER(10,L14),POWER(10,M14)))*(Calculation!$I14/Calculation!$K13)</f>
        <v>93913594.572951019</v>
      </c>
      <c r="R14" s="103">
        <f t="shared" si="3"/>
        <v>8.6271640076963347</v>
      </c>
      <c r="S14" s="103">
        <f>O14*(Calculation!$I14/Calculation!$K13)</f>
        <v>9.2442245279287863E-2</v>
      </c>
      <c r="T14" s="82"/>
    </row>
    <row r="15" spans="1:29">
      <c r="A15" s="41">
        <v>11</v>
      </c>
      <c r="B15" s="32">
        <v>80</v>
      </c>
      <c r="C15" s="32">
        <f t="shared" si="4"/>
        <v>920</v>
      </c>
      <c r="D15" s="13">
        <f t="shared" si="0"/>
        <v>15.333333333333334</v>
      </c>
      <c r="E15" s="99">
        <v>19.658395767211914</v>
      </c>
      <c r="F15" s="99">
        <v>19.77739143371582</v>
      </c>
      <c r="G15" s="97">
        <v>19.716480255126953</v>
      </c>
      <c r="H15" s="102">
        <f>E15-$H$54+$H$75</f>
        <v>19.046500985518747</v>
      </c>
      <c r="I15" s="102">
        <f>F15-$H$54+$H$75</f>
        <v>19.165496652022654</v>
      </c>
      <c r="J15" s="102">
        <f>G15-$H$54+$H$75</f>
        <v>19.104585473433787</v>
      </c>
      <c r="K15" s="97">
        <f>((H15-'Calibration F. prausnitzii'!$D$45)/('Calibration F. prausnitzii'!$D$44))+$B$24</f>
        <v>8.8794844143021585</v>
      </c>
      <c r="L15" s="97">
        <f>((I15-'Calibration F. prausnitzii'!$D$45)/('Calibration F. prausnitzii'!$D$44))+$B$24</f>
        <v>8.8428512010817339</v>
      </c>
      <c r="M15" s="97">
        <f>((J15-'Calibration F. prausnitzii'!$D$45)/('Calibration F. prausnitzii'!$D$44))+$B$24</f>
        <v>8.8616029107726089</v>
      </c>
      <c r="N15" s="103">
        <f t="shared" si="1"/>
        <v>8.8613128420521665</v>
      </c>
      <c r="O15" s="103">
        <f t="shared" si="2"/>
        <v>1.8318329143516512E-2</v>
      </c>
      <c r="P15" s="104">
        <f>(AVERAGE(POWER(10,K15),POWER(10,L15),POWER(10,M15)))*(Calculation!$I15/Calculation!$K14)</f>
        <v>737382091.22749126</v>
      </c>
      <c r="Q15" s="104">
        <f>(STDEV(POWER(10,K15),POWER(10,L15),POWER(10,M15)))*(Calculation!$I15/Calculation!$K14)</f>
        <v>31079934.286834117</v>
      </c>
      <c r="R15" s="103">
        <f t="shared" si="3"/>
        <v>8.8676925857036135</v>
      </c>
      <c r="S15" s="103">
        <f>O15*(Calculation!$I15/Calculation!$K14)</f>
        <v>1.8578394183586408E-2</v>
      </c>
      <c r="T15" s="82"/>
    </row>
    <row r="16" spans="1:29">
      <c r="A16" s="41">
        <v>12</v>
      </c>
      <c r="B16" s="32">
        <v>80</v>
      </c>
      <c r="C16" s="32">
        <f t="shared" si="4"/>
        <v>1000</v>
      </c>
      <c r="D16" s="13">
        <f t="shared" si="0"/>
        <v>16.666666666666668</v>
      </c>
      <c r="E16" s="99">
        <v>19.506282806396484</v>
      </c>
      <c r="F16" s="99">
        <v>19.463735580444336</v>
      </c>
      <c r="G16" s="97">
        <v>19.358308792114258</v>
      </c>
      <c r="H16" s="102">
        <f>E16-$H$54+$H$75</f>
        <v>18.894388024703318</v>
      </c>
      <c r="I16" s="102">
        <f>F16-$H$54+$H$75</f>
        <v>18.851840798751169</v>
      </c>
      <c r="J16" s="102">
        <f>G16-$H$54+$H$75</f>
        <v>18.746414010421091</v>
      </c>
      <c r="K16" s="97">
        <f>((H16-'Calibration F. prausnitzii'!$D$45)/('Calibration F. prausnitzii'!$D$44))+$B$24</f>
        <v>8.9263128971440864</v>
      </c>
      <c r="L16" s="97">
        <f>((I16-'Calibration F. prausnitzii'!$D$45)/('Calibration F. prausnitzii'!$D$44))+$B$24</f>
        <v>8.9394112027045782</v>
      </c>
      <c r="M16" s="97">
        <f>((J16-'Calibration F. prausnitzii'!$D$45)/('Calibration F. prausnitzii'!$D$44))+$B$24</f>
        <v>8.971867191477191</v>
      </c>
      <c r="N16" s="103">
        <f t="shared" si="1"/>
        <v>8.945863763775284</v>
      </c>
      <c r="O16" s="103">
        <f t="shared" si="2"/>
        <v>2.3452613741866492E-2</v>
      </c>
      <c r="P16" s="104">
        <f>(AVERAGE(POWER(10,K16),POWER(10,L16),POWER(10,M16)))*(Calculation!$I16/Calculation!$K15)</f>
        <v>900929482.11075795</v>
      </c>
      <c r="Q16" s="104">
        <f>(STDEV(POWER(10,K16),POWER(10,L16),POWER(10,M16)))*(Calculation!$I16/Calculation!$K15)</f>
        <v>49131815.640200861</v>
      </c>
      <c r="R16" s="103">
        <f t="shared" si="3"/>
        <v>8.9546907990493096</v>
      </c>
      <c r="S16" s="103">
        <f>O16*(Calculation!$I16/Calculation!$K15)</f>
        <v>2.391075735351714E-2</v>
      </c>
      <c r="T16" s="82"/>
    </row>
    <row r="17" spans="1:20">
      <c r="A17" s="41">
        <v>13</v>
      </c>
      <c r="B17" s="32">
        <v>80</v>
      </c>
      <c r="C17" s="32">
        <f t="shared" si="4"/>
        <v>1080</v>
      </c>
      <c r="D17" s="13">
        <f t="shared" si="0"/>
        <v>18</v>
      </c>
      <c r="E17" s="99">
        <v>19.117538452148438</v>
      </c>
      <c r="F17" s="99">
        <v>19.271327972412109</v>
      </c>
      <c r="G17" s="97">
        <v>19.364213943481445</v>
      </c>
      <c r="H17" s="102">
        <f>E17-$H$54+$H$75</f>
        <v>18.505643670455271</v>
      </c>
      <c r="I17" s="102">
        <f>F17-$H$54+$H$75</f>
        <v>18.659433190718943</v>
      </c>
      <c r="J17" s="102">
        <f>G17-$H$54+$H$75</f>
        <v>18.752319161788279</v>
      </c>
      <c r="K17" s="97">
        <f>((H17-'Calibration F. prausnitzii'!$D$45)/('Calibration F. prausnitzii'!$D$44))+$B$24</f>
        <v>9.0459891444882494</v>
      </c>
      <c r="L17" s="97">
        <f>((I17-'Calibration F. prausnitzii'!$D$45)/('Calibration F. prausnitzii'!$D$44))+$B$24</f>
        <v>8.9986445272227034</v>
      </c>
      <c r="M17" s="97">
        <f>((J17-'Calibration F. prausnitzii'!$D$45)/('Calibration F. prausnitzii'!$D$44))+$B$24</f>
        <v>8.9700492709134547</v>
      </c>
      <c r="N17" s="103">
        <f t="shared" si="1"/>
        <v>9.004894314208137</v>
      </c>
      <c r="O17" s="103">
        <f t="shared" si="2"/>
        <v>3.8353760932422411E-2</v>
      </c>
      <c r="P17" s="104">
        <f>(AVERAGE(POWER(10,K17),POWER(10,L17),POWER(10,M17)))*(Calculation!$I17/Calculation!$K16)</f>
        <v>1037195005.1609272</v>
      </c>
      <c r="Q17" s="104">
        <f>(STDEV(POWER(10,K17),POWER(10,L17),POWER(10,M17)))*(Calculation!$I17/Calculation!$K16)</f>
        <v>92462343.757936984</v>
      </c>
      <c r="R17" s="103">
        <f t="shared" si="3"/>
        <v>9.0158604166624219</v>
      </c>
      <c r="S17" s="103">
        <f>O17*(Calculation!$I17/Calculation!$K16)</f>
        <v>3.9231765894951191E-2</v>
      </c>
      <c r="T17" s="82"/>
    </row>
    <row r="18" spans="1:20">
      <c r="A18" s="41">
        <v>14</v>
      </c>
      <c r="B18" s="32">
        <v>80</v>
      </c>
      <c r="C18" s="32">
        <f t="shared" si="4"/>
        <v>1160</v>
      </c>
      <c r="D18" s="13">
        <f t="shared" si="0"/>
        <v>19.333333333333332</v>
      </c>
      <c r="E18" s="99">
        <v>19.229148864746094</v>
      </c>
      <c r="F18" s="99">
        <v>19.406957626342773</v>
      </c>
      <c r="G18" s="97">
        <v>19.374048233032227</v>
      </c>
      <c r="H18" s="102">
        <f>E18-$H$54+$H$75</f>
        <v>18.617254083052927</v>
      </c>
      <c r="I18" s="102">
        <f>F18-$H$54+$H$75</f>
        <v>18.795062844649607</v>
      </c>
      <c r="J18" s="102">
        <f>G18-$H$54+$H$75</f>
        <v>18.76215345133906</v>
      </c>
      <c r="K18" s="97">
        <f>((H18-'Calibration F. prausnitzii'!$D$45)/('Calibration F. prausnitzii'!$D$44))+$B$24</f>
        <v>9.0116295063397853</v>
      </c>
      <c r="L18" s="97">
        <f>((I18-'Calibration F. prausnitzii'!$D$45)/('Calibration F. prausnitzii'!$D$44))+$B$24</f>
        <v>8.9568904854375653</v>
      </c>
      <c r="M18" s="97">
        <f>((J18-'Calibration F. prausnitzii'!$D$45)/('Calibration F. prausnitzii'!$D$44))+$B$24</f>
        <v>8.9670217520418039</v>
      </c>
      <c r="N18" s="103">
        <f t="shared" si="1"/>
        <v>8.978513914606383</v>
      </c>
      <c r="O18" s="103">
        <f t="shared" si="2"/>
        <v>2.9122885376306515E-2</v>
      </c>
      <c r="P18" s="104">
        <f>(AVERAGE(POWER(10,K18),POWER(10,L18),POWER(10,M18)))*(Calculation!$I18/Calculation!$K17)</f>
        <v>976105433.74247289</v>
      </c>
      <c r="Q18" s="104">
        <f>(STDEV(POWER(10,K18),POWER(10,L18),POWER(10,M18)))*(Calculation!$I18/Calculation!$K17)</f>
        <v>66504310.451869011</v>
      </c>
      <c r="R18" s="103">
        <f t="shared" si="3"/>
        <v>8.989496730391604</v>
      </c>
      <c r="S18" s="103">
        <f>O18*(Calculation!$I18/Calculation!$K17)</f>
        <v>2.9823542156114699E-2</v>
      </c>
      <c r="T18" s="82"/>
    </row>
    <row r="19" spans="1:20">
      <c r="A19" s="41">
        <v>15</v>
      </c>
      <c r="B19" s="32">
        <v>280</v>
      </c>
      <c r="C19" s="32">
        <f>C18+B19</f>
        <v>1440</v>
      </c>
      <c r="D19" s="13">
        <f t="shared" si="0"/>
        <v>24</v>
      </c>
      <c r="E19" s="99">
        <v>19.290693283081055</v>
      </c>
      <c r="F19" s="99">
        <v>19.374439239501953</v>
      </c>
      <c r="G19" s="97">
        <v>19.10748291015625</v>
      </c>
      <c r="H19" s="102">
        <f>E19-$H$54+$H$75</f>
        <v>18.678798501387888</v>
      </c>
      <c r="I19" s="102">
        <f>F19-$H$54+$H$75</f>
        <v>18.762544457808787</v>
      </c>
      <c r="J19" s="102">
        <f>G19-$H$54+$H$75</f>
        <v>18.495588128463083</v>
      </c>
      <c r="K19" s="97">
        <f>((H19-'Calibration F. prausnitzii'!$D$45)/('Calibration F. prausnitzii'!$D$44))+$B$24</f>
        <v>8.9926828516788984</v>
      </c>
      <c r="L19" s="97">
        <f>((I19-'Calibration F. prausnitzii'!$D$45)/('Calibration F. prausnitzii'!$D$44))+$B$24</f>
        <v>8.9669013793946579</v>
      </c>
      <c r="M19" s="97">
        <f>((J19-'Calibration F. prausnitzii'!$D$45)/('Calibration F. prausnitzii'!$D$44))+$B$24</f>
        <v>9.0490847766626761</v>
      </c>
      <c r="N19" s="103">
        <f t="shared" si="1"/>
        <v>9.0028896692454108</v>
      </c>
      <c r="O19" s="103">
        <f t="shared" si="2"/>
        <v>4.2031679008282238E-2</v>
      </c>
      <c r="P19" s="104">
        <f>(AVERAGE(POWER(10,K19),POWER(10,L19),POWER(10,M19)))*(Calculation!$I19/Calculation!$K18)</f>
        <v>1036623046.723992</v>
      </c>
      <c r="Q19" s="104">
        <f>(STDEV(POWER(10,K19),POWER(10,L19),POWER(10,M19)))*(Calculation!$I19/Calculation!$K18)</f>
        <v>101852099.86727817</v>
      </c>
      <c r="R19" s="103">
        <f t="shared" si="3"/>
        <v>9.0156208600637981</v>
      </c>
      <c r="S19" s="103">
        <f>O19*(Calculation!$I19/Calculation!$K18)</f>
        <v>4.3145754129661366E-2</v>
      </c>
      <c r="T19" s="82"/>
    </row>
    <row r="20" spans="1:20">
      <c r="A20" s="41">
        <v>16</v>
      </c>
      <c r="B20" s="32">
        <v>360</v>
      </c>
      <c r="C20" s="32">
        <f>C19+B20</f>
        <v>1800</v>
      </c>
      <c r="D20" s="13">
        <f t="shared" si="0"/>
        <v>30</v>
      </c>
      <c r="E20" s="99">
        <v>19.889270782470703</v>
      </c>
      <c r="F20" s="99">
        <v>19.785823822021484</v>
      </c>
      <c r="G20" s="97">
        <v>19.407337188720703</v>
      </c>
      <c r="H20" s="102">
        <f>E20-$H$54+$H$75</f>
        <v>19.277376000777537</v>
      </c>
      <c r="I20" s="102">
        <f>F20-$H$54+$H$75</f>
        <v>19.173929040328318</v>
      </c>
      <c r="J20" s="102">
        <f>G20-$H$54+$H$75</f>
        <v>18.795442407027537</v>
      </c>
      <c r="K20" s="97">
        <f>((H20-'Calibration F. prausnitzii'!$D$45)/('Calibration F. prausnitzii'!$D$44))+$B$24</f>
        <v>8.8084087700393798</v>
      </c>
      <c r="L20" s="97">
        <f>((I20-'Calibration F. prausnitzii'!$D$45)/('Calibration F. prausnitzii'!$D$44))+$B$24</f>
        <v>8.8402552621888777</v>
      </c>
      <c r="M20" s="97">
        <f>((J20-'Calibration F. prausnitzii'!$D$45)/('Calibration F. prausnitzii'!$D$44))+$B$24</f>
        <v>8.9567736358922865</v>
      </c>
      <c r="N20" s="103">
        <f t="shared" si="1"/>
        <v>8.8684792227068474</v>
      </c>
      <c r="O20" s="103">
        <f t="shared" si="2"/>
        <v>7.8105552397878267E-2</v>
      </c>
      <c r="P20" s="104">
        <f>(AVERAGE(POWER(10,K20),POWER(10,L20),POWER(10,M20)))*(Calculation!$I20/Calculation!$K19)</f>
        <v>766728268.94861209</v>
      </c>
      <c r="Q20" s="104">
        <f>(STDEV(POWER(10,K20),POWER(10,L20),POWER(10,M20)))*(Calculation!$I20/Calculation!$K19)</f>
        <v>142976571.17521527</v>
      </c>
      <c r="R20" s="103">
        <f t="shared" si="3"/>
        <v>8.8846414758062071</v>
      </c>
      <c r="S20" s="103">
        <f>O20*(Calculation!$I20/Calculation!$K19)</f>
        <v>8.0175787392557013E-2</v>
      </c>
      <c r="T20" s="82"/>
    </row>
    <row r="21" spans="1:20">
      <c r="A21" s="41">
        <v>17</v>
      </c>
      <c r="B21" s="32">
        <v>1080</v>
      </c>
      <c r="C21" s="32">
        <f>C20+B21</f>
        <v>2880</v>
      </c>
      <c r="D21" s="13">
        <f t="shared" si="0"/>
        <v>48</v>
      </c>
      <c r="E21" s="99">
        <v>20.331121444702148</v>
      </c>
      <c r="F21" s="99">
        <v>20.546941757202148</v>
      </c>
      <c r="G21" s="97">
        <v>20.645854949951172</v>
      </c>
      <c r="H21" s="102">
        <f>E21-$H$54+$H$75</f>
        <v>19.719226663008982</v>
      </c>
      <c r="I21" s="102">
        <f>F21-$H$54+$H$75</f>
        <v>19.935046975508982</v>
      </c>
      <c r="J21" s="102">
        <f>G21-$H$54+$H$75</f>
        <v>20.033960168258005</v>
      </c>
      <c r="K21" s="97">
        <f>((H21-'Calibration F. prausnitzii'!$D$45)/('Calibration F. prausnitzii'!$D$44))+$B$24</f>
        <v>8.6723835684781179</v>
      </c>
      <c r="L21" s="97">
        <f>((I21-'Calibration F. prausnitzii'!$D$45)/('Calibration F. prausnitzii'!$D$44))+$B$24</f>
        <v>8.6059425647223069</v>
      </c>
      <c r="M21" s="97">
        <f>((J21-'Calibration F. prausnitzii'!$D$45)/('Calibration F. prausnitzii'!$D$44))+$B$24</f>
        <v>8.5754918080960643</v>
      </c>
      <c r="N21" s="103">
        <f t="shared" ref="N21" si="5">AVERAGE(K21:M21)</f>
        <v>8.6179393137654952</v>
      </c>
      <c r="O21" s="103">
        <f t="shared" ref="O21" si="6">STDEV(K21:M21)</f>
        <v>4.9547399509835763E-2</v>
      </c>
      <c r="P21" s="104">
        <f>(AVERAGE(POWER(10,K21),POWER(10,L21),POWER(10,M21)))*(Calculation!$I21/Calculation!$K20)</f>
        <v>428347396.83829361</v>
      </c>
      <c r="Q21" s="104">
        <f>(STDEV(POWER(10,K21),POWER(10,L21),POWER(10,M21)))*(Calculation!$I21/Calculation!$K20)</f>
        <v>49727902.181453027</v>
      </c>
      <c r="R21" s="103">
        <f t="shared" ref="R21" si="7">LOG(P21)</f>
        <v>8.6317961319414298</v>
      </c>
      <c r="S21" s="103">
        <f>O21*(Calculation!$I21/Calculation!$K20)</f>
        <v>5.0929693782469074E-2</v>
      </c>
      <c r="T21" s="82"/>
    </row>
    <row r="22" spans="1:20">
      <c r="A22" s="32"/>
      <c r="B22" s="32"/>
      <c r="C22" s="10"/>
      <c r="D22" s="107"/>
      <c r="E22" s="108"/>
      <c r="F22" s="108"/>
      <c r="G22" s="109"/>
      <c r="H22" s="106"/>
      <c r="I22" s="106"/>
      <c r="J22" s="106"/>
      <c r="K22" s="109"/>
      <c r="L22" s="109"/>
      <c r="M22" s="109"/>
      <c r="N22" s="110"/>
      <c r="O22" s="110"/>
      <c r="P22" s="111"/>
      <c r="Q22" s="111"/>
      <c r="R22" s="110"/>
      <c r="S22" s="110"/>
      <c r="T22" s="82"/>
    </row>
    <row r="23" spans="1:20">
      <c r="A23" s="32"/>
      <c r="B23" s="32"/>
      <c r="C23" s="10"/>
      <c r="D23" s="107"/>
      <c r="E23" s="108"/>
      <c r="F23" s="108"/>
      <c r="G23" s="109"/>
      <c r="H23" s="106"/>
      <c r="I23" s="106"/>
      <c r="J23" s="106"/>
      <c r="K23" s="109"/>
      <c r="L23" s="109"/>
      <c r="M23" s="109"/>
      <c r="N23" s="110"/>
      <c r="O23" s="110"/>
      <c r="P23" s="111"/>
      <c r="Q23" s="111"/>
      <c r="R23" s="110"/>
      <c r="S23" s="110"/>
      <c r="T23" s="82"/>
    </row>
    <row r="24" spans="1:20">
      <c r="A24" s="94" t="s">
        <v>221</v>
      </c>
      <c r="B24" s="98">
        <f>LOG(B25)</f>
        <v>3.6532125137753435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</row>
    <row r="25" spans="1:20">
      <c r="A25" s="82" t="s">
        <v>222</v>
      </c>
      <c r="B25" s="82">
        <f>10*2*1800/4/2</f>
        <v>4500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</row>
    <row r="26" spans="1:20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</row>
    <row r="27" spans="1:20">
      <c r="A27" s="65" t="s">
        <v>236</v>
      </c>
      <c r="B27" s="65"/>
      <c r="C27" s="65"/>
      <c r="D27" s="65"/>
      <c r="E27" s="101">
        <v>14.4</v>
      </c>
      <c r="F27" s="102">
        <v>14.4</v>
      </c>
      <c r="G27" s="102">
        <v>14.3</v>
      </c>
      <c r="H27" s="102">
        <v>14.4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</row>
    <row r="28" spans="1:20">
      <c r="A28" s="65" t="s">
        <v>237</v>
      </c>
      <c r="B28" s="65"/>
      <c r="C28" s="65"/>
      <c r="D28" s="65"/>
      <c r="E28" s="115">
        <v>14</v>
      </c>
      <c r="F28" s="116">
        <v>13.8</v>
      </c>
      <c r="G28" s="116">
        <v>14.1</v>
      </c>
      <c r="H28" s="116">
        <v>14</v>
      </c>
      <c r="T28" s="82"/>
    </row>
    <row r="29" spans="1:20">
      <c r="A29" s="65" t="s">
        <v>238</v>
      </c>
      <c r="B29" s="65"/>
      <c r="C29" s="65"/>
      <c r="D29" s="65"/>
      <c r="E29" s="115">
        <v>14.1</v>
      </c>
      <c r="F29" s="116">
        <v>14.1</v>
      </c>
      <c r="G29" s="116">
        <v>14.1</v>
      </c>
      <c r="H29" s="116">
        <v>14.1</v>
      </c>
      <c r="T29" s="82"/>
    </row>
    <row r="30" spans="1:20">
      <c r="A30" s="65" t="s">
        <v>235</v>
      </c>
      <c r="B30" s="65"/>
      <c r="C30" s="65"/>
      <c r="D30" s="65"/>
      <c r="E30" s="115">
        <v>13.8</v>
      </c>
      <c r="F30" s="116">
        <v>14</v>
      </c>
      <c r="G30" s="116">
        <v>14</v>
      </c>
      <c r="H30" s="116">
        <v>13.9</v>
      </c>
    </row>
    <row r="31" spans="1:20">
      <c r="A31" s="65" t="s">
        <v>239</v>
      </c>
      <c r="B31" s="65"/>
      <c r="C31" s="65"/>
      <c r="D31" s="65"/>
      <c r="E31" s="115">
        <v>11.6</v>
      </c>
      <c r="F31" s="116">
        <v>11.5</v>
      </c>
      <c r="G31" s="116">
        <v>11.5</v>
      </c>
      <c r="H31" s="116">
        <v>11.5</v>
      </c>
    </row>
    <row r="32" spans="1:20">
      <c r="A32" s="65" t="s">
        <v>240</v>
      </c>
      <c r="B32" s="65"/>
      <c r="C32" s="65"/>
      <c r="D32" s="65"/>
      <c r="E32" s="115">
        <v>14.5</v>
      </c>
      <c r="F32" s="116">
        <v>14.8</v>
      </c>
      <c r="G32" s="116">
        <v>14.7</v>
      </c>
      <c r="H32" s="116">
        <v>14.7</v>
      </c>
    </row>
    <row r="33" spans="1:8">
      <c r="A33" s="65" t="s">
        <v>241</v>
      </c>
      <c r="B33" s="65"/>
      <c r="C33" s="65"/>
      <c r="D33" s="65"/>
      <c r="E33" s="115">
        <v>14.3</v>
      </c>
      <c r="F33" s="116">
        <v>14.8</v>
      </c>
      <c r="G33" s="116">
        <v>14.7</v>
      </c>
      <c r="H33" s="116">
        <v>14.6</v>
      </c>
    </row>
    <row r="34" spans="1:8">
      <c r="A34" s="65" t="s">
        <v>242</v>
      </c>
      <c r="B34" s="65"/>
      <c r="C34" s="65"/>
      <c r="D34" s="65"/>
      <c r="E34" s="115">
        <v>13.1</v>
      </c>
      <c r="F34" s="116">
        <v>13.3</v>
      </c>
      <c r="G34" s="116">
        <v>14.5</v>
      </c>
      <c r="H34" s="116">
        <v>13.6</v>
      </c>
    </row>
    <row r="35" spans="1:8">
      <c r="A35" s="65" t="s">
        <v>243</v>
      </c>
      <c r="B35" s="65"/>
      <c r="C35" s="65"/>
      <c r="D35" s="65"/>
      <c r="E35" s="115">
        <v>14.8</v>
      </c>
      <c r="F35" s="116">
        <v>15</v>
      </c>
      <c r="G35" s="116">
        <v>15</v>
      </c>
      <c r="H35" s="116">
        <v>14.9</v>
      </c>
    </row>
    <row r="36" spans="1:8">
      <c r="A36" s="65" t="s">
        <v>243</v>
      </c>
      <c r="B36" s="65"/>
      <c r="C36" s="65"/>
      <c r="D36" s="65"/>
      <c r="E36" s="115">
        <v>13.9</v>
      </c>
      <c r="F36" s="116">
        <v>14.3</v>
      </c>
      <c r="G36" s="116">
        <v>14</v>
      </c>
      <c r="H36" s="116">
        <v>14</v>
      </c>
    </row>
    <row r="37" spans="1:8">
      <c r="A37" s="65" t="s">
        <v>244</v>
      </c>
      <c r="B37" s="65"/>
      <c r="C37" s="65"/>
      <c r="D37" s="65"/>
      <c r="E37" s="115">
        <v>14</v>
      </c>
      <c r="F37" s="116">
        <v>14.3</v>
      </c>
      <c r="G37" s="116">
        <v>14.5</v>
      </c>
      <c r="H37" s="116">
        <v>14.3</v>
      </c>
    </row>
    <row r="38" spans="1:8">
      <c r="A38" s="65" t="s">
        <v>244</v>
      </c>
      <c r="B38" s="65"/>
      <c r="C38" s="65"/>
      <c r="D38" s="65"/>
      <c r="E38" s="115">
        <v>14.8</v>
      </c>
      <c r="F38" s="116">
        <v>14.8</v>
      </c>
      <c r="G38" s="116">
        <v>14.8</v>
      </c>
      <c r="H38" s="116">
        <v>14.8</v>
      </c>
    </row>
    <row r="39" spans="1:8">
      <c r="A39" s="65" t="s">
        <v>245</v>
      </c>
      <c r="B39" s="65"/>
      <c r="C39" s="65"/>
      <c r="D39" s="65"/>
      <c r="E39" s="115">
        <v>15.4</v>
      </c>
      <c r="F39" s="116">
        <v>15.4</v>
      </c>
      <c r="G39" s="116">
        <v>15.4</v>
      </c>
      <c r="H39" s="116">
        <v>15.4</v>
      </c>
    </row>
    <row r="40" spans="1:8">
      <c r="A40" s="65" t="s">
        <v>245</v>
      </c>
      <c r="B40" s="65"/>
      <c r="C40" s="65"/>
      <c r="D40" s="65"/>
      <c r="E40" s="115">
        <v>15.1</v>
      </c>
      <c r="F40" s="116">
        <v>15.3</v>
      </c>
      <c r="G40" s="116">
        <v>15.2</v>
      </c>
      <c r="H40" s="116">
        <v>15.2</v>
      </c>
    </row>
    <row r="41" spans="1:8">
      <c r="A41" s="65" t="s">
        <v>246</v>
      </c>
      <c r="B41" s="65"/>
      <c r="C41" s="65"/>
      <c r="D41" s="65"/>
      <c r="E41" s="115">
        <v>14.9</v>
      </c>
      <c r="F41" s="116">
        <v>14.9</v>
      </c>
      <c r="G41" s="116">
        <v>14.9</v>
      </c>
      <c r="H41" s="116">
        <v>14.9</v>
      </c>
    </row>
    <row r="42" spans="1:8">
      <c r="A42" s="65" t="s">
        <v>246</v>
      </c>
      <c r="B42" s="65"/>
      <c r="C42" s="65"/>
      <c r="D42" s="65"/>
      <c r="E42" s="115">
        <v>14.1</v>
      </c>
      <c r="F42" s="116">
        <v>14.3</v>
      </c>
      <c r="G42" s="116">
        <v>14.4</v>
      </c>
      <c r="H42" s="116">
        <v>14.3</v>
      </c>
    </row>
    <row r="43" spans="1:8">
      <c r="A43" s="65" t="s">
        <v>247</v>
      </c>
      <c r="B43" s="65"/>
      <c r="C43" s="65"/>
      <c r="D43" s="65"/>
      <c r="E43" s="115">
        <v>15</v>
      </c>
      <c r="F43" s="116">
        <v>14.8</v>
      </c>
      <c r="G43" s="116">
        <v>15.3</v>
      </c>
      <c r="H43" s="116">
        <v>15</v>
      </c>
    </row>
    <row r="44" spans="1:8">
      <c r="A44" s="65" t="s">
        <v>248</v>
      </c>
      <c r="B44" s="65"/>
      <c r="C44" s="65"/>
      <c r="D44" s="65"/>
      <c r="E44" s="115">
        <v>14.9</v>
      </c>
      <c r="F44" s="116">
        <v>15.1</v>
      </c>
      <c r="G44" s="116">
        <v>15</v>
      </c>
      <c r="H44" s="116">
        <v>15</v>
      </c>
    </row>
    <row r="45" spans="1:8">
      <c r="A45" s="65" t="s">
        <v>249</v>
      </c>
      <c r="B45" s="65"/>
      <c r="C45" s="65"/>
      <c r="D45" s="65"/>
      <c r="E45" s="115">
        <v>15.1</v>
      </c>
      <c r="F45" s="116">
        <v>15.1</v>
      </c>
      <c r="G45" s="116">
        <v>15.1</v>
      </c>
      <c r="H45" s="116">
        <v>15.1</v>
      </c>
    </row>
    <row r="46" spans="1:8">
      <c r="A46" s="65" t="s">
        <v>250</v>
      </c>
      <c r="B46" s="65"/>
      <c r="C46" s="65"/>
      <c r="D46" s="65"/>
      <c r="E46" s="115">
        <v>14.4</v>
      </c>
      <c r="F46" s="116">
        <v>14.4</v>
      </c>
      <c r="G46" s="116">
        <v>15.3</v>
      </c>
      <c r="H46" s="116">
        <v>14.7</v>
      </c>
    </row>
    <row r="47" spans="1:8">
      <c r="A47" s="65" t="s">
        <v>251</v>
      </c>
      <c r="B47" s="65"/>
      <c r="C47" s="65"/>
      <c r="D47" s="65"/>
      <c r="E47" s="115">
        <v>14.6</v>
      </c>
      <c r="F47" s="116">
        <v>14.8</v>
      </c>
      <c r="G47" s="116">
        <v>15</v>
      </c>
      <c r="H47" s="116">
        <v>14.8</v>
      </c>
    </row>
    <row r="48" spans="1:8">
      <c r="A48" s="65" t="s">
        <v>252</v>
      </c>
      <c r="B48" s="65"/>
      <c r="C48" s="65"/>
      <c r="D48" s="65"/>
      <c r="E48" s="115">
        <v>15</v>
      </c>
      <c r="F48" s="116">
        <v>15</v>
      </c>
      <c r="G48" s="116">
        <v>14.9</v>
      </c>
      <c r="H48" s="116">
        <v>15</v>
      </c>
    </row>
    <row r="49" spans="1:8">
      <c r="A49" s="65" t="s">
        <v>253</v>
      </c>
      <c r="B49" s="65"/>
      <c r="C49" s="65"/>
      <c r="D49" s="65"/>
      <c r="E49" s="115">
        <v>15.2</v>
      </c>
      <c r="F49" s="116">
        <v>15.3</v>
      </c>
      <c r="G49" s="116">
        <v>15.3</v>
      </c>
      <c r="H49" s="116">
        <v>15.2</v>
      </c>
    </row>
    <row r="50" spans="1:8">
      <c r="A50" s="65" t="s">
        <v>254</v>
      </c>
      <c r="B50" s="65"/>
      <c r="C50" s="65"/>
      <c r="D50" s="65"/>
      <c r="E50" s="115">
        <v>15.5</v>
      </c>
      <c r="F50" s="116">
        <v>15.5</v>
      </c>
      <c r="G50" s="116">
        <v>15.3</v>
      </c>
      <c r="H50" s="116">
        <v>15.4</v>
      </c>
    </row>
    <row r="51" spans="1:8">
      <c r="A51" s="65" t="s">
        <v>255</v>
      </c>
      <c r="B51" s="65"/>
      <c r="C51" s="65"/>
      <c r="D51" s="65"/>
      <c r="E51" s="115">
        <v>15.2</v>
      </c>
      <c r="F51" s="116">
        <v>15.3</v>
      </c>
      <c r="G51" s="116">
        <v>15.1</v>
      </c>
      <c r="H51" s="116">
        <v>15.2</v>
      </c>
    </row>
    <row r="52" spans="1:8">
      <c r="A52" s="65" t="s">
        <v>256</v>
      </c>
      <c r="B52" s="65"/>
      <c r="C52" s="65"/>
      <c r="D52" s="65"/>
      <c r="E52" s="115">
        <v>15.1</v>
      </c>
      <c r="F52" s="116">
        <v>15.1</v>
      </c>
      <c r="G52" s="116">
        <v>15.2</v>
      </c>
      <c r="H52" s="116">
        <v>15.1</v>
      </c>
    </row>
    <row r="53" spans="1:8">
      <c r="A53" s="65" t="s">
        <v>257</v>
      </c>
      <c r="B53" s="65"/>
      <c r="C53" s="65"/>
      <c r="D53" s="65"/>
      <c r="E53" s="115">
        <v>15</v>
      </c>
      <c r="F53" s="116">
        <v>15</v>
      </c>
      <c r="G53" s="116">
        <v>14.9</v>
      </c>
      <c r="H53" s="116">
        <v>15</v>
      </c>
    </row>
    <row r="54" spans="1:8">
      <c r="A54" s="65" t="s">
        <v>258</v>
      </c>
      <c r="B54" s="65"/>
      <c r="C54" s="65"/>
      <c r="D54" s="65"/>
      <c r="E54" s="115">
        <v>15.3</v>
      </c>
      <c r="F54" s="116">
        <v>15.4</v>
      </c>
      <c r="G54" s="116">
        <v>15.4</v>
      </c>
      <c r="H54" s="116">
        <v>15.4</v>
      </c>
    </row>
    <row r="55" spans="1:8">
      <c r="A55" s="65" t="s">
        <v>258</v>
      </c>
      <c r="B55" s="65"/>
      <c r="C55" s="65"/>
      <c r="D55" s="65"/>
      <c r="E55" s="115">
        <v>15.1</v>
      </c>
      <c r="F55" s="116">
        <v>15</v>
      </c>
      <c r="G55" s="116">
        <v>15.2</v>
      </c>
      <c r="H55" s="116">
        <v>15.1</v>
      </c>
    </row>
    <row r="56" spans="1:8">
      <c r="A56" s="65" t="s">
        <v>259</v>
      </c>
      <c r="B56" s="65"/>
      <c r="C56" s="65"/>
      <c r="D56" s="65"/>
      <c r="E56" s="115">
        <v>15.1</v>
      </c>
      <c r="F56" s="116">
        <v>15.1</v>
      </c>
      <c r="G56" s="116">
        <v>15.1</v>
      </c>
      <c r="H56" s="116">
        <v>15.1</v>
      </c>
    </row>
    <row r="57" spans="1:8">
      <c r="A57" s="65" t="s">
        <v>263</v>
      </c>
      <c r="B57" s="65"/>
      <c r="C57" s="65"/>
      <c r="D57" s="65"/>
      <c r="E57" s="115">
        <v>15.3</v>
      </c>
      <c r="F57" s="116">
        <v>15.3</v>
      </c>
      <c r="G57" s="116">
        <v>15.2</v>
      </c>
      <c r="H57" s="116">
        <v>15.2</v>
      </c>
    </row>
    <row r="58" spans="1:8">
      <c r="A58" s="65" t="s">
        <v>264</v>
      </c>
      <c r="B58" s="65"/>
      <c r="C58" s="65"/>
      <c r="D58" s="65"/>
      <c r="E58" s="115">
        <v>15</v>
      </c>
      <c r="F58" s="116">
        <v>15</v>
      </c>
      <c r="G58" s="116">
        <v>15</v>
      </c>
      <c r="H58" s="116">
        <v>15</v>
      </c>
    </row>
    <row r="59" spans="1:8">
      <c r="A59" s="65" t="s">
        <v>265</v>
      </c>
      <c r="B59" s="65"/>
      <c r="C59" s="65"/>
      <c r="D59" s="65"/>
      <c r="E59" s="115">
        <v>15.2</v>
      </c>
      <c r="F59" s="116">
        <v>15.2</v>
      </c>
      <c r="G59" s="116">
        <v>15.1</v>
      </c>
      <c r="H59" s="116">
        <v>15.2</v>
      </c>
    </row>
    <row r="60" spans="1:8">
      <c r="A60" s="65" t="s">
        <v>265</v>
      </c>
      <c r="B60" s="65"/>
      <c r="C60" s="65"/>
      <c r="D60" s="65"/>
      <c r="E60" s="115">
        <v>15.1</v>
      </c>
      <c r="F60" s="116">
        <v>15.1</v>
      </c>
      <c r="G60" s="116">
        <v>14.9</v>
      </c>
      <c r="H60" s="116">
        <v>15</v>
      </c>
    </row>
    <row r="61" spans="1:8">
      <c r="A61" s="65" t="s">
        <v>266</v>
      </c>
      <c r="B61" s="65"/>
      <c r="C61" s="65"/>
      <c r="D61" s="65"/>
      <c r="E61" s="115">
        <v>15.4</v>
      </c>
      <c r="F61" s="116">
        <v>14.7</v>
      </c>
      <c r="G61" s="116">
        <v>14.2</v>
      </c>
      <c r="H61" s="116">
        <v>14.8</v>
      </c>
    </row>
    <row r="62" spans="1:8">
      <c r="A62" s="65" t="s">
        <v>266</v>
      </c>
      <c r="B62" s="65"/>
      <c r="C62" s="65"/>
      <c r="D62" s="65"/>
      <c r="E62" s="115">
        <v>14.4</v>
      </c>
      <c r="F62" s="116">
        <v>14.4</v>
      </c>
      <c r="G62" s="116">
        <v>14.5</v>
      </c>
      <c r="H62" s="116">
        <v>14.4</v>
      </c>
    </row>
    <row r="63" spans="1:8">
      <c r="A63" s="65" t="s">
        <v>267</v>
      </c>
      <c r="B63" s="65"/>
      <c r="C63" s="65"/>
      <c r="D63" s="65"/>
      <c r="E63" s="115">
        <v>15.1</v>
      </c>
      <c r="F63" s="116">
        <v>15.2</v>
      </c>
      <c r="G63" s="116">
        <v>15.4</v>
      </c>
      <c r="H63" s="116">
        <v>15.2</v>
      </c>
    </row>
    <row r="64" spans="1:8">
      <c r="A64" s="95" t="s">
        <v>268</v>
      </c>
      <c r="B64" s="82"/>
      <c r="C64" s="82"/>
      <c r="D64" s="82"/>
      <c r="E64" s="115">
        <v>14.613919258117676</v>
      </c>
      <c r="F64" s="116">
        <v>14.544337272644043</v>
      </c>
      <c r="G64" s="116">
        <v>14.610519409179688</v>
      </c>
      <c r="H64" s="102">
        <f t="shared" ref="H64:H72" si="8">AVERAGE(E64:G64)</f>
        <v>14.589591979980469</v>
      </c>
    </row>
    <row r="65" spans="1:8">
      <c r="A65" s="95" t="s">
        <v>269</v>
      </c>
      <c r="B65" s="82"/>
      <c r="C65" s="82"/>
      <c r="D65" s="82"/>
      <c r="E65" s="115">
        <v>14.970376014709473</v>
      </c>
      <c r="F65" s="116">
        <v>14.902167320251465</v>
      </c>
      <c r="G65" s="116">
        <v>14.964475631713867</v>
      </c>
      <c r="H65" s="102">
        <f t="shared" si="8"/>
        <v>14.945672988891602</v>
      </c>
    </row>
    <row r="66" spans="1:8">
      <c r="A66" s="95" t="s">
        <v>270</v>
      </c>
      <c r="B66" s="82"/>
      <c r="C66" s="82"/>
      <c r="D66" s="82"/>
      <c r="E66" s="115">
        <v>15.184457778930664</v>
      </c>
      <c r="F66" s="116">
        <v>15.273150444030762</v>
      </c>
      <c r="G66" s="116">
        <v>15.250771522521973</v>
      </c>
      <c r="H66" s="102">
        <f t="shared" si="8"/>
        <v>15.236126581827799</v>
      </c>
    </row>
    <row r="67" spans="1:8">
      <c r="A67" s="95" t="s">
        <v>271</v>
      </c>
      <c r="B67" s="82"/>
      <c r="C67" s="82"/>
      <c r="D67" s="82"/>
      <c r="E67" s="115">
        <v>15.047176361083984</v>
      </c>
      <c r="F67" s="116">
        <v>15.114773750305176</v>
      </c>
      <c r="G67" s="116">
        <v>15.180623054504395</v>
      </c>
      <c r="H67" s="102">
        <f t="shared" si="8"/>
        <v>15.114191055297852</v>
      </c>
    </row>
    <row r="68" spans="1:8">
      <c r="A68" s="95" t="s">
        <v>272</v>
      </c>
      <c r="B68" s="82"/>
      <c r="E68" s="115">
        <v>14.840383529663086</v>
      </c>
      <c r="F68" s="116">
        <v>14.916571617126465</v>
      </c>
      <c r="G68" s="116">
        <v>14.954231262207031</v>
      </c>
      <c r="H68" s="102">
        <f t="shared" si="8"/>
        <v>14.903728802998861</v>
      </c>
    </row>
    <row r="69" spans="1:8">
      <c r="A69" s="95" t="s">
        <v>273</v>
      </c>
      <c r="E69" s="115">
        <v>15.199845314025879</v>
      </c>
      <c r="F69" s="116">
        <v>15.533450126647949</v>
      </c>
      <c r="G69" s="116">
        <v>15.423110961914062</v>
      </c>
      <c r="H69" s="102">
        <f t="shared" si="8"/>
        <v>15.385468800862631</v>
      </c>
    </row>
    <row r="70" spans="1:8">
      <c r="A70" s="95" t="s">
        <v>274</v>
      </c>
      <c r="B70" s="82"/>
      <c r="E70" s="115">
        <v>15.120054244995117</v>
      </c>
      <c r="F70" s="116">
        <v>15.144433975219727</v>
      </c>
      <c r="G70" s="116">
        <v>15.071084976196289</v>
      </c>
      <c r="H70" s="102">
        <f t="shared" si="8"/>
        <v>15.111857732137045</v>
      </c>
    </row>
    <row r="71" spans="1:8">
      <c r="A71" s="95" t="s">
        <v>274</v>
      </c>
      <c r="E71" s="115">
        <v>15.292695999145508</v>
      </c>
      <c r="F71" s="116">
        <v>15.627285957336426</v>
      </c>
      <c r="G71" s="116">
        <v>15.304715156555176</v>
      </c>
      <c r="H71" s="102">
        <f t="shared" si="8"/>
        <v>15.408232371012369</v>
      </c>
    </row>
    <row r="72" spans="1:8">
      <c r="A72" s="95" t="s">
        <v>275</v>
      </c>
      <c r="E72" s="115">
        <v>15.044212341308594</v>
      </c>
      <c r="F72" s="116">
        <v>15.046442985534668</v>
      </c>
      <c r="G72" s="116">
        <v>15.083253860473633</v>
      </c>
      <c r="H72" s="102">
        <f t="shared" si="8"/>
        <v>15.057969729105631</v>
      </c>
    </row>
    <row r="73" spans="1:8">
      <c r="A73" s="65"/>
      <c r="B73" s="65"/>
      <c r="C73" s="65"/>
      <c r="D73" s="65"/>
      <c r="E73" s="117"/>
      <c r="F73" s="117"/>
      <c r="G73" s="117"/>
      <c r="H73" s="117"/>
    </row>
    <row r="74" spans="1:8">
      <c r="A74" s="65"/>
      <c r="B74" s="65"/>
      <c r="C74" s="65"/>
      <c r="D74" s="65"/>
      <c r="E74" s="65"/>
      <c r="F74" s="65"/>
      <c r="G74" s="65"/>
      <c r="H74" s="65"/>
    </row>
    <row r="75" spans="1:8">
      <c r="A75" s="65"/>
      <c r="B75" s="65"/>
      <c r="C75" s="65"/>
      <c r="D75" s="65"/>
      <c r="E75" s="65"/>
      <c r="F75" s="65"/>
      <c r="G75" s="65" t="s">
        <v>230</v>
      </c>
      <c r="H75" s="80">
        <f>AVERAGE(H27:H72)</f>
        <v>14.788105218306832</v>
      </c>
    </row>
  </sheetData>
  <mergeCells count="19">
    <mergeCell ref="S2:S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F2:F3"/>
    <mergeCell ref="A2:A3"/>
    <mergeCell ref="B2:B3"/>
    <mergeCell ref="C2:C3"/>
    <mergeCell ref="D2:D3"/>
    <mergeCell ref="E2:E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I23" sqref="I23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122" t="s">
        <v>4</v>
      </c>
      <c r="B1" s="122" t="s">
        <v>118</v>
      </c>
      <c r="C1" s="122" t="s">
        <v>118</v>
      </c>
      <c r="D1" s="122" t="s">
        <v>5</v>
      </c>
      <c r="E1" s="122" t="s">
        <v>19</v>
      </c>
      <c r="F1" s="122" t="s">
        <v>24</v>
      </c>
      <c r="G1" s="121" t="s">
        <v>25</v>
      </c>
      <c r="H1" s="118" t="s">
        <v>26</v>
      </c>
      <c r="I1" s="4" t="s">
        <v>27</v>
      </c>
      <c r="J1" s="55" t="s">
        <v>27</v>
      </c>
    </row>
    <row r="2" spans="1:10">
      <c r="A2" s="123"/>
      <c r="B2" s="123"/>
      <c r="C2" s="123"/>
      <c r="D2" s="123"/>
      <c r="E2" s="123"/>
      <c r="F2" s="123"/>
      <c r="G2" s="121"/>
      <c r="H2" s="118"/>
      <c r="I2" s="5" t="s">
        <v>28</v>
      </c>
      <c r="J2" s="56" t="s">
        <v>23</v>
      </c>
    </row>
    <row r="3" spans="1:10">
      <c r="A3" s="67" t="s">
        <v>6</v>
      </c>
      <c r="B3" s="68">
        <v>-10</v>
      </c>
      <c r="C3" s="68">
        <v>-10</v>
      </c>
      <c r="D3" s="69">
        <v>-0.16666666666666666</v>
      </c>
      <c r="E3" s="41">
        <v>1</v>
      </c>
      <c r="F3" s="52">
        <v>8.7999999999999995E-2</v>
      </c>
      <c r="G3" s="52">
        <v>8.7999999999999995E-2</v>
      </c>
      <c r="H3" s="52">
        <v>8.7999999999999995E-2</v>
      </c>
      <c r="I3" s="53">
        <f>E3*(AVERAGE(F3:H3)*1.6007-0.0118)</f>
        <v>0.1290616</v>
      </c>
      <c r="J3" s="53">
        <f>E3*(STDEV(F3:H3)*1.6007)</f>
        <v>2.7206696834821082E-17</v>
      </c>
    </row>
    <row r="4" spans="1:10">
      <c r="A4" s="70">
        <v>0</v>
      </c>
      <c r="B4" s="71">
        <v>10</v>
      </c>
      <c r="C4" s="71">
        <v>10</v>
      </c>
      <c r="D4" s="72">
        <v>0.16666666666666666</v>
      </c>
      <c r="E4" s="41">
        <v>1</v>
      </c>
      <c r="F4" s="52">
        <v>0.104</v>
      </c>
      <c r="G4" s="52">
        <v>0.104</v>
      </c>
      <c r="H4" s="52">
        <v>0.104</v>
      </c>
      <c r="I4" s="53">
        <f>E4*(AVERAGE(F4:H4)*1.6007-0.0118)</f>
        <v>0.1546728</v>
      </c>
      <c r="J4" s="53">
        <f t="shared" ref="J4:J18" si="0">E4*(STDEV(F4:H4)*1.6007)</f>
        <v>0</v>
      </c>
    </row>
    <row r="5" spans="1:10">
      <c r="A5" s="70">
        <v>1</v>
      </c>
      <c r="B5" s="71">
        <v>110</v>
      </c>
      <c r="C5" s="71">
        <v>120</v>
      </c>
      <c r="D5" s="72">
        <v>2</v>
      </c>
      <c r="E5" s="41">
        <v>1</v>
      </c>
      <c r="F5" s="52">
        <v>0.13800000000000001</v>
      </c>
      <c r="G5" s="52">
        <v>0.13800000000000001</v>
      </c>
      <c r="H5" s="52">
        <v>0.13800000000000001</v>
      </c>
      <c r="I5" s="53">
        <f t="shared" ref="I5:I19" si="1">E5*(AVERAGE(F5:H5)*1.6007-0.0118)</f>
        <v>0.20909660000000002</v>
      </c>
      <c r="J5" s="53">
        <f t="shared" si="0"/>
        <v>0</v>
      </c>
    </row>
    <row r="6" spans="1:10">
      <c r="A6" s="70">
        <v>2</v>
      </c>
      <c r="B6" s="71">
        <v>80</v>
      </c>
      <c r="C6" s="71">
        <v>200</v>
      </c>
      <c r="D6" s="72">
        <v>3.3333333333333335</v>
      </c>
      <c r="E6" s="41">
        <v>1</v>
      </c>
      <c r="F6" s="52">
        <v>0.17499999999999999</v>
      </c>
      <c r="G6" s="52">
        <v>0.17499999999999999</v>
      </c>
      <c r="H6" s="52">
        <v>0.17499999999999999</v>
      </c>
      <c r="I6" s="53">
        <f t="shared" si="1"/>
        <v>0.26832249999999996</v>
      </c>
      <c r="J6" s="53">
        <f t="shared" si="0"/>
        <v>5.4413393669642165E-17</v>
      </c>
    </row>
    <row r="7" spans="1:10">
      <c r="A7" s="70">
        <v>3</v>
      </c>
      <c r="B7" s="71">
        <v>80</v>
      </c>
      <c r="C7" s="71">
        <v>280</v>
      </c>
      <c r="D7" s="72">
        <v>4.666666666666667</v>
      </c>
      <c r="E7" s="41">
        <v>1</v>
      </c>
      <c r="F7" s="52">
        <v>0.216</v>
      </c>
      <c r="G7" s="52">
        <v>0.216</v>
      </c>
      <c r="H7" s="52">
        <v>0.216</v>
      </c>
      <c r="I7" s="53">
        <f t="shared" si="1"/>
        <v>0.3339512</v>
      </c>
      <c r="J7" s="53">
        <f t="shared" si="0"/>
        <v>0</v>
      </c>
    </row>
    <row r="8" spans="1:10">
      <c r="A8" s="70">
        <v>4</v>
      </c>
      <c r="B8" s="71">
        <v>80</v>
      </c>
      <c r="C8" s="71">
        <v>360</v>
      </c>
      <c r="D8" s="72">
        <v>6</v>
      </c>
      <c r="E8" s="41">
        <v>1</v>
      </c>
      <c r="F8" s="52">
        <v>0.23799999999999999</v>
      </c>
      <c r="G8" s="52">
        <v>0.23799999999999999</v>
      </c>
      <c r="H8" s="52">
        <v>0.23799999999999999</v>
      </c>
      <c r="I8" s="53">
        <f t="shared" si="1"/>
        <v>0.36916660000000001</v>
      </c>
      <c r="J8" s="53">
        <f t="shared" si="0"/>
        <v>0</v>
      </c>
    </row>
    <row r="9" spans="1:10">
      <c r="A9" s="70">
        <v>5</v>
      </c>
      <c r="B9" s="71">
        <v>80</v>
      </c>
      <c r="C9" s="71">
        <v>440</v>
      </c>
      <c r="D9" s="72">
        <v>7.333333333333333</v>
      </c>
      <c r="E9" s="41">
        <v>1</v>
      </c>
      <c r="F9" s="52">
        <v>0.26500000000000001</v>
      </c>
      <c r="G9" s="52">
        <v>0.26500000000000001</v>
      </c>
      <c r="H9" s="52">
        <v>0.26500000000000001</v>
      </c>
      <c r="I9" s="53">
        <f t="shared" si="1"/>
        <v>0.41238550000000007</v>
      </c>
      <c r="J9" s="53">
        <f t="shared" si="0"/>
        <v>0</v>
      </c>
    </row>
    <row r="10" spans="1:10">
      <c r="A10" s="70">
        <v>6</v>
      </c>
      <c r="B10" s="71">
        <v>80</v>
      </c>
      <c r="C10" s="71">
        <v>520</v>
      </c>
      <c r="D10" s="72">
        <v>8.6666666666666661</v>
      </c>
      <c r="E10" s="41">
        <v>1</v>
      </c>
      <c r="F10" s="52">
        <v>0.30099999999999999</v>
      </c>
      <c r="G10" s="52">
        <v>0.30099999999999999</v>
      </c>
      <c r="H10" s="52">
        <v>0.30099999999999999</v>
      </c>
      <c r="I10" s="53">
        <f t="shared" si="1"/>
        <v>0.4700107</v>
      </c>
      <c r="J10" s="53">
        <f t="shared" si="0"/>
        <v>0</v>
      </c>
    </row>
    <row r="11" spans="1:10">
      <c r="A11" s="70">
        <v>7</v>
      </c>
      <c r="B11" s="71">
        <v>80</v>
      </c>
      <c r="C11" s="71">
        <v>600</v>
      </c>
      <c r="D11" s="72">
        <v>10</v>
      </c>
      <c r="E11" s="41">
        <v>1</v>
      </c>
      <c r="F11" s="52">
        <v>0.372</v>
      </c>
      <c r="G11" s="52">
        <v>0.372</v>
      </c>
      <c r="H11" s="52">
        <v>0.372</v>
      </c>
      <c r="I11" s="53">
        <f t="shared" si="1"/>
        <v>0.58366040000000008</v>
      </c>
      <c r="J11" s="53">
        <f t="shared" si="0"/>
        <v>1.0882678733928433E-16</v>
      </c>
    </row>
    <row r="12" spans="1:10">
      <c r="A12" s="70">
        <v>8</v>
      </c>
      <c r="B12" s="71">
        <v>80</v>
      </c>
      <c r="C12" s="71">
        <v>680</v>
      </c>
      <c r="D12" s="72">
        <v>11.333333333333334</v>
      </c>
      <c r="E12" s="41">
        <v>10</v>
      </c>
      <c r="F12" s="52">
        <v>7.4999999999999997E-2</v>
      </c>
      <c r="G12" s="52">
        <v>7.1999999999999995E-2</v>
      </c>
      <c r="H12" s="52">
        <v>6.8000000000000005E-2</v>
      </c>
      <c r="I12" s="53">
        <f t="shared" si="1"/>
        <v>1.0291683333333332</v>
      </c>
      <c r="J12" s="53">
        <f t="shared" si="0"/>
        <v>5.6214736540637869E-2</v>
      </c>
    </row>
    <row r="13" spans="1:10">
      <c r="A13" s="70">
        <v>9</v>
      </c>
      <c r="B13" s="71">
        <v>80</v>
      </c>
      <c r="C13" s="71">
        <v>760</v>
      </c>
      <c r="D13" s="72">
        <v>12.666666666666666</v>
      </c>
      <c r="E13" s="41">
        <v>10</v>
      </c>
      <c r="F13" s="52">
        <v>0.11700000000000001</v>
      </c>
      <c r="G13" s="52">
        <v>0.121</v>
      </c>
      <c r="H13" s="52">
        <v>0.115</v>
      </c>
      <c r="I13" s="53">
        <f t="shared" si="1"/>
        <v>1.7654903333333329</v>
      </c>
      <c r="J13" s="53">
        <f t="shared" si="0"/>
        <v>4.8902192766105343E-2</v>
      </c>
    </row>
    <row r="14" spans="1:10">
      <c r="A14" s="70">
        <v>10</v>
      </c>
      <c r="B14" s="71">
        <v>80</v>
      </c>
      <c r="C14" s="71">
        <v>840</v>
      </c>
      <c r="D14" s="72">
        <v>14</v>
      </c>
      <c r="E14" s="41">
        <v>10</v>
      </c>
      <c r="F14" s="52">
        <v>0.155</v>
      </c>
      <c r="G14" s="52">
        <v>0.159</v>
      </c>
      <c r="H14" s="52">
        <v>0.15</v>
      </c>
      <c r="I14" s="53">
        <f t="shared" si="1"/>
        <v>2.357749333333333</v>
      </c>
      <c r="J14" s="53">
        <f t="shared" si="0"/>
        <v>7.217956079343614E-2</v>
      </c>
    </row>
    <row r="15" spans="1:10">
      <c r="A15" s="70">
        <v>11</v>
      </c>
      <c r="B15" s="71">
        <v>80</v>
      </c>
      <c r="C15" s="71">
        <v>920</v>
      </c>
      <c r="D15" s="72">
        <v>15.333333333333334</v>
      </c>
      <c r="E15" s="41">
        <v>10</v>
      </c>
      <c r="F15" s="52">
        <v>0.19500000000000001</v>
      </c>
      <c r="G15" s="52">
        <v>0.20300000000000001</v>
      </c>
      <c r="H15" s="52">
        <v>0.20699999999999999</v>
      </c>
      <c r="I15" s="53">
        <f t="shared" si="1"/>
        <v>3.1100783333333339</v>
      </c>
      <c r="J15" s="53">
        <f t="shared" si="0"/>
        <v>9.7804385532210741E-2</v>
      </c>
    </row>
    <row r="16" spans="1:10">
      <c r="A16" s="70">
        <v>12</v>
      </c>
      <c r="B16" s="71">
        <v>80</v>
      </c>
      <c r="C16" s="71">
        <v>1000</v>
      </c>
      <c r="D16" s="72">
        <v>16.666666666666668</v>
      </c>
      <c r="E16" s="41">
        <v>10</v>
      </c>
      <c r="F16" s="52">
        <v>0.23200000000000001</v>
      </c>
      <c r="G16" s="52">
        <v>0.224</v>
      </c>
      <c r="H16" s="52">
        <v>0.248</v>
      </c>
      <c r="I16" s="53">
        <f t="shared" si="1"/>
        <v>3.6383093333333334</v>
      </c>
      <c r="J16" s="53">
        <f t="shared" si="0"/>
        <v>0.19560877106442162</v>
      </c>
    </row>
    <row r="17" spans="1:10">
      <c r="A17" s="70">
        <v>13</v>
      </c>
      <c r="B17" s="71">
        <v>80</v>
      </c>
      <c r="C17" s="71">
        <v>1080</v>
      </c>
      <c r="D17" s="72">
        <v>18</v>
      </c>
      <c r="E17" s="41">
        <v>10</v>
      </c>
      <c r="F17" s="52">
        <v>0.30299999999999999</v>
      </c>
      <c r="G17" s="52">
        <v>0.26700000000000002</v>
      </c>
      <c r="H17" s="52">
        <v>0.27300000000000002</v>
      </c>
      <c r="I17" s="53">
        <f t="shared" si="1"/>
        <v>4.3799670000000006</v>
      </c>
      <c r="J17" s="53">
        <f t="shared" si="0"/>
        <v>0.30873183546242822</v>
      </c>
    </row>
    <row r="18" spans="1:10">
      <c r="A18" s="70">
        <v>14</v>
      </c>
      <c r="B18" s="71">
        <v>80</v>
      </c>
      <c r="C18" s="71">
        <v>1160</v>
      </c>
      <c r="D18" s="72">
        <v>19.333333333333332</v>
      </c>
      <c r="E18" s="41">
        <v>10</v>
      </c>
      <c r="F18" s="52">
        <v>0.27600000000000002</v>
      </c>
      <c r="G18" s="52">
        <v>0.27700000000000002</v>
      </c>
      <c r="H18" s="52">
        <v>0.254</v>
      </c>
      <c r="I18" s="53">
        <f t="shared" si="1"/>
        <v>4.1878830000000002</v>
      </c>
      <c r="J18" s="53">
        <f t="shared" si="0"/>
        <v>0.20809100000000019</v>
      </c>
    </row>
    <row r="19" spans="1:10">
      <c r="A19" s="70">
        <v>15</v>
      </c>
      <c r="B19" s="71">
        <v>280</v>
      </c>
      <c r="C19" s="71">
        <v>1440</v>
      </c>
      <c r="D19" s="72">
        <v>24</v>
      </c>
      <c r="E19" s="41">
        <v>10</v>
      </c>
      <c r="F19" s="52">
        <v>0.23</v>
      </c>
      <c r="G19" s="52">
        <v>0.23300000000000001</v>
      </c>
      <c r="H19" s="52">
        <v>0.23400000000000001</v>
      </c>
      <c r="I19" s="53">
        <f t="shared" si="1"/>
        <v>3.6009596666666677</v>
      </c>
      <c r="J19" s="53">
        <f>E19*(STDEV(F19:H19)*1.6007)</f>
        <v>3.3321227653454417E-2</v>
      </c>
    </row>
    <row r="20" spans="1:10">
      <c r="A20" s="70">
        <v>16</v>
      </c>
      <c r="B20" s="71">
        <v>360</v>
      </c>
      <c r="C20" s="71">
        <v>1800</v>
      </c>
      <c r="D20" s="72">
        <v>30</v>
      </c>
      <c r="E20" s="41">
        <v>10</v>
      </c>
      <c r="F20" s="52">
        <v>0.214</v>
      </c>
      <c r="G20" s="52">
        <v>0.22</v>
      </c>
      <c r="H20" s="52">
        <v>0.21</v>
      </c>
      <c r="I20" s="53">
        <f t="shared" ref="I20:I21" si="2">E20*(AVERAGE(F20:H20)*1.6007-0.0118)</f>
        <v>3.3181693333333335</v>
      </c>
      <c r="J20" s="53">
        <f t="shared" ref="J20:J21" si="3">E20*(STDEV(F20:H20)*1.6007)</f>
        <v>8.0566799870252656E-2</v>
      </c>
    </row>
    <row r="21" spans="1:10">
      <c r="A21" s="70">
        <v>17</v>
      </c>
      <c r="B21" s="71">
        <v>1080</v>
      </c>
      <c r="C21" s="71">
        <v>2880</v>
      </c>
      <c r="D21" s="72">
        <v>48</v>
      </c>
      <c r="E21" s="41">
        <v>10</v>
      </c>
      <c r="F21" s="52">
        <v>0.15</v>
      </c>
      <c r="G21" s="52">
        <v>0.16200000000000001</v>
      </c>
      <c r="H21" s="52">
        <v>0.16900000000000001</v>
      </c>
      <c r="I21" s="53">
        <f t="shared" si="2"/>
        <v>2.4484556666666664</v>
      </c>
      <c r="J21" s="53">
        <f t="shared" si="3"/>
        <v>0.15381163975568746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3" sqref="D3:D21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122" t="s">
        <v>4</v>
      </c>
      <c r="B1" s="122" t="s">
        <v>118</v>
      </c>
      <c r="C1" s="122" t="s">
        <v>118</v>
      </c>
      <c r="D1" s="122" t="s">
        <v>5</v>
      </c>
      <c r="E1" s="4" t="s">
        <v>29</v>
      </c>
      <c r="F1" s="4" t="s">
        <v>2</v>
      </c>
      <c r="G1" s="4" t="s">
        <v>32</v>
      </c>
    </row>
    <row r="2" spans="1:7">
      <c r="A2" s="123"/>
      <c r="B2" s="123"/>
      <c r="C2" s="123"/>
      <c r="D2" s="123"/>
      <c r="E2" s="5" t="s">
        <v>30</v>
      </c>
      <c r="F2" s="5" t="s">
        <v>31</v>
      </c>
      <c r="G2" s="5" t="s">
        <v>33</v>
      </c>
    </row>
    <row r="3" spans="1:7">
      <c r="A3" s="67" t="s">
        <v>6</v>
      </c>
      <c r="B3" s="68">
        <v>-10</v>
      </c>
      <c r="C3" s="68">
        <v>-10</v>
      </c>
      <c r="D3" s="69">
        <v>-0.16666666666666666</v>
      </c>
      <c r="E3" s="1"/>
      <c r="F3" s="1"/>
      <c r="G3" s="1" t="e">
        <f>(F3-$C$23)/E3*1000*Calculation!I4/Calculation!K3</f>
        <v>#DIV/0!</v>
      </c>
    </row>
    <row r="4" spans="1:7">
      <c r="A4" s="70">
        <v>0</v>
      </c>
      <c r="B4" s="71">
        <v>10</v>
      </c>
      <c r="C4" s="71">
        <v>10</v>
      </c>
      <c r="D4" s="72">
        <v>0.16666666666666666</v>
      </c>
      <c r="E4" s="1"/>
      <c r="F4" s="1"/>
      <c r="G4" s="1" t="e">
        <f>(F4-$C$23)/E4*1000*Calculation!I5/Calculation!K4</f>
        <v>#DIV/0!</v>
      </c>
    </row>
    <row r="5" spans="1:7">
      <c r="A5" s="70">
        <v>1</v>
      </c>
      <c r="B5" s="71">
        <v>110</v>
      </c>
      <c r="C5" s="71">
        <v>120</v>
      </c>
      <c r="D5" s="72">
        <v>2</v>
      </c>
      <c r="E5" s="1"/>
      <c r="F5" s="1"/>
      <c r="G5" s="1" t="e">
        <f>(F5-$C$23)/E5*1000*Calculation!I6/Calculation!K5</f>
        <v>#DIV/0!</v>
      </c>
    </row>
    <row r="6" spans="1:7">
      <c r="A6" s="70">
        <v>2</v>
      </c>
      <c r="B6" s="71">
        <v>80</v>
      </c>
      <c r="C6" s="71">
        <v>200</v>
      </c>
      <c r="D6" s="72">
        <v>3.3333333333333335</v>
      </c>
      <c r="E6" s="1"/>
      <c r="F6" s="1"/>
      <c r="G6" s="1" t="e">
        <f>(F6-$C$23)/E6*1000*Calculation!I7/Calculation!K6</f>
        <v>#DIV/0!</v>
      </c>
    </row>
    <row r="7" spans="1:7">
      <c r="A7" s="70">
        <v>3</v>
      </c>
      <c r="B7" s="71">
        <v>80</v>
      </c>
      <c r="C7" s="71">
        <v>280</v>
      </c>
      <c r="D7" s="72">
        <v>4.666666666666667</v>
      </c>
      <c r="E7" s="1"/>
      <c r="F7" s="1"/>
      <c r="G7" s="1" t="e">
        <f>(F7-$C$23)/E7*1000*Calculation!I8/Calculation!K7</f>
        <v>#DIV/0!</v>
      </c>
    </row>
    <row r="8" spans="1:7">
      <c r="A8" s="70">
        <v>4</v>
      </c>
      <c r="B8" s="71">
        <v>80</v>
      </c>
      <c r="C8" s="71">
        <v>360</v>
      </c>
      <c r="D8" s="72">
        <v>6</v>
      </c>
      <c r="E8" s="1"/>
      <c r="F8" s="1"/>
      <c r="G8" s="1" t="e">
        <f>(F8-$C$23)/E8*1000*Calculation!I9/Calculation!K8</f>
        <v>#DIV/0!</v>
      </c>
    </row>
    <row r="9" spans="1:7">
      <c r="A9" s="70">
        <v>5</v>
      </c>
      <c r="B9" s="71">
        <v>80</v>
      </c>
      <c r="C9" s="71">
        <v>440</v>
      </c>
      <c r="D9" s="72">
        <v>7.333333333333333</v>
      </c>
      <c r="E9" s="1"/>
      <c r="F9" s="1"/>
      <c r="G9" s="1" t="e">
        <f>(F9-$C$23)/E9*1000*Calculation!I10/Calculation!K9</f>
        <v>#DIV/0!</v>
      </c>
    </row>
    <row r="10" spans="1:7">
      <c r="A10" s="70">
        <v>6</v>
      </c>
      <c r="B10" s="71">
        <v>80</v>
      </c>
      <c r="C10" s="71">
        <v>520</v>
      </c>
      <c r="D10" s="72">
        <v>8.6666666666666661</v>
      </c>
      <c r="E10" s="1"/>
      <c r="F10" s="1"/>
      <c r="G10" s="1" t="e">
        <f>(F10-$C$23)/E10*1000*Calculation!I11/Calculation!K10</f>
        <v>#DIV/0!</v>
      </c>
    </row>
    <row r="11" spans="1:7">
      <c r="A11" s="70">
        <v>7</v>
      </c>
      <c r="B11" s="71">
        <v>80</v>
      </c>
      <c r="C11" s="71">
        <v>600</v>
      </c>
      <c r="D11" s="72">
        <v>10</v>
      </c>
      <c r="E11" s="1"/>
      <c r="F11" s="1"/>
      <c r="G11" s="1" t="e">
        <f>(F11-$C$23)/E11*1000*Calculation!I12/Calculation!K11</f>
        <v>#DIV/0!</v>
      </c>
    </row>
    <row r="12" spans="1:7">
      <c r="A12" s="70">
        <v>8</v>
      </c>
      <c r="B12" s="71">
        <v>80</v>
      </c>
      <c r="C12" s="71">
        <v>680</v>
      </c>
      <c r="D12" s="72">
        <v>11.333333333333334</v>
      </c>
      <c r="E12" s="1"/>
      <c r="F12" s="1"/>
      <c r="G12" s="1" t="e">
        <f>(F12-$C$23)/E12*1000*Calculation!I13/Calculation!K12</f>
        <v>#DIV/0!</v>
      </c>
    </row>
    <row r="13" spans="1:7">
      <c r="A13" s="70">
        <v>9</v>
      </c>
      <c r="B13" s="71">
        <v>80</v>
      </c>
      <c r="C13" s="71">
        <v>760</v>
      </c>
      <c r="D13" s="72">
        <v>12.666666666666666</v>
      </c>
      <c r="E13" s="38"/>
      <c r="F13" s="38"/>
      <c r="G13" s="38" t="e">
        <f>(F13-$C$23)/E13*1000*Calculation!I14/Calculation!K13</f>
        <v>#DIV/0!</v>
      </c>
    </row>
    <row r="14" spans="1:7">
      <c r="A14" s="70">
        <v>10</v>
      </c>
      <c r="B14" s="71">
        <v>80</v>
      </c>
      <c r="C14" s="71">
        <v>840</v>
      </c>
      <c r="D14" s="72">
        <v>14</v>
      </c>
      <c r="E14" s="38"/>
      <c r="F14" s="38"/>
      <c r="G14" s="38" t="e">
        <f>(F14-$C$23)/E14*1000*Calculation!I15/Calculation!K14</f>
        <v>#DIV/0!</v>
      </c>
    </row>
    <row r="15" spans="1:7">
      <c r="A15" s="70">
        <v>11</v>
      </c>
      <c r="B15" s="71">
        <v>80</v>
      </c>
      <c r="C15" s="71">
        <v>920</v>
      </c>
      <c r="D15" s="72">
        <v>15.333333333333334</v>
      </c>
      <c r="E15" s="38"/>
      <c r="F15" s="38"/>
      <c r="G15" s="38" t="e">
        <f>(F15-$C$23)/E15*1000*Calculation!I16/Calculation!K15</f>
        <v>#DIV/0!</v>
      </c>
    </row>
    <row r="16" spans="1:7">
      <c r="A16" s="70">
        <v>12</v>
      </c>
      <c r="B16" s="71">
        <v>80</v>
      </c>
      <c r="C16" s="71">
        <v>1000</v>
      </c>
      <c r="D16" s="72">
        <v>16.666666666666668</v>
      </c>
      <c r="E16" s="38"/>
      <c r="F16" s="38"/>
      <c r="G16" s="38" t="e">
        <f>(F16-$C$23)/E16*1000*Calculation!I17/Calculation!K16</f>
        <v>#DIV/0!</v>
      </c>
    </row>
    <row r="17" spans="1:7" ht="15" customHeight="1">
      <c r="A17" s="70">
        <v>13</v>
      </c>
      <c r="B17" s="71">
        <v>80</v>
      </c>
      <c r="C17" s="71">
        <v>1080</v>
      </c>
      <c r="D17" s="72">
        <v>18</v>
      </c>
      <c r="E17" s="38"/>
      <c r="F17" s="38"/>
      <c r="G17" s="38" t="e">
        <f>(F17-$C$23)/E17*1000*Calculation!I18/Calculation!K17</f>
        <v>#DIV/0!</v>
      </c>
    </row>
    <row r="18" spans="1:7">
      <c r="A18" s="70">
        <v>14</v>
      </c>
      <c r="B18" s="71">
        <v>80</v>
      </c>
      <c r="C18" s="71">
        <v>1160</v>
      </c>
      <c r="D18" s="72">
        <v>19.333333333333332</v>
      </c>
      <c r="E18" s="38"/>
      <c r="F18" s="38"/>
      <c r="G18" s="38" t="e">
        <f>(F18-$C$23)/E18*1000*Calculation!I19/Calculation!K18</f>
        <v>#DIV/0!</v>
      </c>
    </row>
    <row r="19" spans="1:7">
      <c r="A19" s="70">
        <v>15</v>
      </c>
      <c r="B19" s="71">
        <v>280</v>
      </c>
      <c r="C19" s="71">
        <v>1440</v>
      </c>
      <c r="D19" s="72">
        <v>24</v>
      </c>
      <c r="E19" s="41"/>
      <c r="F19" s="41"/>
      <c r="G19" s="41" t="e">
        <f>(F19-$C$23)/E19*1000*Calculation!I22/Calculation!K19</f>
        <v>#DIV/0!</v>
      </c>
    </row>
    <row r="20" spans="1:7">
      <c r="A20" s="70">
        <v>16</v>
      </c>
      <c r="B20" s="71">
        <v>360</v>
      </c>
      <c r="C20" s="71">
        <v>1800</v>
      </c>
      <c r="D20" s="72">
        <v>30</v>
      </c>
      <c r="E20" s="41"/>
      <c r="F20" s="41"/>
      <c r="G20" s="41" t="e">
        <f>(F20-$C$23)/E20*1000*Calculation!I23/Calculation!K20</f>
        <v>#DIV/0!</v>
      </c>
    </row>
    <row r="21" spans="1:7">
      <c r="A21" s="70">
        <v>17</v>
      </c>
      <c r="B21" s="71">
        <v>1080</v>
      </c>
      <c r="C21" s="71">
        <v>2880</v>
      </c>
      <c r="D21" s="72">
        <v>48</v>
      </c>
      <c r="E21" s="41"/>
      <c r="F21" s="41"/>
      <c r="G21" s="41" t="e">
        <f>(F21-$C$23)/E21*1000*Calculation!I24/Calculation!K21</f>
        <v>#DIV/0!</v>
      </c>
    </row>
    <row r="23" spans="1:7">
      <c r="A23" s="140" t="s">
        <v>3</v>
      </c>
      <c r="B23" s="141"/>
      <c r="C23" s="1"/>
    </row>
  </sheetData>
  <mergeCells count="5">
    <mergeCell ref="A23:B23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1"/>
  <sheetViews>
    <sheetView workbookViewId="0">
      <selection activeCell="F5" sqref="F5:F101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9" max="9" width="9.1640625" bestFit="1" customWidth="1"/>
    <col min="10" max="10" width="12" bestFit="1" customWidth="1"/>
    <col min="11" max="11" width="8.5" customWidth="1"/>
  </cols>
  <sheetData>
    <row r="1" spans="1:10">
      <c r="A1" s="24" t="s">
        <v>50</v>
      </c>
      <c r="B1" s="12">
        <v>70</v>
      </c>
      <c r="C1" s="27" t="s">
        <v>51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121" t="s">
        <v>5</v>
      </c>
      <c r="B3" s="121" t="s">
        <v>36</v>
      </c>
      <c r="C3" s="121"/>
      <c r="D3" s="121" t="s">
        <v>52</v>
      </c>
      <c r="E3" s="121"/>
      <c r="F3" s="121"/>
      <c r="G3" s="24" t="s">
        <v>53</v>
      </c>
    </row>
    <row r="4" spans="1:10">
      <c r="A4" s="121"/>
      <c r="B4" s="24" t="s">
        <v>54</v>
      </c>
      <c r="C4" s="24" t="s">
        <v>55</v>
      </c>
      <c r="D4" s="24" t="s">
        <v>56</v>
      </c>
      <c r="E4" s="24" t="s">
        <v>57</v>
      </c>
      <c r="F4" s="24" t="s">
        <v>58</v>
      </c>
      <c r="G4" s="24" t="s">
        <v>59</v>
      </c>
    </row>
    <row r="5" spans="1:10">
      <c r="A5" s="12">
        <v>0</v>
      </c>
      <c r="B5" s="12"/>
      <c r="C5" s="12">
        <f>B5/1000</f>
        <v>0</v>
      </c>
      <c r="D5" s="12">
        <f>C5/1000*$B$1</f>
        <v>0</v>
      </c>
      <c r="E5" s="12">
        <f>D5/22.4</f>
        <v>0</v>
      </c>
      <c r="F5" s="12">
        <f>E5/Calculation!K$4*1000</f>
        <v>0</v>
      </c>
      <c r="G5" s="12">
        <f>(0+F5)/2*30</f>
        <v>0</v>
      </c>
      <c r="I5" s="79">
        <v>-0.16666666666666666</v>
      </c>
      <c r="J5" t="s">
        <v>154</v>
      </c>
    </row>
    <row r="6" spans="1:10">
      <c r="A6" s="12">
        <v>0.5</v>
      </c>
      <c r="B6" s="12"/>
      <c r="C6" s="12">
        <f t="shared" ref="C6:C69" si="0">B6/1000</f>
        <v>0</v>
      </c>
      <c r="D6" s="12">
        <f>C6/1000*$B$1</f>
        <v>0</v>
      </c>
      <c r="E6" s="12">
        <f>D6/22.4</f>
        <v>0</v>
      </c>
      <c r="F6" s="12">
        <f>E6/Calculation!K$4*1000</f>
        <v>0</v>
      </c>
      <c r="G6" s="12">
        <f>G5+(F6+F5)/2*30</f>
        <v>0</v>
      </c>
      <c r="I6" s="79">
        <v>0.16666666666666666</v>
      </c>
      <c r="J6" t="s">
        <v>155</v>
      </c>
    </row>
    <row r="7" spans="1:10">
      <c r="A7" s="12">
        <v>1</v>
      </c>
      <c r="B7" s="12"/>
      <c r="C7" s="12">
        <f t="shared" si="0"/>
        <v>0</v>
      </c>
      <c r="D7" s="12">
        <f t="shared" ref="D7:D69" si="1">C7/1000*$B$1</f>
        <v>0</v>
      </c>
      <c r="E7" s="12">
        <f t="shared" ref="E7:E69" si="2">D7/22.4</f>
        <v>0</v>
      </c>
      <c r="F7" s="12">
        <f>E7/Calculation!K$4*1000</f>
        <v>0</v>
      </c>
      <c r="G7" s="12">
        <f t="shared" ref="G7:G70" si="3">G6+(F7+F6)/2*30</f>
        <v>0</v>
      </c>
      <c r="I7" s="79">
        <v>2</v>
      </c>
      <c r="J7" t="s">
        <v>156</v>
      </c>
    </row>
    <row r="8" spans="1:10">
      <c r="A8" s="12">
        <v>1.5</v>
      </c>
      <c r="B8" s="12"/>
      <c r="C8" s="12">
        <f t="shared" si="0"/>
        <v>0</v>
      </c>
      <c r="D8" s="12">
        <f t="shared" si="1"/>
        <v>0</v>
      </c>
      <c r="E8" s="12">
        <f t="shared" si="2"/>
        <v>0</v>
      </c>
      <c r="F8" s="12">
        <f>E8/Calculation!K$4*1000</f>
        <v>0</v>
      </c>
      <c r="G8" s="12">
        <f t="shared" si="3"/>
        <v>0</v>
      </c>
      <c r="I8" s="79">
        <v>3.3333333333333335</v>
      </c>
      <c r="J8" t="s">
        <v>157</v>
      </c>
    </row>
    <row r="9" spans="1:10">
      <c r="A9" s="12">
        <v>2</v>
      </c>
      <c r="B9" s="12"/>
      <c r="C9" s="12">
        <f t="shared" si="0"/>
        <v>0</v>
      </c>
      <c r="D9" s="12">
        <f t="shared" si="1"/>
        <v>0</v>
      </c>
      <c r="E9" s="12">
        <f t="shared" si="2"/>
        <v>0</v>
      </c>
      <c r="F9" s="12">
        <f>E9/Calculation!K$4*1000</f>
        <v>0</v>
      </c>
      <c r="G9" s="12">
        <f t="shared" si="3"/>
        <v>0</v>
      </c>
      <c r="I9" s="79">
        <v>4.666666666666667</v>
      </c>
      <c r="J9" t="s">
        <v>158</v>
      </c>
    </row>
    <row r="10" spans="1:10">
      <c r="A10" s="12">
        <v>2.5</v>
      </c>
      <c r="B10" s="12"/>
      <c r="C10" s="12">
        <f t="shared" si="0"/>
        <v>0</v>
      </c>
      <c r="D10" s="12">
        <f t="shared" si="1"/>
        <v>0</v>
      </c>
      <c r="E10" s="12">
        <f t="shared" si="2"/>
        <v>0</v>
      </c>
      <c r="F10" s="12">
        <f>E10/Calculation!K$5*1000</f>
        <v>0</v>
      </c>
      <c r="G10" s="12">
        <f t="shared" si="3"/>
        <v>0</v>
      </c>
      <c r="I10" s="79">
        <v>6</v>
      </c>
      <c r="J10" t="s">
        <v>159</v>
      </c>
    </row>
    <row r="11" spans="1:10">
      <c r="A11" s="12">
        <v>3</v>
      </c>
      <c r="B11" s="12"/>
      <c r="C11" s="12">
        <f t="shared" si="0"/>
        <v>0</v>
      </c>
      <c r="D11" s="12">
        <f t="shared" si="1"/>
        <v>0</v>
      </c>
      <c r="E11" s="12">
        <f t="shared" si="2"/>
        <v>0</v>
      </c>
      <c r="F11" s="12">
        <f>E11/Calculation!K$5*1000</f>
        <v>0</v>
      </c>
      <c r="G11" s="12">
        <f t="shared" si="3"/>
        <v>0</v>
      </c>
      <c r="I11" s="79">
        <v>7.333333333333333</v>
      </c>
      <c r="J11" t="s">
        <v>160</v>
      </c>
    </row>
    <row r="12" spans="1:10">
      <c r="A12" s="12">
        <v>3.5</v>
      </c>
      <c r="B12" s="12"/>
      <c r="C12" s="12">
        <f t="shared" si="0"/>
        <v>0</v>
      </c>
      <c r="D12" s="12">
        <f t="shared" si="1"/>
        <v>0</v>
      </c>
      <c r="E12" s="12">
        <f t="shared" si="2"/>
        <v>0</v>
      </c>
      <c r="F12" s="12">
        <f>E12/Calculation!K$6*1000</f>
        <v>0</v>
      </c>
      <c r="G12" s="12">
        <f t="shared" si="3"/>
        <v>0</v>
      </c>
      <c r="I12" s="79">
        <v>8.6666666666666661</v>
      </c>
      <c r="J12" t="s">
        <v>161</v>
      </c>
    </row>
    <row r="13" spans="1:10">
      <c r="A13" s="12">
        <v>4</v>
      </c>
      <c r="B13" s="12"/>
      <c r="C13" s="12">
        <f t="shared" si="0"/>
        <v>0</v>
      </c>
      <c r="D13" s="12">
        <f t="shared" si="1"/>
        <v>0</v>
      </c>
      <c r="E13" s="12">
        <f t="shared" si="2"/>
        <v>0</v>
      </c>
      <c r="F13" s="12">
        <f>E13/Calculation!K$6*1000</f>
        <v>0</v>
      </c>
      <c r="G13" s="12">
        <f t="shared" si="3"/>
        <v>0</v>
      </c>
      <c r="I13" s="79">
        <v>10</v>
      </c>
      <c r="J13" t="s">
        <v>162</v>
      </c>
    </row>
    <row r="14" spans="1:10">
      <c r="A14" s="12">
        <v>4.5</v>
      </c>
      <c r="B14" s="12"/>
      <c r="C14" s="12">
        <f t="shared" si="0"/>
        <v>0</v>
      </c>
      <c r="D14" s="12">
        <f t="shared" si="1"/>
        <v>0</v>
      </c>
      <c r="E14" s="12">
        <f t="shared" si="2"/>
        <v>0</v>
      </c>
      <c r="F14" s="12">
        <f>E14/Calculation!K$6*1000</f>
        <v>0</v>
      </c>
      <c r="G14" s="12">
        <f t="shared" si="3"/>
        <v>0</v>
      </c>
      <c r="I14" s="79">
        <v>11.333333333333334</v>
      </c>
      <c r="J14" t="s">
        <v>163</v>
      </c>
    </row>
    <row r="15" spans="1:10">
      <c r="A15" s="12">
        <v>5</v>
      </c>
      <c r="B15" s="12"/>
      <c r="C15" s="12">
        <f t="shared" si="0"/>
        <v>0</v>
      </c>
      <c r="D15" s="12">
        <f t="shared" si="1"/>
        <v>0</v>
      </c>
      <c r="E15" s="12">
        <f t="shared" si="2"/>
        <v>0</v>
      </c>
      <c r="F15" s="12">
        <f>E15/Calculation!K$7*1000</f>
        <v>0</v>
      </c>
      <c r="G15" s="12">
        <f t="shared" si="3"/>
        <v>0</v>
      </c>
      <c r="I15" s="79">
        <v>12.666666666666666</v>
      </c>
      <c r="J15" t="s">
        <v>164</v>
      </c>
    </row>
    <row r="16" spans="1:10">
      <c r="A16" s="12">
        <v>5.5</v>
      </c>
      <c r="B16" s="12"/>
      <c r="C16" s="12">
        <f t="shared" si="0"/>
        <v>0</v>
      </c>
      <c r="D16" s="12">
        <f t="shared" si="1"/>
        <v>0</v>
      </c>
      <c r="E16" s="12">
        <f t="shared" si="2"/>
        <v>0</v>
      </c>
      <c r="F16" s="12">
        <f>E16/Calculation!K$7*1000</f>
        <v>0</v>
      </c>
      <c r="G16" s="12">
        <f t="shared" si="3"/>
        <v>0</v>
      </c>
      <c r="I16" s="79">
        <v>14</v>
      </c>
      <c r="J16" t="s">
        <v>165</v>
      </c>
    </row>
    <row r="17" spans="1:10">
      <c r="A17" s="12">
        <v>6</v>
      </c>
      <c r="B17" s="12"/>
      <c r="C17" s="12">
        <f t="shared" si="0"/>
        <v>0</v>
      </c>
      <c r="D17" s="12">
        <f t="shared" si="1"/>
        <v>0</v>
      </c>
      <c r="E17" s="12">
        <f t="shared" si="2"/>
        <v>0</v>
      </c>
      <c r="F17" s="12">
        <f>E17/Calculation!K$8*1000</f>
        <v>0</v>
      </c>
      <c r="G17" s="12">
        <f t="shared" si="3"/>
        <v>0</v>
      </c>
      <c r="I17" s="79">
        <v>15.333333333333334</v>
      </c>
      <c r="J17" t="s">
        <v>166</v>
      </c>
    </row>
    <row r="18" spans="1:10">
      <c r="A18" s="12">
        <v>6.5</v>
      </c>
      <c r="B18" s="12"/>
      <c r="C18" s="12">
        <f t="shared" si="0"/>
        <v>0</v>
      </c>
      <c r="D18" s="12">
        <f t="shared" si="1"/>
        <v>0</v>
      </c>
      <c r="E18" s="12">
        <f t="shared" si="2"/>
        <v>0</v>
      </c>
      <c r="F18" s="12">
        <f>E18/Calculation!K$8*1000</f>
        <v>0</v>
      </c>
      <c r="G18" s="12">
        <f t="shared" si="3"/>
        <v>0</v>
      </c>
      <c r="I18" s="79">
        <v>16.666666666666668</v>
      </c>
      <c r="J18" t="s">
        <v>167</v>
      </c>
    </row>
    <row r="19" spans="1:10">
      <c r="A19" s="12">
        <v>7</v>
      </c>
      <c r="B19" s="12"/>
      <c r="C19" s="12">
        <f t="shared" si="0"/>
        <v>0</v>
      </c>
      <c r="D19" s="12">
        <f t="shared" si="1"/>
        <v>0</v>
      </c>
      <c r="E19" s="12">
        <f t="shared" si="2"/>
        <v>0</v>
      </c>
      <c r="F19" s="12">
        <f>E19/Calculation!K$8*1000</f>
        <v>0</v>
      </c>
      <c r="G19" s="12">
        <f t="shared" si="3"/>
        <v>0</v>
      </c>
      <c r="I19" s="79">
        <v>18</v>
      </c>
      <c r="J19" t="s">
        <v>168</v>
      </c>
    </row>
    <row r="20" spans="1:10">
      <c r="A20" s="12">
        <v>7.5</v>
      </c>
      <c r="B20" s="12"/>
      <c r="C20" s="12">
        <f t="shared" si="0"/>
        <v>0</v>
      </c>
      <c r="D20" s="12">
        <f t="shared" si="1"/>
        <v>0</v>
      </c>
      <c r="E20" s="12">
        <f t="shared" si="2"/>
        <v>0</v>
      </c>
      <c r="F20" s="12">
        <f>E20/Calculation!K$9*1000</f>
        <v>0</v>
      </c>
      <c r="G20" s="12">
        <f t="shared" si="3"/>
        <v>0</v>
      </c>
      <c r="I20" s="79">
        <v>19.333333333333332</v>
      </c>
      <c r="J20" t="s">
        <v>169</v>
      </c>
    </row>
    <row r="21" spans="1:10">
      <c r="A21" s="12">
        <v>8</v>
      </c>
      <c r="B21" s="12"/>
      <c r="C21" s="12">
        <f t="shared" si="0"/>
        <v>0</v>
      </c>
      <c r="D21" s="12">
        <f t="shared" si="1"/>
        <v>0</v>
      </c>
      <c r="E21" s="12">
        <f t="shared" si="2"/>
        <v>0</v>
      </c>
      <c r="F21" s="12">
        <f>E21/Calculation!K$9*1000</f>
        <v>0</v>
      </c>
      <c r="G21" s="12">
        <f t="shared" si="3"/>
        <v>0</v>
      </c>
      <c r="I21" s="79">
        <v>24</v>
      </c>
      <c r="J21" t="s">
        <v>170</v>
      </c>
    </row>
    <row r="22" spans="1:10">
      <c r="A22" s="12">
        <v>8.5</v>
      </c>
      <c r="B22" s="12"/>
      <c r="C22" s="12">
        <f t="shared" si="0"/>
        <v>0</v>
      </c>
      <c r="D22" s="12">
        <f t="shared" si="1"/>
        <v>0</v>
      </c>
      <c r="E22" s="12">
        <f t="shared" si="2"/>
        <v>0</v>
      </c>
      <c r="F22" s="12">
        <f>E22/Calculation!K$9*1000</f>
        <v>0</v>
      </c>
      <c r="G22" s="12">
        <f t="shared" si="3"/>
        <v>0</v>
      </c>
      <c r="I22" s="79">
        <v>30</v>
      </c>
      <c r="J22" t="s">
        <v>171</v>
      </c>
    </row>
    <row r="23" spans="1:10">
      <c r="A23" s="12">
        <v>9</v>
      </c>
      <c r="B23" s="12"/>
      <c r="C23" s="12">
        <f t="shared" si="0"/>
        <v>0</v>
      </c>
      <c r="D23" s="12">
        <f t="shared" si="1"/>
        <v>0</v>
      </c>
      <c r="E23" s="12">
        <f t="shared" si="2"/>
        <v>0</v>
      </c>
      <c r="F23" s="12">
        <f>E23/Calculation!K$10*1000</f>
        <v>0</v>
      </c>
      <c r="G23" s="12">
        <f t="shared" si="3"/>
        <v>0</v>
      </c>
      <c r="I23" s="79">
        <v>48</v>
      </c>
      <c r="J23" t="s">
        <v>172</v>
      </c>
    </row>
    <row r="24" spans="1:10">
      <c r="A24" s="12">
        <v>9.5</v>
      </c>
      <c r="B24" s="12"/>
      <c r="C24" s="12">
        <f t="shared" si="0"/>
        <v>0</v>
      </c>
      <c r="D24" s="12">
        <f t="shared" si="1"/>
        <v>0</v>
      </c>
      <c r="E24" s="12">
        <f t="shared" si="2"/>
        <v>0</v>
      </c>
      <c r="F24" s="12">
        <f>E24/Calculation!K$10*1000</f>
        <v>0</v>
      </c>
      <c r="G24" s="12">
        <f t="shared" si="3"/>
        <v>0</v>
      </c>
    </row>
    <row r="25" spans="1:10">
      <c r="A25" s="12">
        <v>10</v>
      </c>
      <c r="B25" s="12"/>
      <c r="C25" s="12">
        <f t="shared" si="0"/>
        <v>0</v>
      </c>
      <c r="D25" s="12">
        <f t="shared" si="1"/>
        <v>0</v>
      </c>
      <c r="E25" s="12">
        <f t="shared" si="2"/>
        <v>0</v>
      </c>
      <c r="F25" s="12">
        <f>E25/Calculation!K$11*1000</f>
        <v>0</v>
      </c>
      <c r="G25" s="12">
        <f t="shared" si="3"/>
        <v>0</v>
      </c>
    </row>
    <row r="26" spans="1:10">
      <c r="A26" s="12">
        <v>10.5</v>
      </c>
      <c r="B26" s="12"/>
      <c r="C26" s="12">
        <f t="shared" si="0"/>
        <v>0</v>
      </c>
      <c r="D26" s="12">
        <f t="shared" si="1"/>
        <v>0</v>
      </c>
      <c r="E26" s="12">
        <f t="shared" si="2"/>
        <v>0</v>
      </c>
      <c r="F26" s="12">
        <f>E26/Calculation!K$11*1000</f>
        <v>0</v>
      </c>
      <c r="G26" s="12">
        <f t="shared" si="3"/>
        <v>0</v>
      </c>
    </row>
    <row r="27" spans="1:10">
      <c r="A27" s="12">
        <v>11</v>
      </c>
      <c r="B27" s="12"/>
      <c r="C27" s="12">
        <f t="shared" si="0"/>
        <v>0</v>
      </c>
      <c r="D27" s="12">
        <f t="shared" si="1"/>
        <v>0</v>
      </c>
      <c r="E27" s="12">
        <f t="shared" si="2"/>
        <v>0</v>
      </c>
      <c r="F27" s="12">
        <f>E27/Calculation!K$11*1000</f>
        <v>0</v>
      </c>
      <c r="G27" s="12">
        <f t="shared" si="3"/>
        <v>0</v>
      </c>
    </row>
    <row r="28" spans="1:10">
      <c r="A28" s="12">
        <v>11.5</v>
      </c>
      <c r="B28" s="12"/>
      <c r="C28" s="12">
        <f t="shared" si="0"/>
        <v>0</v>
      </c>
      <c r="D28" s="12">
        <f t="shared" si="1"/>
        <v>0</v>
      </c>
      <c r="E28" s="12">
        <f t="shared" si="2"/>
        <v>0</v>
      </c>
      <c r="F28" s="12">
        <f>E28/Calculation!K$12*1000</f>
        <v>0</v>
      </c>
      <c r="G28" s="12">
        <f t="shared" si="3"/>
        <v>0</v>
      </c>
    </row>
    <row r="29" spans="1:10">
      <c r="A29" s="12">
        <v>12</v>
      </c>
      <c r="B29" s="12"/>
      <c r="C29" s="12">
        <f t="shared" si="0"/>
        <v>0</v>
      </c>
      <c r="D29" s="12">
        <f t="shared" si="1"/>
        <v>0</v>
      </c>
      <c r="E29" s="12">
        <f t="shared" si="2"/>
        <v>0</v>
      </c>
      <c r="F29" s="12">
        <f>E29/Calculation!K$12*1000</f>
        <v>0</v>
      </c>
      <c r="G29" s="12">
        <f t="shared" si="3"/>
        <v>0</v>
      </c>
    </row>
    <row r="30" spans="1:10">
      <c r="A30" s="12">
        <v>12.5</v>
      </c>
      <c r="B30" s="12"/>
      <c r="C30" s="12">
        <f t="shared" si="0"/>
        <v>0</v>
      </c>
      <c r="D30" s="12">
        <f t="shared" si="1"/>
        <v>0</v>
      </c>
      <c r="E30" s="12">
        <f t="shared" si="2"/>
        <v>0</v>
      </c>
      <c r="F30" s="12">
        <f>E30/Calculation!K$12*1000</f>
        <v>0</v>
      </c>
      <c r="G30" s="12">
        <f t="shared" si="3"/>
        <v>0</v>
      </c>
    </row>
    <row r="31" spans="1:10">
      <c r="A31" s="12">
        <v>13</v>
      </c>
      <c r="B31" s="12"/>
      <c r="C31" s="12">
        <f t="shared" si="0"/>
        <v>0</v>
      </c>
      <c r="D31" s="12">
        <f t="shared" si="1"/>
        <v>0</v>
      </c>
      <c r="E31" s="12">
        <f t="shared" si="2"/>
        <v>0</v>
      </c>
      <c r="F31" s="12">
        <f>E31/Calculation!K$13*1000</f>
        <v>0</v>
      </c>
      <c r="G31" s="12">
        <f t="shared" si="3"/>
        <v>0</v>
      </c>
    </row>
    <row r="32" spans="1:10">
      <c r="A32" s="12">
        <v>13.5</v>
      </c>
      <c r="B32" s="12"/>
      <c r="C32" s="12">
        <f t="shared" si="0"/>
        <v>0</v>
      </c>
      <c r="D32" s="12">
        <f t="shared" si="1"/>
        <v>0</v>
      </c>
      <c r="E32" s="12">
        <f t="shared" si="2"/>
        <v>0</v>
      </c>
      <c r="F32" s="12">
        <f>E32/Calculation!K$13*1000</f>
        <v>0</v>
      </c>
      <c r="G32" s="12">
        <f t="shared" si="3"/>
        <v>0</v>
      </c>
    </row>
    <row r="33" spans="1:7">
      <c r="A33" s="12">
        <v>14</v>
      </c>
      <c r="B33" s="12"/>
      <c r="C33" s="12">
        <f t="shared" si="0"/>
        <v>0</v>
      </c>
      <c r="D33" s="12">
        <f t="shared" si="1"/>
        <v>0</v>
      </c>
      <c r="E33" s="12">
        <f t="shared" si="2"/>
        <v>0</v>
      </c>
      <c r="F33" s="12">
        <f>E33/Calculation!K$14*1000</f>
        <v>0</v>
      </c>
      <c r="G33" s="12">
        <f t="shared" si="3"/>
        <v>0</v>
      </c>
    </row>
    <row r="34" spans="1:7">
      <c r="A34" s="12">
        <v>14.5</v>
      </c>
      <c r="B34" s="12"/>
      <c r="C34" s="12">
        <f t="shared" si="0"/>
        <v>0</v>
      </c>
      <c r="D34" s="12">
        <f t="shared" si="1"/>
        <v>0</v>
      </c>
      <c r="E34" s="12">
        <f t="shared" si="2"/>
        <v>0</v>
      </c>
      <c r="F34" s="12">
        <f>E34/Calculation!K$14*1000</f>
        <v>0</v>
      </c>
      <c r="G34" s="12">
        <f t="shared" si="3"/>
        <v>0</v>
      </c>
    </row>
    <row r="35" spans="1:7">
      <c r="A35" s="12">
        <v>15</v>
      </c>
      <c r="B35" s="12"/>
      <c r="C35" s="12">
        <f t="shared" si="0"/>
        <v>0</v>
      </c>
      <c r="D35" s="12">
        <f t="shared" si="1"/>
        <v>0</v>
      </c>
      <c r="E35" s="12">
        <f t="shared" si="2"/>
        <v>0</v>
      </c>
      <c r="F35" s="12">
        <f>E35/Calculation!K$14*1000</f>
        <v>0</v>
      </c>
      <c r="G35" s="12">
        <f t="shared" si="3"/>
        <v>0</v>
      </c>
    </row>
    <row r="36" spans="1:7">
      <c r="A36" s="12">
        <v>15.5</v>
      </c>
      <c r="B36" s="12"/>
      <c r="C36" s="12">
        <f t="shared" si="0"/>
        <v>0</v>
      </c>
      <c r="D36" s="12">
        <f t="shared" si="1"/>
        <v>0</v>
      </c>
      <c r="E36" s="12">
        <f t="shared" si="2"/>
        <v>0</v>
      </c>
      <c r="F36" s="12">
        <f>E36/Calculation!K$15*1000</f>
        <v>0</v>
      </c>
      <c r="G36" s="12">
        <f t="shared" si="3"/>
        <v>0</v>
      </c>
    </row>
    <row r="37" spans="1:7">
      <c r="A37" s="12">
        <v>16</v>
      </c>
      <c r="B37" s="12"/>
      <c r="C37" s="12">
        <f t="shared" si="0"/>
        <v>0</v>
      </c>
      <c r="D37" s="12">
        <f t="shared" si="1"/>
        <v>0</v>
      </c>
      <c r="E37" s="12">
        <f t="shared" si="2"/>
        <v>0</v>
      </c>
      <c r="F37" s="12">
        <f>E37/Calculation!K$15*1000</f>
        <v>0</v>
      </c>
      <c r="G37" s="12">
        <f t="shared" si="3"/>
        <v>0</v>
      </c>
    </row>
    <row r="38" spans="1:7">
      <c r="A38" s="12">
        <v>16.5</v>
      </c>
      <c r="B38" s="12"/>
      <c r="C38" s="12">
        <f t="shared" si="0"/>
        <v>0</v>
      </c>
      <c r="D38" s="12">
        <f t="shared" si="1"/>
        <v>0</v>
      </c>
      <c r="E38" s="12">
        <f t="shared" si="2"/>
        <v>0</v>
      </c>
      <c r="F38" s="12">
        <f>E38/Calculation!K$15*1000</f>
        <v>0</v>
      </c>
      <c r="G38" s="12">
        <f t="shared" si="3"/>
        <v>0</v>
      </c>
    </row>
    <row r="39" spans="1:7">
      <c r="A39" s="12">
        <v>17</v>
      </c>
      <c r="B39" s="12"/>
      <c r="C39" s="12">
        <f t="shared" si="0"/>
        <v>0</v>
      </c>
      <c r="D39" s="12">
        <f t="shared" si="1"/>
        <v>0</v>
      </c>
      <c r="E39" s="12">
        <f t="shared" si="2"/>
        <v>0</v>
      </c>
      <c r="F39" s="12">
        <f>E39/Calculation!K$16*1000</f>
        <v>0</v>
      </c>
      <c r="G39" s="12">
        <f t="shared" si="3"/>
        <v>0</v>
      </c>
    </row>
    <row r="40" spans="1:7">
      <c r="A40" s="12">
        <v>17.5</v>
      </c>
      <c r="B40" s="12"/>
      <c r="C40" s="12">
        <f t="shared" si="0"/>
        <v>0</v>
      </c>
      <c r="D40" s="12">
        <f t="shared" si="1"/>
        <v>0</v>
      </c>
      <c r="E40" s="12">
        <f t="shared" si="2"/>
        <v>0</v>
      </c>
      <c r="F40" s="12">
        <f>E40/Calculation!K$16*1000</f>
        <v>0</v>
      </c>
      <c r="G40" s="12">
        <f t="shared" si="3"/>
        <v>0</v>
      </c>
    </row>
    <row r="41" spans="1:7">
      <c r="A41" s="12">
        <v>18</v>
      </c>
      <c r="B41" s="12"/>
      <c r="C41" s="12">
        <f t="shared" si="0"/>
        <v>0</v>
      </c>
      <c r="D41" s="12">
        <f t="shared" si="1"/>
        <v>0</v>
      </c>
      <c r="E41" s="12">
        <f t="shared" si="2"/>
        <v>0</v>
      </c>
      <c r="F41" s="12">
        <f>E41/Calculation!K$17*1000</f>
        <v>0</v>
      </c>
      <c r="G41" s="12">
        <f t="shared" si="3"/>
        <v>0</v>
      </c>
    </row>
    <row r="42" spans="1:7">
      <c r="A42" s="12">
        <v>18.5</v>
      </c>
      <c r="B42" s="12"/>
      <c r="C42" s="12">
        <f t="shared" si="0"/>
        <v>0</v>
      </c>
      <c r="D42" s="12">
        <f t="shared" si="1"/>
        <v>0</v>
      </c>
      <c r="E42" s="12">
        <f t="shared" si="2"/>
        <v>0</v>
      </c>
      <c r="F42" s="12">
        <f>E42/Calculation!K$17*1000</f>
        <v>0</v>
      </c>
      <c r="G42" s="12">
        <f t="shared" si="3"/>
        <v>0</v>
      </c>
    </row>
    <row r="43" spans="1:7">
      <c r="A43" s="12">
        <v>19</v>
      </c>
      <c r="B43" s="12"/>
      <c r="C43" s="12">
        <f t="shared" si="0"/>
        <v>0</v>
      </c>
      <c r="D43" s="12">
        <f t="shared" si="1"/>
        <v>0</v>
      </c>
      <c r="E43" s="12">
        <f t="shared" si="2"/>
        <v>0</v>
      </c>
      <c r="F43" s="12">
        <f>E43/Calculation!K$17*1000</f>
        <v>0</v>
      </c>
      <c r="G43" s="12">
        <f t="shared" si="3"/>
        <v>0</v>
      </c>
    </row>
    <row r="44" spans="1:7">
      <c r="A44" s="12">
        <v>19.5</v>
      </c>
      <c r="B44" s="12"/>
      <c r="C44" s="12">
        <f t="shared" si="0"/>
        <v>0</v>
      </c>
      <c r="D44" s="12">
        <f t="shared" si="1"/>
        <v>0</v>
      </c>
      <c r="E44" s="12">
        <f t="shared" si="2"/>
        <v>0</v>
      </c>
      <c r="F44" s="12">
        <f>E44/Calculation!K$18*1000</f>
        <v>0</v>
      </c>
      <c r="G44" s="12">
        <f t="shared" si="3"/>
        <v>0</v>
      </c>
    </row>
    <row r="45" spans="1:7">
      <c r="A45" s="12">
        <v>20</v>
      </c>
      <c r="B45" s="12"/>
      <c r="C45" s="12">
        <f t="shared" si="0"/>
        <v>0</v>
      </c>
      <c r="D45" s="12">
        <f t="shared" si="1"/>
        <v>0</v>
      </c>
      <c r="E45" s="12">
        <f t="shared" si="2"/>
        <v>0</v>
      </c>
      <c r="F45" s="12">
        <f>E45/Calculation!K$18*1000</f>
        <v>0</v>
      </c>
      <c r="G45" s="12">
        <f t="shared" si="3"/>
        <v>0</v>
      </c>
    </row>
    <row r="46" spans="1:7">
      <c r="A46" s="12">
        <v>20.5</v>
      </c>
      <c r="B46" s="12"/>
      <c r="C46" s="12">
        <f t="shared" si="0"/>
        <v>0</v>
      </c>
      <c r="D46" s="12">
        <f t="shared" si="1"/>
        <v>0</v>
      </c>
      <c r="E46" s="12">
        <f t="shared" si="2"/>
        <v>0</v>
      </c>
      <c r="F46" s="12">
        <f>E46/Calculation!K$18*1000</f>
        <v>0</v>
      </c>
      <c r="G46" s="12">
        <f t="shared" si="3"/>
        <v>0</v>
      </c>
    </row>
    <row r="47" spans="1:7">
      <c r="A47" s="12">
        <v>21</v>
      </c>
      <c r="B47" s="12"/>
      <c r="C47" s="12">
        <f t="shared" si="0"/>
        <v>0</v>
      </c>
      <c r="D47" s="12">
        <f t="shared" si="1"/>
        <v>0</v>
      </c>
      <c r="E47" s="12">
        <f t="shared" si="2"/>
        <v>0</v>
      </c>
      <c r="F47" s="12">
        <f>E47/Calculation!K$18*1000</f>
        <v>0</v>
      </c>
      <c r="G47" s="12">
        <f t="shared" si="3"/>
        <v>0</v>
      </c>
    </row>
    <row r="48" spans="1:7">
      <c r="A48" s="12">
        <v>21.5</v>
      </c>
      <c r="B48" s="12"/>
      <c r="C48" s="12">
        <f t="shared" si="0"/>
        <v>0</v>
      </c>
      <c r="D48" s="12">
        <f t="shared" si="1"/>
        <v>0</v>
      </c>
      <c r="E48" s="12">
        <f t="shared" si="2"/>
        <v>0</v>
      </c>
      <c r="F48" s="12">
        <f>E48/Calculation!K$18*1000</f>
        <v>0</v>
      </c>
      <c r="G48" s="12">
        <f t="shared" si="3"/>
        <v>0</v>
      </c>
    </row>
    <row r="49" spans="1:7">
      <c r="A49" s="12">
        <v>22</v>
      </c>
      <c r="B49" s="12"/>
      <c r="C49" s="12">
        <f t="shared" si="0"/>
        <v>0</v>
      </c>
      <c r="D49" s="12">
        <f t="shared" si="1"/>
        <v>0</v>
      </c>
      <c r="E49" s="12">
        <f t="shared" si="2"/>
        <v>0</v>
      </c>
      <c r="F49" s="12">
        <f>E49/Calculation!K$18*1000</f>
        <v>0</v>
      </c>
      <c r="G49" s="12">
        <f t="shared" si="3"/>
        <v>0</v>
      </c>
    </row>
    <row r="50" spans="1:7">
      <c r="A50" s="12">
        <v>22.5</v>
      </c>
      <c r="B50" s="12"/>
      <c r="C50" s="12">
        <f t="shared" si="0"/>
        <v>0</v>
      </c>
      <c r="D50" s="12">
        <f t="shared" si="1"/>
        <v>0</v>
      </c>
      <c r="E50" s="12">
        <f t="shared" si="2"/>
        <v>0</v>
      </c>
      <c r="F50" s="12">
        <f>E50/Calculation!K$18*1000</f>
        <v>0</v>
      </c>
      <c r="G50" s="12">
        <f t="shared" si="3"/>
        <v>0</v>
      </c>
    </row>
    <row r="51" spans="1:7">
      <c r="A51" s="12">
        <v>23</v>
      </c>
      <c r="B51" s="12"/>
      <c r="C51" s="12">
        <f t="shared" si="0"/>
        <v>0</v>
      </c>
      <c r="D51" s="12">
        <f t="shared" si="1"/>
        <v>0</v>
      </c>
      <c r="E51" s="12">
        <f t="shared" si="2"/>
        <v>0</v>
      </c>
      <c r="F51" s="12">
        <f>E51/Calculation!K$18*1000</f>
        <v>0</v>
      </c>
      <c r="G51" s="12">
        <f t="shared" si="3"/>
        <v>0</v>
      </c>
    </row>
    <row r="52" spans="1:7">
      <c r="A52" s="12">
        <v>23.5</v>
      </c>
      <c r="B52" s="12"/>
      <c r="C52" s="12">
        <f t="shared" si="0"/>
        <v>0</v>
      </c>
      <c r="D52" s="12">
        <f t="shared" si="1"/>
        <v>0</v>
      </c>
      <c r="E52" s="12">
        <f t="shared" si="2"/>
        <v>0</v>
      </c>
      <c r="F52" s="12">
        <f>E52/Calculation!K$18*1000</f>
        <v>0</v>
      </c>
      <c r="G52" s="12">
        <f t="shared" si="3"/>
        <v>0</v>
      </c>
    </row>
    <row r="53" spans="1:7">
      <c r="A53" s="12">
        <v>24</v>
      </c>
      <c r="B53" s="12"/>
      <c r="C53" s="12">
        <f t="shared" si="0"/>
        <v>0</v>
      </c>
      <c r="D53" s="12">
        <f t="shared" si="1"/>
        <v>0</v>
      </c>
      <c r="E53" s="12">
        <f t="shared" si="2"/>
        <v>0</v>
      </c>
      <c r="F53" s="12">
        <f>E53/Calculation!K$19*1000</f>
        <v>0</v>
      </c>
      <c r="G53" s="12">
        <f t="shared" si="3"/>
        <v>0</v>
      </c>
    </row>
    <row r="54" spans="1:7">
      <c r="A54" s="12">
        <v>24.5</v>
      </c>
      <c r="B54" s="12"/>
      <c r="C54" s="12">
        <f t="shared" si="0"/>
        <v>0</v>
      </c>
      <c r="D54" s="12">
        <f t="shared" si="1"/>
        <v>0</v>
      </c>
      <c r="E54" s="12">
        <f t="shared" si="2"/>
        <v>0</v>
      </c>
      <c r="F54" s="12">
        <f>E54/Calculation!K$19*1000</f>
        <v>0</v>
      </c>
      <c r="G54" s="12">
        <f t="shared" si="3"/>
        <v>0</v>
      </c>
    </row>
    <row r="55" spans="1:7">
      <c r="A55" s="12">
        <v>25</v>
      </c>
      <c r="B55" s="12"/>
      <c r="C55" s="12">
        <f t="shared" si="0"/>
        <v>0</v>
      </c>
      <c r="D55" s="12">
        <f t="shared" si="1"/>
        <v>0</v>
      </c>
      <c r="E55" s="12">
        <f t="shared" si="2"/>
        <v>0</v>
      </c>
      <c r="F55" s="12">
        <f>E55/Calculation!K$19*1000</f>
        <v>0</v>
      </c>
      <c r="G55" s="12">
        <f t="shared" si="3"/>
        <v>0</v>
      </c>
    </row>
    <row r="56" spans="1:7">
      <c r="A56" s="12">
        <v>25.5</v>
      </c>
      <c r="B56" s="12"/>
      <c r="C56" s="12">
        <f t="shared" si="0"/>
        <v>0</v>
      </c>
      <c r="D56" s="12">
        <f t="shared" si="1"/>
        <v>0</v>
      </c>
      <c r="E56" s="12">
        <f t="shared" si="2"/>
        <v>0</v>
      </c>
      <c r="F56" s="12">
        <f>E56/Calculation!K$19*1000</f>
        <v>0</v>
      </c>
      <c r="G56" s="12">
        <f t="shared" si="3"/>
        <v>0</v>
      </c>
    </row>
    <row r="57" spans="1:7">
      <c r="A57" s="12">
        <v>26</v>
      </c>
      <c r="B57" s="12"/>
      <c r="C57" s="12">
        <f t="shared" si="0"/>
        <v>0</v>
      </c>
      <c r="D57" s="12">
        <f t="shared" si="1"/>
        <v>0</v>
      </c>
      <c r="E57" s="12">
        <f t="shared" si="2"/>
        <v>0</v>
      </c>
      <c r="F57" s="12">
        <f>E57/Calculation!K$19*1000</f>
        <v>0</v>
      </c>
      <c r="G57" s="12">
        <f t="shared" si="3"/>
        <v>0</v>
      </c>
    </row>
    <row r="58" spans="1:7">
      <c r="A58" s="12">
        <v>26.5</v>
      </c>
      <c r="B58" s="12"/>
      <c r="C58" s="12">
        <f t="shared" si="0"/>
        <v>0</v>
      </c>
      <c r="D58" s="12">
        <f t="shared" si="1"/>
        <v>0</v>
      </c>
      <c r="E58" s="12">
        <f t="shared" si="2"/>
        <v>0</v>
      </c>
      <c r="F58" s="12">
        <f>E58/Calculation!K$19*1000</f>
        <v>0</v>
      </c>
      <c r="G58" s="12">
        <f t="shared" si="3"/>
        <v>0</v>
      </c>
    </row>
    <row r="59" spans="1:7">
      <c r="A59" s="12">
        <v>27</v>
      </c>
      <c r="B59" s="12"/>
      <c r="C59" s="12">
        <f t="shared" si="0"/>
        <v>0</v>
      </c>
      <c r="D59" s="12">
        <f t="shared" si="1"/>
        <v>0</v>
      </c>
      <c r="E59" s="12">
        <f t="shared" si="2"/>
        <v>0</v>
      </c>
      <c r="F59" s="12">
        <f>E59/Calculation!K$19*1000</f>
        <v>0</v>
      </c>
      <c r="G59" s="12">
        <f t="shared" si="3"/>
        <v>0</v>
      </c>
    </row>
    <row r="60" spans="1:7">
      <c r="A60" s="12">
        <v>27.5</v>
      </c>
      <c r="B60" s="12"/>
      <c r="C60" s="12">
        <f t="shared" si="0"/>
        <v>0</v>
      </c>
      <c r="D60" s="12">
        <f t="shared" si="1"/>
        <v>0</v>
      </c>
      <c r="E60" s="12">
        <f t="shared" si="2"/>
        <v>0</v>
      </c>
      <c r="F60" s="12">
        <f>E60/Calculation!K$19*1000</f>
        <v>0</v>
      </c>
      <c r="G60" s="12">
        <f t="shared" si="3"/>
        <v>0</v>
      </c>
    </row>
    <row r="61" spans="1:7">
      <c r="A61" s="12">
        <v>28</v>
      </c>
      <c r="B61" s="12"/>
      <c r="C61" s="12">
        <f t="shared" si="0"/>
        <v>0</v>
      </c>
      <c r="D61" s="12">
        <f t="shared" si="1"/>
        <v>0</v>
      </c>
      <c r="E61" s="12">
        <f t="shared" si="2"/>
        <v>0</v>
      </c>
      <c r="F61" s="12">
        <f>E61/Calculation!K$19*1000</f>
        <v>0</v>
      </c>
      <c r="G61" s="12">
        <f t="shared" si="3"/>
        <v>0</v>
      </c>
    </row>
    <row r="62" spans="1:7">
      <c r="A62" s="12">
        <v>28.5</v>
      </c>
      <c r="B62" s="12"/>
      <c r="C62" s="12">
        <f t="shared" si="0"/>
        <v>0</v>
      </c>
      <c r="D62" s="12">
        <f t="shared" si="1"/>
        <v>0</v>
      </c>
      <c r="E62" s="12">
        <f t="shared" si="2"/>
        <v>0</v>
      </c>
      <c r="F62" s="12">
        <f>E62/Calculation!K$19*1000</f>
        <v>0</v>
      </c>
      <c r="G62" s="12">
        <f t="shared" si="3"/>
        <v>0</v>
      </c>
    </row>
    <row r="63" spans="1:7">
      <c r="A63" s="12">
        <v>29</v>
      </c>
      <c r="B63" s="12"/>
      <c r="C63" s="12">
        <f t="shared" si="0"/>
        <v>0</v>
      </c>
      <c r="D63" s="12">
        <f t="shared" si="1"/>
        <v>0</v>
      </c>
      <c r="E63" s="12">
        <f t="shared" si="2"/>
        <v>0</v>
      </c>
      <c r="F63" s="12">
        <f>E63/Calculation!K$19*1000</f>
        <v>0</v>
      </c>
      <c r="G63" s="12">
        <f t="shared" si="3"/>
        <v>0</v>
      </c>
    </row>
    <row r="64" spans="1:7">
      <c r="A64" s="12">
        <v>29.5</v>
      </c>
      <c r="B64" s="12"/>
      <c r="C64" s="12">
        <f t="shared" si="0"/>
        <v>0</v>
      </c>
      <c r="D64" s="12">
        <f t="shared" si="1"/>
        <v>0</v>
      </c>
      <c r="E64" s="12">
        <f t="shared" si="2"/>
        <v>0</v>
      </c>
      <c r="F64" s="12">
        <f>E64/Calculation!K$19*1000</f>
        <v>0</v>
      </c>
      <c r="G64" s="12">
        <f t="shared" si="3"/>
        <v>0</v>
      </c>
    </row>
    <row r="65" spans="1:7">
      <c r="A65" s="12">
        <v>30</v>
      </c>
      <c r="B65" s="12"/>
      <c r="C65" s="12">
        <f t="shared" si="0"/>
        <v>0</v>
      </c>
      <c r="D65" s="12">
        <f t="shared" si="1"/>
        <v>0</v>
      </c>
      <c r="E65" s="12">
        <f t="shared" si="2"/>
        <v>0</v>
      </c>
      <c r="F65" s="12">
        <f>E65/Calculation!K$4*1000</f>
        <v>0</v>
      </c>
      <c r="G65" s="12">
        <f t="shared" si="3"/>
        <v>0</v>
      </c>
    </row>
    <row r="66" spans="1:7">
      <c r="A66" s="12">
        <v>30.5</v>
      </c>
      <c r="B66" s="12"/>
      <c r="C66" s="12">
        <f t="shared" si="0"/>
        <v>0</v>
      </c>
      <c r="D66" s="12">
        <f t="shared" si="1"/>
        <v>0</v>
      </c>
      <c r="E66" s="12">
        <f t="shared" si="2"/>
        <v>0</v>
      </c>
      <c r="F66" s="12">
        <f>E66/Calculation!K$20*1000</f>
        <v>0</v>
      </c>
      <c r="G66" s="12">
        <f t="shared" si="3"/>
        <v>0</v>
      </c>
    </row>
    <row r="67" spans="1:7">
      <c r="A67" s="12">
        <v>31</v>
      </c>
      <c r="B67" s="12"/>
      <c r="C67" s="12">
        <f t="shared" si="0"/>
        <v>0</v>
      </c>
      <c r="D67" s="12">
        <f t="shared" si="1"/>
        <v>0</v>
      </c>
      <c r="E67" s="12">
        <f t="shared" si="2"/>
        <v>0</v>
      </c>
      <c r="F67" s="12">
        <f>E67/Calculation!K$20*1000</f>
        <v>0</v>
      </c>
      <c r="G67" s="12">
        <f t="shared" si="3"/>
        <v>0</v>
      </c>
    </row>
    <row r="68" spans="1:7">
      <c r="A68" s="12">
        <v>31.5</v>
      </c>
      <c r="B68" s="12"/>
      <c r="C68" s="12">
        <f t="shared" si="0"/>
        <v>0</v>
      </c>
      <c r="D68" s="12">
        <f t="shared" si="1"/>
        <v>0</v>
      </c>
      <c r="E68" s="12">
        <f t="shared" si="2"/>
        <v>0</v>
      </c>
      <c r="F68" s="12">
        <f>E68/Calculation!K$20*1000</f>
        <v>0</v>
      </c>
      <c r="G68" s="12">
        <f t="shared" si="3"/>
        <v>0</v>
      </c>
    </row>
    <row r="69" spans="1:7">
      <c r="A69" s="12">
        <v>32</v>
      </c>
      <c r="B69" s="12"/>
      <c r="C69" s="12">
        <f t="shared" si="0"/>
        <v>0</v>
      </c>
      <c r="D69" s="12">
        <f t="shared" si="1"/>
        <v>0</v>
      </c>
      <c r="E69" s="12">
        <f t="shared" si="2"/>
        <v>0</v>
      </c>
      <c r="F69" s="12">
        <f>E69/Calculation!K$20*1000</f>
        <v>0</v>
      </c>
      <c r="G69" s="12">
        <f t="shared" si="3"/>
        <v>0</v>
      </c>
    </row>
    <row r="70" spans="1:7">
      <c r="A70" s="12">
        <v>32.5</v>
      </c>
      <c r="B70" s="12"/>
      <c r="C70" s="12">
        <f t="shared" ref="C70:C101" si="4">B70/1000</f>
        <v>0</v>
      </c>
      <c r="D70" s="12">
        <f t="shared" ref="D70:D101" si="5">C70/1000*$B$1</f>
        <v>0</v>
      </c>
      <c r="E70" s="12">
        <f t="shared" ref="E70:E101" si="6">D70/22.4</f>
        <v>0</v>
      </c>
      <c r="F70" s="12">
        <f>E70/Calculation!K$20*1000</f>
        <v>0</v>
      </c>
      <c r="G70" s="12">
        <f t="shared" si="3"/>
        <v>0</v>
      </c>
    </row>
    <row r="71" spans="1:7">
      <c r="A71" s="12">
        <v>33</v>
      </c>
      <c r="B71" s="12"/>
      <c r="C71" s="12">
        <f t="shared" si="4"/>
        <v>0</v>
      </c>
      <c r="D71" s="12">
        <f t="shared" si="5"/>
        <v>0</v>
      </c>
      <c r="E71" s="12">
        <f t="shared" si="6"/>
        <v>0</v>
      </c>
      <c r="F71" s="12">
        <f>E71/Calculation!K$20*1000</f>
        <v>0</v>
      </c>
      <c r="G71" s="12">
        <f t="shared" ref="G71:G101" si="7">G70+(F71+F70)/2*30</f>
        <v>0</v>
      </c>
    </row>
    <row r="72" spans="1:7">
      <c r="A72" s="12">
        <v>33.5</v>
      </c>
      <c r="B72" s="12"/>
      <c r="C72" s="12">
        <f t="shared" si="4"/>
        <v>0</v>
      </c>
      <c r="D72" s="12">
        <f t="shared" si="5"/>
        <v>0</v>
      </c>
      <c r="E72" s="12">
        <f t="shared" si="6"/>
        <v>0</v>
      </c>
      <c r="F72" s="12">
        <f>E72/Calculation!K$20*1000</f>
        <v>0</v>
      </c>
      <c r="G72" s="12">
        <f t="shared" si="7"/>
        <v>0</v>
      </c>
    </row>
    <row r="73" spans="1:7">
      <c r="A73" s="12">
        <v>34</v>
      </c>
      <c r="B73" s="12"/>
      <c r="C73" s="12">
        <f t="shared" si="4"/>
        <v>0</v>
      </c>
      <c r="D73" s="12">
        <f t="shared" si="5"/>
        <v>0</v>
      </c>
      <c r="E73" s="12">
        <f t="shared" si="6"/>
        <v>0</v>
      </c>
      <c r="F73" s="12">
        <f>E73/Calculation!K$20*1000</f>
        <v>0</v>
      </c>
      <c r="G73" s="12">
        <f t="shared" si="7"/>
        <v>0</v>
      </c>
    </row>
    <row r="74" spans="1:7">
      <c r="A74" s="12">
        <v>34.5</v>
      </c>
      <c r="B74" s="12"/>
      <c r="C74" s="12">
        <f t="shared" si="4"/>
        <v>0</v>
      </c>
      <c r="D74" s="12">
        <f t="shared" si="5"/>
        <v>0</v>
      </c>
      <c r="E74" s="12">
        <f t="shared" si="6"/>
        <v>0</v>
      </c>
      <c r="F74" s="12">
        <f>E74/Calculation!K$20*1000</f>
        <v>0</v>
      </c>
      <c r="G74" s="12">
        <f t="shared" si="7"/>
        <v>0</v>
      </c>
    </row>
    <row r="75" spans="1:7">
      <c r="A75" s="12">
        <v>35</v>
      </c>
      <c r="B75" s="12"/>
      <c r="C75" s="12">
        <f t="shared" si="4"/>
        <v>0</v>
      </c>
      <c r="D75" s="12">
        <f t="shared" si="5"/>
        <v>0</v>
      </c>
      <c r="E75" s="12">
        <f t="shared" si="6"/>
        <v>0</v>
      </c>
      <c r="F75" s="12">
        <f>E75/Calculation!K$20*1000</f>
        <v>0</v>
      </c>
      <c r="G75" s="12">
        <f t="shared" si="7"/>
        <v>0</v>
      </c>
    </row>
    <row r="76" spans="1:7">
      <c r="A76" s="12">
        <v>35.5</v>
      </c>
      <c r="B76" s="12"/>
      <c r="C76" s="12">
        <f t="shared" si="4"/>
        <v>0</v>
      </c>
      <c r="D76" s="12">
        <f t="shared" si="5"/>
        <v>0</v>
      </c>
      <c r="E76" s="12">
        <f t="shared" si="6"/>
        <v>0</v>
      </c>
      <c r="F76" s="12">
        <f>E76/Calculation!K$20*1000</f>
        <v>0</v>
      </c>
      <c r="G76" s="12">
        <f t="shared" si="7"/>
        <v>0</v>
      </c>
    </row>
    <row r="77" spans="1:7">
      <c r="A77" s="12">
        <v>36</v>
      </c>
      <c r="B77" s="12"/>
      <c r="C77" s="12">
        <f t="shared" si="4"/>
        <v>0</v>
      </c>
      <c r="D77" s="12">
        <f t="shared" si="5"/>
        <v>0</v>
      </c>
      <c r="E77" s="12">
        <f t="shared" si="6"/>
        <v>0</v>
      </c>
      <c r="F77" s="12">
        <f>E77/Calculation!K$20*1000</f>
        <v>0</v>
      </c>
      <c r="G77" s="12">
        <f t="shared" si="7"/>
        <v>0</v>
      </c>
    </row>
    <row r="78" spans="1:7">
      <c r="A78" s="12">
        <v>36.5</v>
      </c>
      <c r="B78" s="12"/>
      <c r="C78" s="12">
        <f t="shared" si="4"/>
        <v>0</v>
      </c>
      <c r="D78" s="12">
        <f t="shared" si="5"/>
        <v>0</v>
      </c>
      <c r="E78" s="12">
        <f t="shared" si="6"/>
        <v>0</v>
      </c>
      <c r="F78" s="12">
        <f>E78/Calculation!K$20*1000</f>
        <v>0</v>
      </c>
      <c r="G78" s="12">
        <f t="shared" si="7"/>
        <v>0</v>
      </c>
    </row>
    <row r="79" spans="1:7">
      <c r="A79" s="12">
        <v>37</v>
      </c>
      <c r="B79" s="12"/>
      <c r="C79" s="12">
        <f t="shared" si="4"/>
        <v>0</v>
      </c>
      <c r="D79" s="12">
        <f t="shared" si="5"/>
        <v>0</v>
      </c>
      <c r="E79" s="12">
        <f t="shared" si="6"/>
        <v>0</v>
      </c>
      <c r="F79" s="12">
        <f>E79/Calculation!K$20*1000</f>
        <v>0</v>
      </c>
      <c r="G79" s="12">
        <f t="shared" si="7"/>
        <v>0</v>
      </c>
    </row>
    <row r="80" spans="1:7">
      <c r="A80" s="12">
        <v>37.5</v>
      </c>
      <c r="B80" s="12"/>
      <c r="C80" s="12">
        <f t="shared" si="4"/>
        <v>0</v>
      </c>
      <c r="D80" s="12">
        <f t="shared" si="5"/>
        <v>0</v>
      </c>
      <c r="E80" s="12">
        <f t="shared" si="6"/>
        <v>0</v>
      </c>
      <c r="F80" s="12">
        <f>E80/Calculation!K$20*1000</f>
        <v>0</v>
      </c>
      <c r="G80" s="12">
        <f t="shared" si="7"/>
        <v>0</v>
      </c>
    </row>
    <row r="81" spans="1:7">
      <c r="A81" s="12">
        <v>38</v>
      </c>
      <c r="B81" s="12"/>
      <c r="C81" s="12">
        <f t="shared" si="4"/>
        <v>0</v>
      </c>
      <c r="D81" s="12">
        <f t="shared" si="5"/>
        <v>0</v>
      </c>
      <c r="E81" s="12">
        <f t="shared" si="6"/>
        <v>0</v>
      </c>
      <c r="F81" s="12">
        <f>E81/Calculation!K$20*1000</f>
        <v>0</v>
      </c>
      <c r="G81" s="12">
        <f t="shared" si="7"/>
        <v>0</v>
      </c>
    </row>
    <row r="82" spans="1:7">
      <c r="A82" s="12">
        <v>38.5</v>
      </c>
      <c r="B82" s="12"/>
      <c r="C82" s="12">
        <f t="shared" si="4"/>
        <v>0</v>
      </c>
      <c r="D82" s="12">
        <f t="shared" si="5"/>
        <v>0</v>
      </c>
      <c r="E82" s="12">
        <f t="shared" si="6"/>
        <v>0</v>
      </c>
      <c r="F82" s="12">
        <f>E82/Calculation!K$20*1000</f>
        <v>0</v>
      </c>
      <c r="G82" s="12">
        <f t="shared" si="7"/>
        <v>0</v>
      </c>
    </row>
    <row r="83" spans="1:7">
      <c r="A83" s="12">
        <v>39</v>
      </c>
      <c r="B83" s="12"/>
      <c r="C83" s="12">
        <f t="shared" si="4"/>
        <v>0</v>
      </c>
      <c r="D83" s="12">
        <f t="shared" si="5"/>
        <v>0</v>
      </c>
      <c r="E83" s="12">
        <f t="shared" si="6"/>
        <v>0</v>
      </c>
      <c r="F83" s="12">
        <f>E83/Calculation!K$20*1000</f>
        <v>0</v>
      </c>
      <c r="G83" s="12">
        <f t="shared" si="7"/>
        <v>0</v>
      </c>
    </row>
    <row r="84" spans="1:7">
      <c r="A84" s="12">
        <v>39.5</v>
      </c>
      <c r="B84" s="12"/>
      <c r="C84" s="12">
        <f t="shared" si="4"/>
        <v>0</v>
      </c>
      <c r="D84" s="12">
        <f t="shared" si="5"/>
        <v>0</v>
      </c>
      <c r="E84" s="12">
        <f t="shared" si="6"/>
        <v>0</v>
      </c>
      <c r="F84" s="12">
        <f>E84/Calculation!K$20*1000</f>
        <v>0</v>
      </c>
      <c r="G84" s="12">
        <f t="shared" si="7"/>
        <v>0</v>
      </c>
    </row>
    <row r="85" spans="1:7">
      <c r="A85" s="12">
        <v>40</v>
      </c>
      <c r="B85" s="12"/>
      <c r="C85" s="12">
        <f t="shared" si="4"/>
        <v>0</v>
      </c>
      <c r="D85" s="12">
        <f t="shared" si="5"/>
        <v>0</v>
      </c>
      <c r="E85" s="12">
        <f t="shared" si="6"/>
        <v>0</v>
      </c>
      <c r="F85" s="12">
        <f>E85/Calculation!K$20*1000</f>
        <v>0</v>
      </c>
      <c r="G85" s="12">
        <f t="shared" si="7"/>
        <v>0</v>
      </c>
    </row>
    <row r="86" spans="1:7">
      <c r="A86" s="12">
        <v>40.5</v>
      </c>
      <c r="B86" s="12"/>
      <c r="C86" s="12">
        <f t="shared" si="4"/>
        <v>0</v>
      </c>
      <c r="D86" s="12">
        <f t="shared" si="5"/>
        <v>0</v>
      </c>
      <c r="E86" s="12">
        <f t="shared" si="6"/>
        <v>0</v>
      </c>
      <c r="F86" s="12">
        <f>E86/Calculation!K$20*1000</f>
        <v>0</v>
      </c>
      <c r="G86" s="12">
        <f t="shared" si="7"/>
        <v>0</v>
      </c>
    </row>
    <row r="87" spans="1:7">
      <c r="A87" s="12">
        <v>41</v>
      </c>
      <c r="B87" s="12"/>
      <c r="C87" s="12">
        <f t="shared" si="4"/>
        <v>0</v>
      </c>
      <c r="D87" s="12">
        <f t="shared" si="5"/>
        <v>0</v>
      </c>
      <c r="E87" s="12">
        <f t="shared" si="6"/>
        <v>0</v>
      </c>
      <c r="F87" s="12">
        <f>E87/Calculation!K$20*1000</f>
        <v>0</v>
      </c>
      <c r="G87" s="12">
        <f t="shared" si="7"/>
        <v>0</v>
      </c>
    </row>
    <row r="88" spans="1:7">
      <c r="A88" s="12">
        <v>41.5</v>
      </c>
      <c r="B88" s="12"/>
      <c r="C88" s="12">
        <f t="shared" si="4"/>
        <v>0</v>
      </c>
      <c r="D88" s="12">
        <f t="shared" si="5"/>
        <v>0</v>
      </c>
      <c r="E88" s="12">
        <f t="shared" si="6"/>
        <v>0</v>
      </c>
      <c r="F88" s="12">
        <f>E88/Calculation!K$20*1000</f>
        <v>0</v>
      </c>
      <c r="G88" s="12">
        <f t="shared" si="7"/>
        <v>0</v>
      </c>
    </row>
    <row r="89" spans="1:7">
      <c r="A89" s="12">
        <v>42</v>
      </c>
      <c r="B89" s="12"/>
      <c r="C89" s="12">
        <f t="shared" si="4"/>
        <v>0</v>
      </c>
      <c r="D89" s="12">
        <f t="shared" si="5"/>
        <v>0</v>
      </c>
      <c r="E89" s="12">
        <f t="shared" si="6"/>
        <v>0</v>
      </c>
      <c r="F89" s="12">
        <f>E89/Calculation!K$20*1000</f>
        <v>0</v>
      </c>
      <c r="G89" s="12">
        <f t="shared" si="7"/>
        <v>0</v>
      </c>
    </row>
    <row r="90" spans="1:7">
      <c r="A90" s="12">
        <v>42.5</v>
      </c>
      <c r="B90" s="12"/>
      <c r="C90" s="12">
        <f t="shared" si="4"/>
        <v>0</v>
      </c>
      <c r="D90" s="12">
        <f t="shared" si="5"/>
        <v>0</v>
      </c>
      <c r="E90" s="12">
        <f t="shared" si="6"/>
        <v>0</v>
      </c>
      <c r="F90" s="12">
        <f>E90/Calculation!K$20*1000</f>
        <v>0</v>
      </c>
      <c r="G90" s="12">
        <f t="shared" si="7"/>
        <v>0</v>
      </c>
    </row>
    <row r="91" spans="1:7">
      <c r="A91" s="12">
        <v>43</v>
      </c>
      <c r="B91" s="12"/>
      <c r="C91" s="12">
        <f t="shared" si="4"/>
        <v>0</v>
      </c>
      <c r="D91" s="12">
        <f t="shared" si="5"/>
        <v>0</v>
      </c>
      <c r="E91" s="12">
        <f t="shared" si="6"/>
        <v>0</v>
      </c>
      <c r="F91" s="12">
        <f>E91/Calculation!K$20*1000</f>
        <v>0</v>
      </c>
      <c r="G91" s="12">
        <f t="shared" si="7"/>
        <v>0</v>
      </c>
    </row>
    <row r="92" spans="1:7">
      <c r="A92" s="12">
        <v>43.5</v>
      </c>
      <c r="B92" s="12"/>
      <c r="C92" s="12">
        <f t="shared" si="4"/>
        <v>0</v>
      </c>
      <c r="D92" s="12">
        <f t="shared" si="5"/>
        <v>0</v>
      </c>
      <c r="E92" s="12">
        <f t="shared" si="6"/>
        <v>0</v>
      </c>
      <c r="F92" s="12">
        <f>E92/Calculation!K$20*1000</f>
        <v>0</v>
      </c>
      <c r="G92" s="12">
        <f t="shared" si="7"/>
        <v>0</v>
      </c>
    </row>
    <row r="93" spans="1:7">
      <c r="A93" s="12">
        <v>44</v>
      </c>
      <c r="B93" s="12"/>
      <c r="C93" s="12">
        <f t="shared" si="4"/>
        <v>0</v>
      </c>
      <c r="D93" s="12">
        <f t="shared" si="5"/>
        <v>0</v>
      </c>
      <c r="E93" s="12">
        <f t="shared" si="6"/>
        <v>0</v>
      </c>
      <c r="F93" s="12">
        <f>E93/Calculation!K$20*1000</f>
        <v>0</v>
      </c>
      <c r="G93" s="12">
        <f t="shared" si="7"/>
        <v>0</v>
      </c>
    </row>
    <row r="94" spans="1:7">
      <c r="A94" s="12">
        <v>44.5</v>
      </c>
      <c r="B94" s="12"/>
      <c r="C94" s="12">
        <f t="shared" si="4"/>
        <v>0</v>
      </c>
      <c r="D94" s="12">
        <f t="shared" si="5"/>
        <v>0</v>
      </c>
      <c r="E94" s="12">
        <f t="shared" si="6"/>
        <v>0</v>
      </c>
      <c r="F94" s="12">
        <f>E94/Calculation!K$20*1000</f>
        <v>0</v>
      </c>
      <c r="G94" s="12">
        <f t="shared" si="7"/>
        <v>0</v>
      </c>
    </row>
    <row r="95" spans="1:7">
      <c r="A95" s="12">
        <v>45</v>
      </c>
      <c r="B95" s="12"/>
      <c r="C95" s="12">
        <f t="shared" si="4"/>
        <v>0</v>
      </c>
      <c r="D95" s="12">
        <f t="shared" si="5"/>
        <v>0</v>
      </c>
      <c r="E95" s="12">
        <f t="shared" si="6"/>
        <v>0</v>
      </c>
      <c r="F95" s="12">
        <f>E95/Calculation!K$20*1000</f>
        <v>0</v>
      </c>
      <c r="G95" s="12">
        <f t="shared" si="7"/>
        <v>0</v>
      </c>
    </row>
    <row r="96" spans="1:7">
      <c r="A96" s="12">
        <v>45.5</v>
      </c>
      <c r="B96" s="12"/>
      <c r="C96" s="12">
        <f t="shared" si="4"/>
        <v>0</v>
      </c>
      <c r="D96" s="12">
        <f t="shared" si="5"/>
        <v>0</v>
      </c>
      <c r="E96" s="12">
        <f t="shared" si="6"/>
        <v>0</v>
      </c>
      <c r="F96" s="12">
        <f>E96/Calculation!K$20*1000</f>
        <v>0</v>
      </c>
      <c r="G96" s="12">
        <f t="shared" si="7"/>
        <v>0</v>
      </c>
    </row>
    <row r="97" spans="1:7">
      <c r="A97" s="12">
        <v>46</v>
      </c>
      <c r="B97" s="12"/>
      <c r="C97" s="12">
        <f t="shared" si="4"/>
        <v>0</v>
      </c>
      <c r="D97" s="12">
        <f t="shared" si="5"/>
        <v>0</v>
      </c>
      <c r="E97" s="12">
        <f t="shared" si="6"/>
        <v>0</v>
      </c>
      <c r="F97" s="12">
        <f>E97/Calculation!K$20*1000</f>
        <v>0</v>
      </c>
      <c r="G97" s="12">
        <f t="shared" si="7"/>
        <v>0</v>
      </c>
    </row>
    <row r="98" spans="1:7">
      <c r="A98" s="12">
        <v>46.5</v>
      </c>
      <c r="B98" s="12"/>
      <c r="C98" s="12">
        <f t="shared" si="4"/>
        <v>0</v>
      </c>
      <c r="D98" s="12">
        <f t="shared" si="5"/>
        <v>0</v>
      </c>
      <c r="E98" s="12">
        <f t="shared" si="6"/>
        <v>0</v>
      </c>
      <c r="F98" s="12">
        <f>E98/Calculation!K$20*1000</f>
        <v>0</v>
      </c>
      <c r="G98" s="12">
        <f t="shared" si="7"/>
        <v>0</v>
      </c>
    </row>
    <row r="99" spans="1:7">
      <c r="A99" s="12">
        <v>47</v>
      </c>
      <c r="B99" s="12"/>
      <c r="C99" s="12">
        <f t="shared" si="4"/>
        <v>0</v>
      </c>
      <c r="D99" s="12">
        <f t="shared" si="5"/>
        <v>0</v>
      </c>
      <c r="E99" s="12">
        <f t="shared" si="6"/>
        <v>0</v>
      </c>
      <c r="F99" s="12">
        <f>E99/Calculation!K$20*1000</f>
        <v>0</v>
      </c>
      <c r="G99" s="12">
        <f t="shared" si="7"/>
        <v>0</v>
      </c>
    </row>
    <row r="100" spans="1:7">
      <c r="A100" s="12">
        <v>47.5</v>
      </c>
      <c r="B100" s="12"/>
      <c r="C100" s="12">
        <f t="shared" si="4"/>
        <v>0</v>
      </c>
      <c r="D100" s="12">
        <f t="shared" si="5"/>
        <v>0</v>
      </c>
      <c r="E100" s="12">
        <f t="shared" si="6"/>
        <v>0</v>
      </c>
      <c r="F100" s="12">
        <f>E100/Calculation!K$20*1000</f>
        <v>0</v>
      </c>
      <c r="G100" s="12">
        <f t="shared" si="7"/>
        <v>0</v>
      </c>
    </row>
    <row r="101" spans="1:7">
      <c r="A101" s="12">
        <v>48</v>
      </c>
      <c r="B101" s="12"/>
      <c r="C101" s="12">
        <f t="shared" si="4"/>
        <v>0</v>
      </c>
      <c r="D101" s="12">
        <f t="shared" si="5"/>
        <v>0</v>
      </c>
      <c r="E101" s="12">
        <f t="shared" si="6"/>
        <v>0</v>
      </c>
      <c r="F101" s="12">
        <f>E101/Calculation!K$21*1000</f>
        <v>0</v>
      </c>
      <c r="G101" s="12">
        <f t="shared" si="7"/>
        <v>0</v>
      </c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Fermentation</vt:lpstr>
      <vt:lpstr>Calculation</vt:lpstr>
      <vt:lpstr>Plate Count</vt:lpstr>
      <vt:lpstr>Flow cytometer</vt:lpstr>
      <vt:lpstr>Calibration F. prausnitzii</vt:lpstr>
      <vt:lpstr>Determination cell count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2016-04-13T16:16:13Z</dcterms:modified>
</cp:coreProperties>
</file>