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520" windowHeight="16020" tabRatio="930" firstSheet="5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5" r:id="rId5"/>
    <sheet name="Determination cell count" sheetId="26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4" r:id="rId20"/>
    <sheet name="Carbon recovery" sheetId="23" r:id="rId21"/>
  </sheets>
  <externalReferences>
    <externalReference r:id="rId22"/>
  </externalReference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3" i="26" l="1"/>
  <c r="AD4" i="26"/>
  <c r="AC13" i="26"/>
  <c r="X13" i="26"/>
  <c r="AE5" i="26"/>
  <c r="AE6" i="26"/>
  <c r="AE7" i="26"/>
  <c r="AE8" i="26"/>
  <c r="AE9" i="26"/>
  <c r="AE10" i="26"/>
  <c r="AE11" i="26"/>
  <c r="AE12" i="26"/>
  <c r="AE13" i="26"/>
  <c r="AE14" i="26"/>
  <c r="AE15" i="26"/>
  <c r="AE16" i="26"/>
  <c r="AE17" i="26"/>
  <c r="AE18" i="26"/>
  <c r="AE19" i="26"/>
  <c r="AE20" i="26"/>
  <c r="AE21" i="26"/>
  <c r="AE4" i="26"/>
  <c r="AD5" i="26"/>
  <c r="AD6" i="26"/>
  <c r="AD7" i="26"/>
  <c r="AD8" i="26"/>
  <c r="AD9" i="26"/>
  <c r="AD10" i="26"/>
  <c r="AD11" i="26"/>
  <c r="AD12" i="26"/>
  <c r="AD14" i="26"/>
  <c r="AD15" i="26"/>
  <c r="AD16" i="26"/>
  <c r="AD17" i="26"/>
  <c r="AD18" i="26"/>
  <c r="AD19" i="26"/>
  <c r="AD20" i="26"/>
  <c r="AD21" i="26"/>
  <c r="AC5" i="26"/>
  <c r="AC6" i="26"/>
  <c r="AC7" i="26"/>
  <c r="AC8" i="26"/>
  <c r="AC9" i="26"/>
  <c r="AC10" i="26"/>
  <c r="AC11" i="26"/>
  <c r="AC12" i="26"/>
  <c r="AC14" i="26"/>
  <c r="AC15" i="26"/>
  <c r="AC16" i="26"/>
  <c r="AC17" i="26"/>
  <c r="AC18" i="26"/>
  <c r="AC19" i="26"/>
  <c r="AC20" i="26"/>
  <c r="AC21" i="26"/>
  <c r="X5" i="26"/>
  <c r="X6" i="26"/>
  <c r="X7" i="26"/>
  <c r="X8" i="26"/>
  <c r="X9" i="26"/>
  <c r="X10" i="26"/>
  <c r="X11" i="26"/>
  <c r="X12" i="26"/>
  <c r="X14" i="26"/>
  <c r="X15" i="26"/>
  <c r="X16" i="26"/>
  <c r="X17" i="26"/>
  <c r="X18" i="26"/>
  <c r="X19" i="26"/>
  <c r="X20" i="26"/>
  <c r="X21" i="26"/>
  <c r="X4" i="26"/>
  <c r="Q51" i="26"/>
  <c r="P51" i="26"/>
  <c r="S49" i="26"/>
  <c r="S50" i="26"/>
  <c r="S51" i="26"/>
  <c r="H52" i="26"/>
  <c r="K52" i="26"/>
  <c r="I52" i="26"/>
  <c r="L52" i="26"/>
  <c r="J52" i="26"/>
  <c r="M52" i="26"/>
  <c r="O52" i="26"/>
  <c r="S52" i="26"/>
  <c r="H53" i="26"/>
  <c r="K53" i="26"/>
  <c r="I53" i="26"/>
  <c r="L53" i="26"/>
  <c r="J53" i="26"/>
  <c r="M53" i="26"/>
  <c r="O53" i="26"/>
  <c r="S53" i="26"/>
  <c r="H54" i="26"/>
  <c r="K54" i="26"/>
  <c r="I54" i="26"/>
  <c r="L54" i="26"/>
  <c r="J54" i="26"/>
  <c r="M54" i="26"/>
  <c r="O54" i="26"/>
  <c r="S54" i="26"/>
  <c r="H55" i="26"/>
  <c r="K55" i="26"/>
  <c r="I55" i="26"/>
  <c r="L55" i="26"/>
  <c r="J55" i="26"/>
  <c r="M55" i="26"/>
  <c r="O55" i="26"/>
  <c r="S55" i="26"/>
  <c r="H56" i="26"/>
  <c r="K56" i="26"/>
  <c r="I56" i="26"/>
  <c r="L56" i="26"/>
  <c r="J56" i="26"/>
  <c r="M56" i="26"/>
  <c r="O56" i="26"/>
  <c r="S56" i="26"/>
  <c r="H57" i="26"/>
  <c r="K57" i="26"/>
  <c r="I57" i="26"/>
  <c r="L57" i="26"/>
  <c r="J57" i="26"/>
  <c r="M57" i="26"/>
  <c r="O57" i="26"/>
  <c r="S57" i="26"/>
  <c r="H58" i="26"/>
  <c r="K58" i="26"/>
  <c r="I58" i="26"/>
  <c r="L58" i="26"/>
  <c r="J58" i="26"/>
  <c r="M58" i="26"/>
  <c r="O58" i="26"/>
  <c r="S58" i="26"/>
  <c r="H59" i="26"/>
  <c r="K59" i="26"/>
  <c r="I59" i="26"/>
  <c r="L59" i="26"/>
  <c r="J59" i="26"/>
  <c r="M59" i="26"/>
  <c r="O59" i="26"/>
  <c r="S59" i="26"/>
  <c r="H60" i="26"/>
  <c r="K60" i="26"/>
  <c r="I60" i="26"/>
  <c r="L60" i="26"/>
  <c r="J60" i="26"/>
  <c r="M60" i="26"/>
  <c r="O60" i="26"/>
  <c r="S60" i="26"/>
  <c r="H61" i="26"/>
  <c r="K61" i="26"/>
  <c r="I61" i="26"/>
  <c r="L61" i="26"/>
  <c r="J61" i="26"/>
  <c r="M61" i="26"/>
  <c r="O61" i="26"/>
  <c r="S61" i="26"/>
  <c r="H62" i="26"/>
  <c r="K62" i="26"/>
  <c r="I62" i="26"/>
  <c r="L62" i="26"/>
  <c r="J62" i="26"/>
  <c r="M62" i="26"/>
  <c r="O62" i="26"/>
  <c r="S62" i="26"/>
  <c r="H63" i="26"/>
  <c r="K63" i="26"/>
  <c r="I63" i="26"/>
  <c r="L63" i="26"/>
  <c r="J63" i="26"/>
  <c r="M63" i="26"/>
  <c r="O63" i="26"/>
  <c r="S63" i="26"/>
  <c r="H64" i="26"/>
  <c r="K64" i="26"/>
  <c r="I64" i="26"/>
  <c r="L64" i="26"/>
  <c r="J64" i="26"/>
  <c r="M64" i="26"/>
  <c r="O64" i="26"/>
  <c r="S64" i="26"/>
  <c r="H65" i="26"/>
  <c r="K65" i="26"/>
  <c r="I65" i="26"/>
  <c r="L65" i="26"/>
  <c r="J65" i="26"/>
  <c r="M65" i="26"/>
  <c r="O65" i="26"/>
  <c r="S65" i="26"/>
  <c r="S48" i="26"/>
  <c r="Q49" i="26"/>
  <c r="Q50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48" i="26"/>
  <c r="P49" i="26"/>
  <c r="P50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48" i="26"/>
  <c r="O51" i="26"/>
  <c r="N51" i="26"/>
  <c r="I50" i="26"/>
  <c r="J50" i="26"/>
  <c r="I51" i="26"/>
  <c r="J51" i="26"/>
  <c r="H51" i="26"/>
  <c r="N64" i="26"/>
  <c r="H50" i="26"/>
  <c r="H49" i="26"/>
  <c r="I49" i="26"/>
  <c r="J49" i="26"/>
  <c r="I48" i="26"/>
  <c r="J48" i="26"/>
  <c r="H48" i="26"/>
  <c r="Q33" i="26"/>
  <c r="P33" i="26"/>
  <c r="O33" i="26"/>
  <c r="N33" i="26"/>
  <c r="H27" i="26"/>
  <c r="K27" i="26"/>
  <c r="I27" i="26"/>
  <c r="L27" i="26"/>
  <c r="J27" i="26"/>
  <c r="M27" i="26"/>
  <c r="O27" i="26"/>
  <c r="S27" i="26"/>
  <c r="H28" i="26"/>
  <c r="K28" i="26"/>
  <c r="I28" i="26"/>
  <c r="L28" i="26"/>
  <c r="J28" i="26"/>
  <c r="M28" i="26"/>
  <c r="O28" i="26"/>
  <c r="S28" i="26"/>
  <c r="H29" i="26"/>
  <c r="K29" i="26"/>
  <c r="I29" i="26"/>
  <c r="L29" i="26"/>
  <c r="J29" i="26"/>
  <c r="M29" i="26"/>
  <c r="O29" i="26"/>
  <c r="S29" i="26"/>
  <c r="H30" i="26"/>
  <c r="K30" i="26"/>
  <c r="I30" i="26"/>
  <c r="L30" i="26"/>
  <c r="J30" i="26"/>
  <c r="M30" i="26"/>
  <c r="O30" i="26"/>
  <c r="S30" i="26"/>
  <c r="H31" i="26"/>
  <c r="K31" i="26"/>
  <c r="I31" i="26"/>
  <c r="L31" i="26"/>
  <c r="J31" i="26"/>
  <c r="M31" i="26"/>
  <c r="O31" i="26"/>
  <c r="S31" i="26"/>
  <c r="H32" i="26"/>
  <c r="K32" i="26"/>
  <c r="I32" i="26"/>
  <c r="L32" i="26"/>
  <c r="J32" i="26"/>
  <c r="M32" i="26"/>
  <c r="O32" i="26"/>
  <c r="S32" i="26"/>
  <c r="H33" i="26"/>
  <c r="K33" i="26"/>
  <c r="I33" i="26"/>
  <c r="L33" i="26"/>
  <c r="J33" i="26"/>
  <c r="M33" i="26"/>
  <c r="S33" i="26"/>
  <c r="H34" i="26"/>
  <c r="K34" i="26"/>
  <c r="I34" i="26"/>
  <c r="L34" i="26"/>
  <c r="J34" i="26"/>
  <c r="M34" i="26"/>
  <c r="O34" i="26"/>
  <c r="S34" i="26"/>
  <c r="H35" i="26"/>
  <c r="K35" i="26"/>
  <c r="I35" i="26"/>
  <c r="L35" i="26"/>
  <c r="J35" i="26"/>
  <c r="M35" i="26"/>
  <c r="O35" i="26"/>
  <c r="S35" i="26"/>
  <c r="H36" i="26"/>
  <c r="K36" i="26"/>
  <c r="I36" i="26"/>
  <c r="L36" i="26"/>
  <c r="J36" i="26"/>
  <c r="M36" i="26"/>
  <c r="O36" i="26"/>
  <c r="S36" i="26"/>
  <c r="H37" i="26"/>
  <c r="K37" i="26"/>
  <c r="I37" i="26"/>
  <c r="L37" i="26"/>
  <c r="J37" i="26"/>
  <c r="M37" i="26"/>
  <c r="O37" i="26"/>
  <c r="S37" i="26"/>
  <c r="H38" i="26"/>
  <c r="K38" i="26"/>
  <c r="I38" i="26"/>
  <c r="L38" i="26"/>
  <c r="J38" i="26"/>
  <c r="M38" i="26"/>
  <c r="O38" i="26"/>
  <c r="S38" i="26"/>
  <c r="H39" i="26"/>
  <c r="K39" i="26"/>
  <c r="I39" i="26"/>
  <c r="L39" i="26"/>
  <c r="J39" i="26"/>
  <c r="M39" i="26"/>
  <c r="O39" i="26"/>
  <c r="S39" i="26"/>
  <c r="H40" i="26"/>
  <c r="K40" i="26"/>
  <c r="I40" i="26"/>
  <c r="L40" i="26"/>
  <c r="J40" i="26"/>
  <c r="M40" i="26"/>
  <c r="O40" i="26"/>
  <c r="S40" i="26"/>
  <c r="H41" i="26"/>
  <c r="K41" i="26"/>
  <c r="I41" i="26"/>
  <c r="L41" i="26"/>
  <c r="J41" i="26"/>
  <c r="M41" i="26"/>
  <c r="O41" i="26"/>
  <c r="S41" i="26"/>
  <c r="H42" i="26"/>
  <c r="K42" i="26"/>
  <c r="I42" i="26"/>
  <c r="L42" i="26"/>
  <c r="J42" i="26"/>
  <c r="M42" i="26"/>
  <c r="O42" i="26"/>
  <c r="S42" i="26"/>
  <c r="H43" i="26"/>
  <c r="K43" i="26"/>
  <c r="I43" i="26"/>
  <c r="L43" i="26"/>
  <c r="J43" i="26"/>
  <c r="M43" i="26"/>
  <c r="O43" i="26"/>
  <c r="S43" i="26"/>
  <c r="H26" i="26"/>
  <c r="K26" i="26"/>
  <c r="I26" i="26"/>
  <c r="L26" i="26"/>
  <c r="J26" i="26"/>
  <c r="M26" i="26"/>
  <c r="O26" i="26"/>
  <c r="S26" i="26"/>
  <c r="Q27" i="26"/>
  <c r="Q28" i="26"/>
  <c r="Q29" i="26"/>
  <c r="Q30" i="26"/>
  <c r="Q31" i="26"/>
  <c r="Q32" i="26"/>
  <c r="Q34" i="26"/>
  <c r="Q35" i="26"/>
  <c r="Q36" i="26"/>
  <c r="Q37" i="26"/>
  <c r="Q38" i="26"/>
  <c r="Q39" i="26"/>
  <c r="Q40" i="26"/>
  <c r="Q41" i="26"/>
  <c r="Q42" i="26"/>
  <c r="Q43" i="26"/>
  <c r="Q26" i="26"/>
  <c r="P27" i="26"/>
  <c r="P28" i="26"/>
  <c r="P29" i="26"/>
  <c r="P30" i="26"/>
  <c r="P31" i="26"/>
  <c r="P32" i="26"/>
  <c r="P34" i="26"/>
  <c r="P35" i="26"/>
  <c r="P36" i="26"/>
  <c r="P37" i="26"/>
  <c r="P38" i="26"/>
  <c r="P39" i="26"/>
  <c r="P40" i="26"/>
  <c r="P41" i="26"/>
  <c r="P42" i="26"/>
  <c r="P43" i="26"/>
  <c r="P26" i="26"/>
  <c r="N42" i="26"/>
  <c r="N20" i="26"/>
  <c r="M20" i="26"/>
  <c r="I4" i="26"/>
  <c r="J4" i="26"/>
  <c r="I5" i="26"/>
  <c r="J5" i="26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4" i="26"/>
  <c r="H81" i="26"/>
  <c r="H82" i="26"/>
  <c r="H86" i="26"/>
  <c r="B71" i="26"/>
  <c r="B70" i="26"/>
  <c r="R65" i="26"/>
  <c r="N65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D65" i="26"/>
  <c r="R64" i="26"/>
  <c r="D64" i="26"/>
  <c r="R63" i="26"/>
  <c r="N63" i="26"/>
  <c r="D63" i="26"/>
  <c r="R62" i="26"/>
  <c r="N62" i="26"/>
  <c r="D62" i="26"/>
  <c r="R61" i="26"/>
  <c r="N61" i="26"/>
  <c r="D61" i="26"/>
  <c r="R60" i="26"/>
  <c r="N60" i="26"/>
  <c r="D60" i="26"/>
  <c r="R59" i="26"/>
  <c r="N59" i="26"/>
  <c r="D59" i="26"/>
  <c r="R58" i="26"/>
  <c r="N58" i="26"/>
  <c r="D58" i="26"/>
  <c r="R57" i="26"/>
  <c r="N57" i="26"/>
  <c r="D57" i="26"/>
  <c r="R56" i="26"/>
  <c r="N56" i="26"/>
  <c r="D56" i="26"/>
  <c r="R55" i="26"/>
  <c r="N55" i="26"/>
  <c r="D55" i="26"/>
  <c r="R54" i="26"/>
  <c r="N54" i="26"/>
  <c r="D54" i="26"/>
  <c r="R53" i="26"/>
  <c r="N53" i="26"/>
  <c r="D53" i="26"/>
  <c r="R52" i="26"/>
  <c r="N52" i="26"/>
  <c r="D52" i="26"/>
  <c r="K51" i="26"/>
  <c r="L51" i="26"/>
  <c r="M51" i="26"/>
  <c r="R51" i="26"/>
  <c r="D51" i="26"/>
  <c r="K50" i="26"/>
  <c r="L50" i="26"/>
  <c r="M50" i="26"/>
  <c r="O50" i="26"/>
  <c r="R50" i="26"/>
  <c r="N50" i="26"/>
  <c r="D50" i="26"/>
  <c r="K49" i="26"/>
  <c r="L49" i="26"/>
  <c r="M49" i="26"/>
  <c r="O49" i="26"/>
  <c r="R49" i="26"/>
  <c r="N49" i="26"/>
  <c r="D49" i="26"/>
  <c r="K48" i="26"/>
  <c r="L48" i="26"/>
  <c r="M48" i="26"/>
  <c r="O48" i="26"/>
  <c r="R48" i="26"/>
  <c r="N48" i="26"/>
  <c r="D48" i="26"/>
  <c r="H73" i="26"/>
  <c r="H74" i="26"/>
  <c r="H75" i="26"/>
  <c r="H76" i="26"/>
  <c r="H77" i="26"/>
  <c r="H78" i="26"/>
  <c r="H79" i="26"/>
  <c r="H80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AC4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48" i="25"/>
  <c r="F40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K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L8" i="25"/>
  <c r="O8" i="25"/>
  <c r="H8" i="25"/>
  <c r="K8" i="25"/>
  <c r="D8" i="25"/>
  <c r="G8" i="25"/>
  <c r="P8" i="25"/>
  <c r="R8" i="25"/>
  <c r="Q8" i="25"/>
  <c r="L7" i="25"/>
  <c r="O7" i="25"/>
  <c r="H7" i="25"/>
  <c r="K7" i="25"/>
  <c r="D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5" i="17"/>
  <c r="F46" i="17"/>
  <c r="F47" i="17"/>
  <c r="F48" i="17"/>
  <c r="F49" i="17"/>
  <c r="F50" i="17"/>
  <c r="F51" i="17"/>
  <c r="F52" i="17"/>
  <c r="F44" i="17"/>
  <c r="F42" i="17"/>
  <c r="F43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9" i="17"/>
  <c r="F18" i="17"/>
  <c r="F17" i="17"/>
  <c r="F16" i="17"/>
  <c r="F15" i="17"/>
  <c r="F13" i="17"/>
  <c r="F14" i="17"/>
  <c r="F12" i="17"/>
  <c r="F10" i="17"/>
  <c r="F11" i="17"/>
  <c r="F9" i="17"/>
  <c r="B6" i="23"/>
  <c r="B2" i="23"/>
  <c r="X4" i="22"/>
  <c r="X21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Q4" i="22"/>
  <c r="U21" i="22"/>
  <c r="V21" i="22"/>
  <c r="W21" i="22"/>
  <c r="U20" i="22"/>
  <c r="V20" i="22"/>
  <c r="W20" i="22"/>
  <c r="U19" i="22"/>
  <c r="V19" i="22"/>
  <c r="W19" i="22"/>
  <c r="U18" i="22"/>
  <c r="V18" i="22"/>
  <c r="W18" i="22"/>
  <c r="U17" i="22"/>
  <c r="V17" i="22"/>
  <c r="W17" i="22"/>
  <c r="U16" i="22"/>
  <c r="V16" i="22"/>
  <c r="W16" i="22"/>
  <c r="U15" i="22"/>
  <c r="V15" i="22"/>
  <c r="W15" i="22"/>
  <c r="U14" i="22"/>
  <c r="V14" i="22"/>
  <c r="W14" i="22"/>
  <c r="U13" i="22"/>
  <c r="V13" i="22"/>
  <c r="W13" i="22"/>
  <c r="U12" i="22"/>
  <c r="V12" i="22"/>
  <c r="W12" i="22"/>
  <c r="U11" i="22"/>
  <c r="V11" i="22"/>
  <c r="W11" i="22"/>
  <c r="U10" i="22"/>
  <c r="V10" i="22"/>
  <c r="W10" i="22"/>
  <c r="U9" i="22"/>
  <c r="V9" i="22"/>
  <c r="W9" i="22"/>
  <c r="U8" i="22"/>
  <c r="V8" i="22"/>
  <c r="W8" i="22"/>
  <c r="U7" i="22"/>
  <c r="V7" i="22"/>
  <c r="W7" i="22"/>
  <c r="U6" i="22"/>
  <c r="V6" i="22"/>
  <c r="W6" i="22"/>
  <c r="U5" i="22"/>
  <c r="V5" i="22"/>
  <c r="W5" i="22"/>
  <c r="U4" i="22"/>
  <c r="V4" i="22"/>
  <c r="W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H11" i="22"/>
  <c r="H4" i="22"/>
  <c r="H5" i="22"/>
  <c r="H6" i="22"/>
  <c r="H7" i="22"/>
  <c r="H8" i="22"/>
  <c r="H9" i="22"/>
  <c r="H10" i="22"/>
  <c r="H12" i="22"/>
  <c r="H13" i="22"/>
  <c r="H14" i="22"/>
  <c r="H15" i="22"/>
  <c r="H16" i="22"/>
  <c r="H17" i="22"/>
  <c r="H18" i="22"/>
  <c r="H19" i="22"/>
  <c r="H20" i="22"/>
  <c r="H21" i="2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I21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M43" i="8"/>
  <c r="M26" i="8"/>
  <c r="C6" i="23"/>
  <c r="M21" i="8"/>
  <c r="M4" i="8"/>
  <c r="C5" i="23"/>
  <c r="U4" i="8"/>
  <c r="U21" i="8"/>
  <c r="C4" i="23"/>
  <c r="Q4" i="8"/>
  <c r="Q21" i="8"/>
  <c r="I4" i="8"/>
  <c r="I21" i="8"/>
  <c r="L43" i="8"/>
  <c r="L26" i="8"/>
  <c r="L21" i="8"/>
  <c r="L4" i="8"/>
  <c r="B5" i="23"/>
  <c r="T21" i="8"/>
  <c r="T4" i="8"/>
  <c r="B4" i="23"/>
  <c r="P4" i="8"/>
  <c r="P21" i="8"/>
  <c r="H4" i="8"/>
  <c r="H21" i="8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B8" i="23"/>
  <c r="C17" i="23"/>
  <c r="D22" i="23"/>
  <c r="C18" i="23"/>
  <c r="G24" i="16"/>
  <c r="H24" i="16"/>
  <c r="G25" i="16"/>
  <c r="H25" i="16"/>
  <c r="G24" i="14"/>
  <c r="H24" i="14"/>
  <c r="G25" i="14"/>
  <c r="H25" i="14"/>
  <c r="G24" i="21"/>
  <c r="H24" i="21"/>
  <c r="G25" i="21"/>
  <c r="H25" i="21"/>
  <c r="G24" i="20"/>
  <c r="H24" i="20"/>
  <c r="G25" i="20"/>
  <c r="H25" i="20"/>
  <c r="G24" i="15"/>
  <c r="H24" i="15"/>
  <c r="G25" i="15"/>
  <c r="H25" i="15"/>
  <c r="G24" i="18"/>
  <c r="H24" i="18"/>
  <c r="G25" i="18"/>
  <c r="H25" i="18"/>
  <c r="G24" i="19"/>
  <c r="H24" i="19"/>
  <c r="G25" i="19"/>
  <c r="H25" i="19"/>
  <c r="H42" i="8"/>
  <c r="I42" i="8"/>
  <c r="L42" i="8"/>
  <c r="M42" i="8"/>
  <c r="P42" i="8"/>
  <c r="Q42" i="8"/>
  <c r="H43" i="8"/>
  <c r="I43" i="8"/>
  <c r="P43" i="8"/>
  <c r="Q43" i="8"/>
  <c r="H20" i="8"/>
  <c r="I20" i="8"/>
  <c r="L20" i="8"/>
  <c r="M20" i="8"/>
  <c r="P20" i="8"/>
  <c r="Q20" i="8"/>
  <c r="T20" i="8"/>
  <c r="U20" i="8"/>
  <c r="G20" i="5"/>
  <c r="J21" i="2"/>
  <c r="K21" i="2"/>
  <c r="G21" i="5"/>
  <c r="Q20" i="22"/>
  <c r="R20" i="22"/>
  <c r="S20" i="22"/>
  <c r="T20" i="22"/>
  <c r="Q21" i="22"/>
  <c r="R21" i="22"/>
  <c r="S21" i="22"/>
  <c r="T21" i="22"/>
  <c r="Q20" i="3"/>
  <c r="R20" i="3"/>
  <c r="S20" i="3"/>
  <c r="Q21" i="3"/>
  <c r="R21" i="3"/>
  <c r="S2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0" i="2"/>
  <c r="D21" i="2"/>
  <c r="F21" i="2"/>
  <c r="C3" i="2"/>
  <c r="H19" i="8"/>
  <c r="L41" i="8"/>
  <c r="D21" i="23"/>
  <c r="L19" i="8"/>
  <c r="T19" i="8"/>
  <c r="I20" i="4"/>
  <c r="J20" i="4"/>
  <c r="I21" i="4"/>
  <c r="J21" i="4"/>
  <c r="P4" i="22"/>
  <c r="L4" i="22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4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C5" i="17"/>
  <c r="D5" i="17"/>
  <c r="E5" i="17"/>
  <c r="F5" i="17"/>
  <c r="G5" i="17"/>
  <c r="C6" i="17"/>
  <c r="D6" i="17"/>
  <c r="E6" i="17"/>
  <c r="F6" i="17"/>
  <c r="G6" i="17"/>
  <c r="C7" i="17"/>
  <c r="D7" i="17"/>
  <c r="E7" i="17"/>
  <c r="F7" i="17"/>
  <c r="G7" i="17"/>
  <c r="C8" i="17"/>
  <c r="D8" i="17"/>
  <c r="E8" i="17"/>
  <c r="F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B7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1" i="8"/>
  <c r="M19" i="8"/>
  <c r="U19" i="8"/>
  <c r="Q19" i="8"/>
  <c r="I19" i="8"/>
  <c r="L25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B10" i="23"/>
  <c r="B9" i="23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M40" i="8"/>
  <c r="P40" i="8"/>
  <c r="Q40" i="8"/>
  <c r="H41" i="8"/>
  <c r="I41" i="8"/>
  <c r="P41" i="8"/>
  <c r="Q41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5" i="8"/>
  <c r="H25" i="8"/>
  <c r="U3" i="8"/>
  <c r="Q3" i="8"/>
  <c r="M3" i="8"/>
  <c r="Q25" i="8"/>
  <c r="M25" i="8"/>
  <c r="I25" i="8"/>
  <c r="T3" i="8"/>
  <c r="P3" i="8"/>
  <c r="L3" i="8"/>
  <c r="G3" i="5"/>
  <c r="P26" i="8"/>
  <c r="I26" i="8"/>
  <c r="Q26" i="8"/>
  <c r="H26" i="8"/>
  <c r="G4" i="5"/>
  <c r="P5" i="8"/>
  <c r="I5" i="8"/>
  <c r="H5" i="8"/>
  <c r="T5" i="8"/>
  <c r="Q27" i="8"/>
  <c r="Q5" i="8"/>
  <c r="P27" i="8"/>
  <c r="H27" i="8"/>
  <c r="L5" i="8"/>
  <c r="M27" i="8"/>
  <c r="U5" i="8"/>
  <c r="I27" i="8"/>
  <c r="M5" i="8"/>
  <c r="L7" i="8"/>
  <c r="G5" i="5"/>
  <c r="I6" i="8"/>
  <c r="M28" i="8"/>
  <c r="I28" i="8"/>
  <c r="Q28" i="8"/>
  <c r="P6" i="8"/>
  <c r="P28" i="8"/>
  <c r="H28" i="8"/>
  <c r="H6" i="8"/>
  <c r="L6" i="8"/>
  <c r="U6" i="8"/>
  <c r="Q6" i="8"/>
  <c r="T6" i="8"/>
  <c r="M6" i="8"/>
  <c r="P29" i="8"/>
  <c r="Q29" i="8"/>
  <c r="I29" i="8"/>
  <c r="M7" i="8"/>
  <c r="H29" i="8"/>
  <c r="I7" i="8"/>
  <c r="T7" i="8"/>
  <c r="U7" i="8"/>
  <c r="M29" i="8"/>
  <c r="Q7" i="8"/>
  <c r="H7" i="8"/>
  <c r="P7" i="8"/>
  <c r="G6" i="5"/>
  <c r="U8" i="8"/>
  <c r="M8" i="8"/>
  <c r="I30" i="8"/>
  <c r="P30" i="8"/>
  <c r="H8" i="8"/>
  <c r="H30" i="8"/>
  <c r="G7" i="5"/>
  <c r="T8" i="8"/>
  <c r="Q8" i="8"/>
  <c r="M30" i="8"/>
  <c r="T9" i="8"/>
  <c r="L8" i="8"/>
  <c r="I8" i="8"/>
  <c r="P8" i="8"/>
  <c r="Q30" i="8"/>
  <c r="L9" i="8"/>
  <c r="M31" i="8"/>
  <c r="U9" i="8"/>
  <c r="M9" i="8"/>
  <c r="H31" i="8"/>
  <c r="I31" i="8"/>
  <c r="P31" i="8"/>
  <c r="H9" i="8"/>
  <c r="P9" i="8"/>
  <c r="Q9" i="8"/>
  <c r="G8" i="5"/>
  <c r="Q31" i="8"/>
  <c r="I9" i="8"/>
  <c r="Q32" i="8"/>
  <c r="U10" i="8"/>
  <c r="M32" i="8"/>
  <c r="H32" i="8"/>
  <c r="Q10" i="8"/>
  <c r="I10" i="8"/>
  <c r="T10" i="8"/>
  <c r="L10" i="8"/>
  <c r="G9" i="5"/>
  <c r="P32" i="8"/>
  <c r="P10" i="8"/>
  <c r="M10" i="8"/>
  <c r="I32" i="8"/>
  <c r="H10" i="8"/>
  <c r="P33" i="8"/>
  <c r="T11" i="8"/>
  <c r="L11" i="8"/>
  <c r="I33" i="8"/>
  <c r="Q11" i="8"/>
  <c r="I11" i="8"/>
  <c r="G10" i="5"/>
  <c r="M33" i="8"/>
  <c r="H33" i="8"/>
  <c r="P11" i="8"/>
  <c r="Q33" i="8"/>
  <c r="U11" i="8"/>
  <c r="M11" i="8"/>
  <c r="H11" i="8"/>
  <c r="Q34" i="8"/>
  <c r="U12" i="8"/>
  <c r="M12" i="8"/>
  <c r="H12" i="8"/>
  <c r="M34" i="8"/>
  <c r="H34" i="8"/>
  <c r="P12" i="8"/>
  <c r="G11" i="5"/>
  <c r="I34" i="8"/>
  <c r="Q12" i="8"/>
  <c r="I12" i="8"/>
  <c r="P34" i="8"/>
  <c r="T12" i="8"/>
  <c r="L12" i="8"/>
  <c r="G12" i="5"/>
  <c r="H35" i="8"/>
  <c r="H13" i="8"/>
  <c r="U13" i="8"/>
  <c r="L13" i="8"/>
  <c r="Q35" i="8"/>
  <c r="I35" i="8"/>
  <c r="Q13" i="8"/>
  <c r="I13" i="8"/>
  <c r="P35" i="8"/>
  <c r="P13" i="8"/>
  <c r="M35" i="8"/>
  <c r="M13" i="8"/>
  <c r="B3" i="23"/>
  <c r="C20" i="23"/>
  <c r="D20" i="23"/>
  <c r="C3" i="23"/>
  <c r="D16" i="23"/>
  <c r="C15" i="23"/>
  <c r="C16" i="23"/>
  <c r="D15" i="23"/>
  <c r="B12" i="23"/>
  <c r="C2" i="23"/>
  <c r="C19" i="23"/>
  <c r="C21" i="23"/>
  <c r="C22" i="23"/>
  <c r="K4" i="26"/>
  <c r="L4" i="26"/>
  <c r="M4" i="26"/>
  <c r="N4" i="26"/>
  <c r="K21" i="26"/>
  <c r="L21" i="26"/>
  <c r="M21" i="26"/>
  <c r="N21" i="26"/>
  <c r="K19" i="26"/>
  <c r="L19" i="26"/>
  <c r="M19" i="26"/>
  <c r="N19" i="26"/>
  <c r="K18" i="26"/>
  <c r="L18" i="26"/>
  <c r="M18" i="26"/>
  <c r="N18" i="26"/>
  <c r="K17" i="26"/>
  <c r="L17" i="26"/>
  <c r="M17" i="26"/>
  <c r="N17" i="26"/>
  <c r="K16" i="26"/>
  <c r="L16" i="26"/>
  <c r="M16" i="26"/>
  <c r="N16" i="26"/>
  <c r="K15" i="26"/>
  <c r="L15" i="26"/>
  <c r="M15" i="26"/>
  <c r="N15" i="26"/>
  <c r="K14" i="26"/>
  <c r="L14" i="26"/>
  <c r="M14" i="26"/>
  <c r="N14" i="26"/>
  <c r="K13" i="26"/>
  <c r="L13" i="26"/>
  <c r="M13" i="26"/>
  <c r="N13" i="26"/>
  <c r="K12" i="26"/>
  <c r="L12" i="26"/>
  <c r="M12" i="26"/>
  <c r="N12" i="26"/>
  <c r="K11" i="26"/>
  <c r="L11" i="26"/>
  <c r="M11" i="26"/>
  <c r="N11" i="26"/>
  <c r="K10" i="26"/>
  <c r="L10" i="26"/>
  <c r="M10" i="26"/>
  <c r="N10" i="26"/>
  <c r="K9" i="26"/>
  <c r="L9" i="26"/>
  <c r="M9" i="26"/>
  <c r="N9" i="26"/>
  <c r="K8" i="26"/>
  <c r="L8" i="26"/>
  <c r="M8" i="26"/>
  <c r="N8" i="26"/>
  <c r="K7" i="26"/>
  <c r="L7" i="26"/>
  <c r="M7" i="26"/>
  <c r="N7" i="26"/>
  <c r="K6" i="26"/>
  <c r="L6" i="26"/>
  <c r="M6" i="26"/>
  <c r="N6" i="26"/>
  <c r="K5" i="26"/>
  <c r="L5" i="26"/>
  <c r="M5" i="26"/>
  <c r="N5" i="26"/>
  <c r="Q4" i="26"/>
  <c r="Q21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P4" i="26"/>
  <c r="R4" i="26"/>
  <c r="P21" i="26"/>
  <c r="R21" i="26"/>
  <c r="P19" i="26"/>
  <c r="R19" i="26"/>
  <c r="P18" i="26"/>
  <c r="R18" i="26"/>
  <c r="P17" i="26"/>
  <c r="R17" i="26"/>
  <c r="P16" i="26"/>
  <c r="R16" i="26"/>
  <c r="P15" i="26"/>
  <c r="R15" i="26"/>
  <c r="P14" i="26"/>
  <c r="R14" i="26"/>
  <c r="P13" i="26"/>
  <c r="R13" i="26"/>
  <c r="P12" i="26"/>
  <c r="R12" i="26"/>
  <c r="P11" i="26"/>
  <c r="R11" i="26"/>
  <c r="P10" i="26"/>
  <c r="R10" i="26"/>
  <c r="P9" i="26"/>
  <c r="R9" i="26"/>
  <c r="P8" i="26"/>
  <c r="R8" i="26"/>
  <c r="P7" i="26"/>
  <c r="R7" i="26"/>
  <c r="P6" i="26"/>
  <c r="R6" i="26"/>
  <c r="P5" i="26"/>
  <c r="R5" i="26"/>
  <c r="O4" i="26"/>
  <c r="S4" i="26"/>
  <c r="O21" i="26"/>
  <c r="S21" i="26"/>
  <c r="L20" i="26"/>
  <c r="O20" i="26"/>
  <c r="S20" i="26"/>
  <c r="K20" i="26"/>
  <c r="O19" i="26"/>
  <c r="S19" i="26"/>
  <c r="O18" i="26"/>
  <c r="S18" i="26"/>
  <c r="O17" i="26"/>
  <c r="S17" i="26"/>
  <c r="O16" i="26"/>
  <c r="S16" i="26"/>
  <c r="O15" i="26"/>
  <c r="S15" i="26"/>
  <c r="O14" i="26"/>
  <c r="S14" i="26"/>
  <c r="O13" i="26"/>
  <c r="S13" i="26"/>
  <c r="O12" i="26"/>
  <c r="S12" i="26"/>
  <c r="O11" i="26"/>
  <c r="S11" i="26"/>
  <c r="O10" i="26"/>
  <c r="S10" i="26"/>
  <c r="O9" i="26"/>
  <c r="S9" i="26"/>
  <c r="O8" i="26"/>
  <c r="S8" i="26"/>
  <c r="O7" i="26"/>
  <c r="S7" i="26"/>
  <c r="O6" i="26"/>
  <c r="S6" i="26"/>
  <c r="O5" i="26"/>
  <c r="S5" i="26"/>
  <c r="Q20" i="26"/>
  <c r="P20" i="26"/>
  <c r="R20" i="26"/>
  <c r="N26" i="26"/>
  <c r="R26" i="26"/>
  <c r="N27" i="26"/>
  <c r="R27" i="26"/>
  <c r="N28" i="26"/>
  <c r="R28" i="26"/>
  <c r="N29" i="26"/>
  <c r="R29" i="26"/>
  <c r="N30" i="26"/>
  <c r="R30" i="26"/>
  <c r="N31" i="26"/>
  <c r="R31" i="26"/>
  <c r="N32" i="26"/>
  <c r="R32" i="26"/>
  <c r="R33" i="26"/>
  <c r="N34" i="26"/>
  <c r="R34" i="26"/>
  <c r="N35" i="26"/>
  <c r="R35" i="26"/>
  <c r="N36" i="26"/>
  <c r="R36" i="26"/>
  <c r="N37" i="26"/>
  <c r="R37" i="26"/>
  <c r="N38" i="26"/>
  <c r="R38" i="26"/>
  <c r="N39" i="26"/>
  <c r="R39" i="26"/>
  <c r="N40" i="26"/>
  <c r="R40" i="26"/>
  <c r="N41" i="26"/>
  <c r="R41" i="26"/>
  <c r="R42" i="26"/>
  <c r="N43" i="26"/>
  <c r="R43" i="26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<sst xmlns="http://schemas.openxmlformats.org/spreadsheetml/2006/main" count="581" uniqueCount="251">
  <si>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</si>
  <si>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</si>
  <si>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</si>
  <si>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</si>
  <si>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</si>
  <si>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</si>
  <si>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</si>
  <si>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</si>
  <si>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</si>
  <si>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</si>
  <si>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</si>
  <si>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</si>
  <si>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</si>
  <si>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</si>
  <si>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</si>
  <si>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</si>
  <si>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</si>
  <si>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</si>
  <si>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</si>
  <si>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</si>
  <si>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</si>
  <si>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</si>
  <si>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</si>
  <si>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</si>
  <si>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</si>
  <si>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</si>
  <si>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</si>
  <si>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</si>
  <si>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</si>
  <si>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</si>
  <si>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</si>
  <si>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</si>
  <si>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</si>
  <si>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</si>
  <si>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</si>
  <si>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</si>
  <si>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</si>
  <si>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</si>
  <si>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</si>
  <si>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</si>
  <si>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</si>
  <si>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</si>
  <si>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</si>
  <si>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</si>
  <si>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</si>
  <si>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</si>
  <si>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</si>
  <si>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</si>
  <si>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</si>
  <si>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</si>
  <si>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</si>
  <si>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</si>
  <si>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</si>
  <si>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</si>
  <si>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</si>
  <si>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</si>
  <si>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</si>
  <si>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</si>
  <si>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</si>
  <si>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</si>
  <si>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</si>
  <si>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</si>
  <si>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</si>
  <si>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</si>
  <si>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</si>
  <si>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</si>
  <si>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</si>
  <si>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</si>
  <si>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</si>
  <si>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</si>
  <si>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</si>
  <si>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</si>
  <si>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</si>
  <si>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</si>
  <si>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</si>
  <si>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</si>
  <si>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</si>
  <si>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</si>
  <si>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</si>
  <si>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</si>
  <si>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</si>
  <si>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</si>
  <si>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</si>
  <si>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</si>
  <si>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</si>
  <si>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</si>
  <si>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</si>
  <si>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</si>
  <si>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</si>
  <si>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</si>
  <si>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</si>
  <si>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</si>
  <si>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</si>
  <si>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</si>
  <si>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</si>
  <si>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</si>
  <si>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</si>
  <si>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</si>
  <si>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</si>
  <si>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</si>
  <si>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</si>
  <si>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</si>
  <si>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</si>
  <si>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</si>
  <si>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</si>
  <si>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</si>
  <si>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</si>
  <si>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</si>
  <si>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</si>
  <si>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</si>
  <si>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</si>
  <si>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</si>
  <si>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</si>
  <si>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</si>
  <si>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</si>
  <si>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</si>
  <si>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</si>
  <si>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</si>
  <si>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</si>
  <si>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</si>
  <si>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</si>
  <si>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</si>
  <si>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</si>
  <si>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</si>
  <si>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</si>
  <si>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</si>
  <si>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</si>
  <si>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</si>
  <si>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</si>
  <si>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</si>
  <si>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</si>
  <si>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</si>
  <si>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</si>
  <si>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</si>
  <si>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</si>
  <si>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</si>
  <si>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</si>
  <si>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</si>
  <si>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</si>
  <si>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</si>
  <si>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</si>
  <si>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</si>
  <si>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</si>
  <si>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</si>
  <si>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</si>
  <si>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</si>
  <si>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6.80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</si>
  <si>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</si>
  <si>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</si>
  <si>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</si>
  <si>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After 16.5 hours 50 ml of filter-sterilized distilled water was added to the culture vessel</t>
  </si>
  <si>
    <t>0,,023</t>
  </si>
  <si>
    <t>LOG</t>
  </si>
  <si>
    <t>STDEV LOG(Count/mL)</t>
  </si>
  <si>
    <t>0.20</t>
  </si>
  <si>
    <t>0.40</t>
  </si>
  <si>
    <t>Initial Volume Fermentor + Inoculum (mL)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</si>
  <si>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</si>
  <si>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</si>
  <si>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</si>
  <si>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</si>
  <si>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</si>
  <si>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</si>
  <si>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</si>
  <si>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</si>
  <si>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</si>
  <si>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</si>
  <si>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</si>
  <si>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</si>
  <si>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</si>
  <si>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</si>
  <si>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</si>
  <si>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</si>
  <si>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</si>
  <si>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</si>
  <si>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</si>
  <si>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x moles D-fructose consumed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</si>
  <si>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</si>
  <si>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</si>
  <si>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</si>
  <si>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</si>
  <si>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</si>
  <si>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</si>
  <si>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</si>
  <si>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</si>
  <si>
    <t xml:space="preserve">Volume (ul) </t>
  </si>
  <si>
    <t>Outliers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</si>
  <si>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</si>
  <si>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</si>
  <si>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</si>
  <si>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</si>
  <si>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</si>
  <si>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</si>
  <si>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</si>
  <si>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</si>
  <si>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</si>
  <si>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</si>
  <si>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</si>
  <si>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</si>
  <si>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</si>
  <si>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</si>
  <si>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</si>
  <si>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</si>
  <si>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</si>
  <si>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</si>
  <si>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</si>
  <si>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</si>
  <si>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</si>
  <si>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</si>
  <si>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</si>
  <si>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</si>
  <si>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</si>
  <si>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</si>
  <si>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outliers</t>
  </si>
  <si>
    <t>IPC FP10 epp</t>
  </si>
  <si>
    <t>Threshold</t>
  </si>
  <si>
    <t>AUTO</t>
  </si>
  <si>
    <t>Ct Threshold</t>
  </si>
  <si>
    <t>baseline</t>
  </si>
  <si>
    <t>Rico</t>
  </si>
  <si>
    <t>intercept</t>
  </si>
  <si>
    <t>Efficiency E (%)</t>
  </si>
  <si>
    <t>F. prausnitzii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</si>
  <si>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</si>
  <si>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</si>
  <si>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</si>
  <si>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</si>
  <si>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</si>
  <si>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</si>
  <si>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</si>
  <si>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</si>
  <si>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</si>
  <si>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</si>
  <si>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</si>
  <si>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</si>
  <si>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</si>
  <si>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Log (cells/ml medium)</t>
  </si>
  <si>
    <t>STDV Log (cells/ml medium)</t>
  </si>
  <si>
    <t>Dilution log (10x)</t>
  </si>
  <si>
    <t xml:space="preserve">Dilution </t>
  </si>
  <si>
    <t>Total Average</t>
  </si>
  <si>
    <t>IPC value epp 10 plate 20150709</t>
  </si>
  <si>
    <t>IPC value epp 10 plate 20150707</t>
  </si>
  <si>
    <t>IPC value  epp 10 plate 20150702</t>
  </si>
  <si>
    <t>IPC value epp 10 plate 20150708</t>
  </si>
  <si>
    <t/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</si>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</sst>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10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64" fontId="18" fillId="0" borderId="3" xfId="0" applyNumberFormat="1" applyFont="1" applyBorder="1" applyAlignment="1">
      <alignment horizontal="center" vertical="center"/>
    </xf>
    <xf numFmtId="164" fontId="18" fillId="0" borderId="20" xfId="0" applyNumberFormat="1" applyFont="1" applyBorder="1" applyAlignment="1">
      <alignment horizontal="center" vertical="center"/>
    </xf>
    <xf numFmtId="0" fontId="0" fillId="11" borderId="0" xfId="0" applyFill="1"/>
    <xf numFmtId="0" fontId="0" fillId="0" borderId="21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26" fillId="0" borderId="0" xfId="0" applyNumberFormat="1" applyFont="1"/>
    <xf numFmtId="165" fontId="0" fillId="0" borderId="0" xfId="0" applyNumberFormat="1"/>
    <xf numFmtId="0" fontId="27" fillId="0" borderId="0" xfId="285"/>
    <xf numFmtId="0" fontId="27" fillId="2" borderId="4" xfId="285" applyFill="1" applyBorder="1" applyAlignment="1">
      <alignment horizontal="center" vertical="center"/>
    </xf>
    <xf numFmtId="0" fontId="27" fillId="2" borderId="16" xfId="285" applyFill="1" applyBorder="1" applyAlignment="1">
      <alignment horizontal="center" vertical="center"/>
    </xf>
    <xf numFmtId="0" fontId="27" fillId="2" borderId="3" xfId="285" applyFill="1" applyBorder="1" applyAlignment="1">
      <alignment horizontal="center" vertical="center"/>
    </xf>
    <xf numFmtId="0" fontId="27" fillId="0" borderId="3" xfId="285" applyFill="1" applyBorder="1" applyAlignment="1">
      <alignment horizontal="center" vertical="center"/>
    </xf>
    <xf numFmtId="0" fontId="27" fillId="0" borderId="16" xfId="285" applyFill="1" applyBorder="1" applyAlignment="1">
      <alignment horizontal="center" vertical="center"/>
    </xf>
    <xf numFmtId="11" fontId="27" fillId="0" borderId="16" xfId="285" applyNumberFormat="1" applyFill="1" applyBorder="1" applyAlignment="1">
      <alignment horizontal="center" vertical="center"/>
    </xf>
    <xf numFmtId="0" fontId="0" fillId="0" borderId="16" xfId="285" applyFont="1" applyBorder="1" applyAlignment="1">
      <alignment horizontal="center" vertical="center"/>
    </xf>
    <xf numFmtId="0" fontId="27" fillId="0" borderId="16" xfId="285" applyBorder="1" applyAlignment="1">
      <alignment horizontal="center" vertical="center"/>
    </xf>
    <xf numFmtId="11" fontId="27" fillId="0" borderId="16" xfId="285" applyNumberFormat="1" applyBorder="1" applyAlignment="1">
      <alignment horizontal="center" vertical="center"/>
    </xf>
    <xf numFmtId="2" fontId="27" fillId="0" borderId="16" xfId="285" applyNumberFormat="1" applyBorder="1" applyAlignment="1">
      <alignment horizontal="center" vertical="center"/>
    </xf>
    <xf numFmtId="0" fontId="0" fillId="0" borderId="0" xfId="285" applyFont="1"/>
    <xf numFmtId="0" fontId="27" fillId="2" borderId="23" xfId="285" applyFill="1" applyBorder="1" applyAlignment="1">
      <alignment wrapText="1"/>
    </xf>
    <xf numFmtId="0" fontId="0" fillId="2" borderId="23" xfId="285" applyFont="1" applyFill="1" applyBorder="1" applyAlignment="1">
      <alignment wrapText="1"/>
    </xf>
    <xf numFmtId="0" fontId="0" fillId="2" borderId="23" xfId="285" applyFont="1" applyFill="1" applyBorder="1" applyAlignment="1">
      <alignment horizontal="center" vertical="center" wrapText="1"/>
    </xf>
    <xf numFmtId="165" fontId="27" fillId="0" borderId="16" xfId="285" applyNumberFormat="1" applyBorder="1" applyAlignment="1">
      <alignment horizontal="center" vertical="center"/>
    </xf>
    <xf numFmtId="165" fontId="27" fillId="0" borderId="16" xfId="285" applyNumberFormat="1" applyBorder="1"/>
    <xf numFmtId="165" fontId="27" fillId="0" borderId="0" xfId="285" applyNumberFormat="1"/>
    <xf numFmtId="0" fontId="27" fillId="2" borderId="16" xfId="285" applyFill="1" applyBorder="1"/>
    <xf numFmtId="0" fontId="28" fillId="0" borderId="16" xfId="285" applyFont="1" applyBorder="1"/>
    <xf numFmtId="0" fontId="27" fillId="0" borderId="16" xfId="285" applyBorder="1"/>
    <xf numFmtId="0" fontId="29" fillId="12" borderId="0" xfId="285" applyFont="1" applyFill="1"/>
    <xf numFmtId="165" fontId="25" fillId="0" borderId="18" xfId="0" applyNumberFormat="1" applyFont="1" applyBorder="1" applyAlignment="1">
      <alignment horizontal="center" vertical="center"/>
    </xf>
    <xf numFmtId="2" fontId="27" fillId="0" borderId="16" xfId="285" applyNumberFormat="1" applyBorder="1"/>
    <xf numFmtId="1" fontId="27" fillId="0" borderId="16" xfId="285" applyNumberFormat="1" applyBorder="1"/>
    <xf numFmtId="0" fontId="0" fillId="0" borderId="16" xfId="285" applyFont="1" applyBorder="1"/>
    <xf numFmtId="165" fontId="25" fillId="0" borderId="16" xfId="0" applyNumberFormat="1" applyFont="1" applyBorder="1" applyAlignment="1">
      <alignment horizontal="center" vertical="center"/>
    </xf>
    <xf numFmtId="0" fontId="0" fillId="0" borderId="0" xfId="285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2" xfId="285" applyFont="1" applyBorder="1" applyAlignment="1">
      <alignment horizontal="center"/>
    </xf>
    <xf numFmtId="0" fontId="27" fillId="0" borderId="22" xfId="285" applyBorder="1" applyAlignment="1">
      <alignment horizontal="center"/>
    </xf>
    <xf numFmtId="0" fontId="27" fillId="0" borderId="17" xfId="285" applyNumberFormat="1" applyFill="1" applyBorder="1" applyAlignment="1">
      <alignment horizontal="center" vertical="center"/>
    </xf>
    <xf numFmtId="0" fontId="27" fillId="0" borderId="5" xfId="285" applyNumberFormat="1" applyFill="1" applyBorder="1" applyAlignment="1">
      <alignment horizontal="center" vertical="center"/>
    </xf>
    <xf numFmtId="0" fontId="27" fillId="0" borderId="18" xfId="285" applyNumberFormat="1" applyFill="1" applyBorder="1" applyAlignment="1">
      <alignment horizontal="center" vertical="center"/>
    </xf>
    <xf numFmtId="0" fontId="27" fillId="2" borderId="4" xfId="285" applyFill="1" applyBorder="1" applyAlignment="1">
      <alignment horizontal="center" vertical="center"/>
    </xf>
    <xf numFmtId="0" fontId="27" fillId="2" borderId="3" xfId="285" applyFill="1" applyBorder="1" applyAlignment="1">
      <alignment horizontal="center" vertical="center"/>
    </xf>
    <xf numFmtId="0" fontId="0" fillId="2" borderId="4" xfId="285" applyFont="1" applyFill="1" applyBorder="1" applyAlignment="1">
      <alignment horizontal="center" vertical="center"/>
    </xf>
    <xf numFmtId="0" fontId="27" fillId="2" borderId="16" xfId="285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2" xfId="285" applyFont="1" applyFill="1" applyBorder="1" applyAlignment="1">
      <alignment horizontal="center" vertical="center"/>
    </xf>
    <xf numFmtId="0" fontId="0" fillId="2" borderId="0" xfId="285" applyFont="1" applyFill="1" applyBorder="1" applyAlignment="1">
      <alignment horizontal="center" vertical="center"/>
    </xf>
    <xf numFmtId="0" fontId="0" fillId="2" borderId="24" xfId="285" applyFont="1" applyFill="1" applyBorder="1" applyAlignment="1">
      <alignment horizontal="center" vertical="center"/>
    </xf>
    <xf numFmtId="0" fontId="0" fillId="2" borderId="25" xfId="285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27" fillId="0" borderId="0" xfId="285" applyNumberFormat="1" applyBorder="1" applyAlignment="1">
      <alignment horizontal="center" vertical="center"/>
    </xf>
    <xf numFmtId="165" fontId="27" fillId="0" borderId="0" xfId="285" applyNumberFormat="1" applyBorder="1"/>
    <xf numFmtId="165" fontId="25" fillId="0" borderId="0" xfId="0" applyNumberFormat="1" applyFont="1" applyBorder="1" applyAlignment="1">
      <alignment horizontal="center" vertical="center"/>
    </xf>
    <xf numFmtId="2" fontId="27" fillId="0" borderId="0" xfId="285" applyNumberFormat="1" applyBorder="1"/>
    <xf numFmtId="1" fontId="27" fillId="0" borderId="0" xfId="285" applyNumberFormat="1" applyBorder="1"/>
  </cellXfs>
  <cellStyles count="310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Input" xfId="10"/>
    <cellStyle name="Linked Cell" xfId="11"/>
    <cellStyle name="Neutral" xfId="12"/>
    <cellStyle name="Normal" xfId="0" builtinId="0"/>
    <cellStyle name="Normal 2" xfId="285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24" Type="http://schemas.openxmlformats.org/officeDocument/2006/relationships/connections" Target="connections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64520"/>
        <c:axId val="-2144274552"/>
      </c:scatterChart>
      <c:valAx>
        <c:axId val="-2144264520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44274552"/>
        <c:crosses val="autoZero"/>
        <c:crossBetween val="midCat"/>
        <c:majorUnit val="2.0"/>
      </c:valAx>
      <c:valAx>
        <c:axId val="-21442745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144264520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0.076911669963094</c:v>
                  </c:pt>
                  <c:pt idx="1">
                    <c:v>0.0128186116605157</c:v>
                  </c:pt>
                  <c:pt idx="2">
                    <c:v>0.0256372233210314</c:v>
                  </c:pt>
                  <c:pt idx="3">
                    <c:v>0.0128279207466889</c:v>
                  </c:pt>
                  <c:pt idx="4">
                    <c:v>0.0128279207466889</c:v>
                  </c:pt>
                  <c:pt idx="5">
                    <c:v>0.0128279207466888</c:v>
                  </c:pt>
                  <c:pt idx="6">
                    <c:v>0.0128279207466889</c:v>
                  </c:pt>
                  <c:pt idx="7">
                    <c:v>0.0128279207466889</c:v>
                  </c:pt>
                  <c:pt idx="8">
                    <c:v>9.44947365965359E-17</c:v>
                  </c:pt>
                  <c:pt idx="9">
                    <c:v>0.0157393779960849</c:v>
                  </c:pt>
                  <c:pt idx="10">
                    <c:v>0.0340665181038828</c:v>
                  </c:pt>
                  <c:pt idx="11">
                    <c:v>0.0387443835866385</c:v>
                  </c:pt>
                  <c:pt idx="12">
                    <c:v>0.0272032168387242</c:v>
                  </c:pt>
                  <c:pt idx="13">
                    <c:v>0.0624587840892831</c:v>
                  </c:pt>
                  <c:pt idx="14">
                    <c:v>0.0360991220847761</c:v>
                  </c:pt>
                  <c:pt idx="15">
                    <c:v>0.0237120826342087</c:v>
                  </c:pt>
                  <c:pt idx="16">
                    <c:v>0.0137061891951723</c:v>
                  </c:pt>
                  <c:pt idx="17">
                    <c:v>0.0857002778046193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0.076911669963094</c:v>
                  </c:pt>
                  <c:pt idx="1">
                    <c:v>0.0128186116605157</c:v>
                  </c:pt>
                  <c:pt idx="2">
                    <c:v>0.0256372233210314</c:v>
                  </c:pt>
                  <c:pt idx="3">
                    <c:v>0.0128279207466889</c:v>
                  </c:pt>
                  <c:pt idx="4">
                    <c:v>0.0128279207466889</c:v>
                  </c:pt>
                  <c:pt idx="5">
                    <c:v>0.0128279207466888</c:v>
                  </c:pt>
                  <c:pt idx="6">
                    <c:v>0.0128279207466889</c:v>
                  </c:pt>
                  <c:pt idx="7">
                    <c:v>0.0128279207466889</c:v>
                  </c:pt>
                  <c:pt idx="8">
                    <c:v>9.44947365965359E-17</c:v>
                  </c:pt>
                  <c:pt idx="9">
                    <c:v>0.0157393779960849</c:v>
                  </c:pt>
                  <c:pt idx="10">
                    <c:v>0.0340665181038828</c:v>
                  </c:pt>
                  <c:pt idx="11">
                    <c:v>0.0387443835866385</c:v>
                  </c:pt>
                  <c:pt idx="12">
                    <c:v>0.0272032168387242</c:v>
                  </c:pt>
                  <c:pt idx="13">
                    <c:v>0.0624587840892831</c:v>
                  </c:pt>
                  <c:pt idx="14">
                    <c:v>0.0360991220847761</c:v>
                  </c:pt>
                  <c:pt idx="15">
                    <c:v>0.0237120826342087</c:v>
                  </c:pt>
                  <c:pt idx="16">
                    <c:v>0.0137061891951723</c:v>
                  </c:pt>
                  <c:pt idx="17">
                    <c:v>0.0857002778046193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0.421847246891652</c:v>
                </c:pt>
                <c:pt idx="1">
                  <c:v>0.429248075784488</c:v>
                </c:pt>
                <c:pt idx="2">
                  <c:v>0.414446417998816</c:v>
                </c:pt>
                <c:pt idx="3">
                  <c:v>0.451778413270885</c:v>
                </c:pt>
                <c:pt idx="4">
                  <c:v>0.496215634248349</c:v>
                </c:pt>
                <c:pt idx="5">
                  <c:v>0.481403227255861</c:v>
                </c:pt>
                <c:pt idx="6">
                  <c:v>0.503621837744593</c:v>
                </c:pt>
                <c:pt idx="7">
                  <c:v>0.540652855225813</c:v>
                </c:pt>
                <c:pt idx="8">
                  <c:v>0.533719388122946</c:v>
                </c:pt>
                <c:pt idx="9">
                  <c:v>0.500823941071047</c:v>
                </c:pt>
                <c:pt idx="10">
                  <c:v>0.483205041040511</c:v>
                </c:pt>
                <c:pt idx="11">
                  <c:v>0.447381605866636</c:v>
                </c:pt>
                <c:pt idx="12">
                  <c:v>0.416203290963522</c:v>
                </c:pt>
                <c:pt idx="13">
                  <c:v>0.448536826848957</c:v>
                </c:pt>
                <c:pt idx="14">
                  <c:v>0.488403404164105</c:v>
                </c:pt>
                <c:pt idx="15">
                  <c:v>0.711362479026261</c:v>
                </c:pt>
                <c:pt idx="16">
                  <c:v>1.012898818738783</c:v>
                </c:pt>
                <c:pt idx="17">
                  <c:v>1.568752710187706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0.302207218180765</c:v>
                  </c:pt>
                  <c:pt idx="1">
                    <c:v>0.185437614082601</c:v>
                  </c:pt>
                  <c:pt idx="2">
                    <c:v>0.581974684300024</c:v>
                  </c:pt>
                  <c:pt idx="3">
                    <c:v>0.150292237935099</c:v>
                  </c:pt>
                  <c:pt idx="4">
                    <c:v>0.226871025428302</c:v>
                  </c:pt>
                  <c:pt idx="5">
                    <c:v>0.550698108450675</c:v>
                  </c:pt>
                  <c:pt idx="6">
                    <c:v>0.272815890404577</c:v>
                  </c:pt>
                  <c:pt idx="7">
                    <c:v>0.46701333476075</c:v>
                  </c:pt>
                  <c:pt idx="8">
                    <c:v>0.320550427703432</c:v>
                  </c:pt>
                  <c:pt idx="9">
                    <c:v>0.630298326940644</c:v>
                  </c:pt>
                  <c:pt idx="10">
                    <c:v>1.498747275091296</c:v>
                  </c:pt>
                  <c:pt idx="11">
                    <c:v>1.162880258622798</c:v>
                  </c:pt>
                  <c:pt idx="12">
                    <c:v>1.050931134362999</c:v>
                  </c:pt>
                  <c:pt idx="13">
                    <c:v>2.623016161123724</c:v>
                  </c:pt>
                  <c:pt idx="14">
                    <c:v>1.702121189553089</c:v>
                  </c:pt>
                  <c:pt idx="15">
                    <c:v>0.714064740256554</c:v>
                  </c:pt>
                  <c:pt idx="16">
                    <c:v>0.701469153869874</c:v>
                  </c:pt>
                  <c:pt idx="17">
                    <c:v>1.711585388857469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0.302207218180765</c:v>
                  </c:pt>
                  <c:pt idx="1">
                    <c:v>0.185437614082601</c:v>
                  </c:pt>
                  <c:pt idx="2">
                    <c:v>0.581974684300024</c:v>
                  </c:pt>
                  <c:pt idx="3">
                    <c:v>0.150292237935099</c:v>
                  </c:pt>
                  <c:pt idx="4">
                    <c:v>0.226871025428302</c:v>
                  </c:pt>
                  <c:pt idx="5">
                    <c:v>0.550698108450675</c:v>
                  </c:pt>
                  <c:pt idx="6">
                    <c:v>0.272815890404577</c:v>
                  </c:pt>
                  <c:pt idx="7">
                    <c:v>0.46701333476075</c:v>
                  </c:pt>
                  <c:pt idx="8">
                    <c:v>0.320550427703432</c:v>
                  </c:pt>
                  <c:pt idx="9">
                    <c:v>0.630298326940644</c:v>
                  </c:pt>
                  <c:pt idx="10">
                    <c:v>1.498747275091296</c:v>
                  </c:pt>
                  <c:pt idx="11">
                    <c:v>1.162880258622798</c:v>
                  </c:pt>
                  <c:pt idx="12">
                    <c:v>1.050931134362999</c:v>
                  </c:pt>
                  <c:pt idx="13">
                    <c:v>2.623016161123724</c:v>
                  </c:pt>
                  <c:pt idx="14">
                    <c:v>1.702121189553089</c:v>
                  </c:pt>
                  <c:pt idx="15">
                    <c:v>0.714064740256554</c:v>
                  </c:pt>
                  <c:pt idx="16">
                    <c:v>0.701469153869874</c:v>
                  </c:pt>
                  <c:pt idx="17">
                    <c:v>1.711585388857469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48.21537607549265</c:v>
                </c:pt>
                <c:pt idx="1">
                  <c:v>48.39300582847627</c:v>
                </c:pt>
                <c:pt idx="2">
                  <c:v>48.10435747987788</c:v>
                </c:pt>
                <c:pt idx="3">
                  <c:v>47.90598329359601</c:v>
                </c:pt>
                <c:pt idx="4">
                  <c:v>47.83932376211142</c:v>
                </c:pt>
                <c:pt idx="5">
                  <c:v>47.56157571425892</c:v>
                </c:pt>
                <c:pt idx="6">
                  <c:v>47.26160782257826</c:v>
                </c:pt>
                <c:pt idx="7">
                  <c:v>46.83943078984248</c:v>
                </c:pt>
                <c:pt idx="8">
                  <c:v>45.81345707889577</c:v>
                </c:pt>
                <c:pt idx="9">
                  <c:v>46.5680819167407</c:v>
                </c:pt>
                <c:pt idx="10">
                  <c:v>44.62832117028392</c:v>
                </c:pt>
                <c:pt idx="11">
                  <c:v>42.98457369469918</c:v>
                </c:pt>
                <c:pt idx="12">
                  <c:v>40.31113360372003</c:v>
                </c:pt>
                <c:pt idx="13">
                  <c:v>38.82419770817892</c:v>
                </c:pt>
                <c:pt idx="14">
                  <c:v>37.7312572910205</c:v>
                </c:pt>
                <c:pt idx="15">
                  <c:v>37.5620238184202</c:v>
                </c:pt>
                <c:pt idx="16">
                  <c:v>37.85523791539015</c:v>
                </c:pt>
                <c:pt idx="17">
                  <c:v>36.38044393083893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0.0663708551662805</c:v>
                  </c:pt>
                  <c:pt idx="3">
                    <c:v>0.152701932327096</c:v>
                  </c:pt>
                  <c:pt idx="4">
                    <c:v>0.0869629560210724</c:v>
                  </c:pt>
                  <c:pt idx="5">
                    <c:v>0.0251040430341459</c:v>
                  </c:pt>
                  <c:pt idx="6">
                    <c:v>0.0251040430341459</c:v>
                  </c:pt>
                  <c:pt idx="7">
                    <c:v>0.0434814780105362</c:v>
                  </c:pt>
                  <c:pt idx="8">
                    <c:v>0.17588408874012</c:v>
                  </c:pt>
                  <c:pt idx="9">
                    <c:v>0.100597996145252</c:v>
                  </c:pt>
                  <c:pt idx="10">
                    <c:v>0.381314983515021</c:v>
                  </c:pt>
                  <c:pt idx="11">
                    <c:v>0.176918375801222</c:v>
                  </c:pt>
                  <c:pt idx="12">
                    <c:v>0.333524311621854</c:v>
                  </c:pt>
                  <c:pt idx="13">
                    <c:v>0.348794265270117</c:v>
                  </c:pt>
                  <c:pt idx="14">
                    <c:v>0.482846290341498</c:v>
                  </c:pt>
                  <c:pt idx="15">
                    <c:v>0.271903681203739</c:v>
                  </c:pt>
                  <c:pt idx="16">
                    <c:v>0.167508337562114</c:v>
                  </c:pt>
                  <c:pt idx="17">
                    <c:v>0.735965230593919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0.0663708551662805</c:v>
                  </c:pt>
                  <c:pt idx="3">
                    <c:v>0.152701932327096</c:v>
                  </c:pt>
                  <c:pt idx="4">
                    <c:v>0.0869629560210724</c:v>
                  </c:pt>
                  <c:pt idx="5">
                    <c:v>0.0251040430341459</c:v>
                  </c:pt>
                  <c:pt idx="6">
                    <c:v>0.0251040430341459</c:v>
                  </c:pt>
                  <c:pt idx="7">
                    <c:v>0.0434814780105362</c:v>
                  </c:pt>
                  <c:pt idx="8">
                    <c:v>0.17588408874012</c:v>
                  </c:pt>
                  <c:pt idx="9">
                    <c:v>0.100597996145252</c:v>
                  </c:pt>
                  <c:pt idx="10">
                    <c:v>0.381314983515021</c:v>
                  </c:pt>
                  <c:pt idx="11">
                    <c:v>0.176918375801222</c:v>
                  </c:pt>
                  <c:pt idx="12">
                    <c:v>0.333524311621854</c:v>
                  </c:pt>
                  <c:pt idx="13">
                    <c:v>0.348794265270117</c:v>
                  </c:pt>
                  <c:pt idx="14">
                    <c:v>0.482846290341498</c:v>
                  </c:pt>
                  <c:pt idx="15">
                    <c:v>0.271903681203739</c:v>
                  </c:pt>
                  <c:pt idx="16">
                    <c:v>0.167508337562114</c:v>
                  </c:pt>
                  <c:pt idx="17">
                    <c:v>0.735965230593919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0.10138315591281</c:v>
                </c:pt>
                <c:pt idx="3">
                  <c:v>0.275382694066729</c:v>
                </c:pt>
                <c:pt idx="4">
                  <c:v>0.260888868063217</c:v>
                </c:pt>
                <c:pt idx="5">
                  <c:v>0.275382694066729</c:v>
                </c:pt>
                <c:pt idx="6">
                  <c:v>0.318864172077265</c:v>
                </c:pt>
                <c:pt idx="7">
                  <c:v>0.521777736126434</c:v>
                </c:pt>
                <c:pt idx="8">
                  <c:v>0.88490718354244</c:v>
                </c:pt>
                <c:pt idx="9">
                  <c:v>1.582687634207357</c:v>
                </c:pt>
                <c:pt idx="10">
                  <c:v>3.215124360842046</c:v>
                </c:pt>
                <c:pt idx="11">
                  <c:v>4.917497832583548</c:v>
                </c:pt>
                <c:pt idx="12">
                  <c:v>6.070355681793925</c:v>
                </c:pt>
                <c:pt idx="13">
                  <c:v>7.29943078688217</c:v>
                </c:pt>
                <c:pt idx="14">
                  <c:v>9.018415937906897</c:v>
                </c:pt>
                <c:pt idx="15">
                  <c:v>13.90578592886435</c:v>
                </c:pt>
                <c:pt idx="16">
                  <c:v>14.95962214212571</c:v>
                </c:pt>
                <c:pt idx="17">
                  <c:v>14.48183442297006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0.00503822101396567</c:v>
                </c:pt>
                <c:pt idx="3">
                  <c:v>0.0161020739380273</c:v>
                </c:pt>
                <c:pt idx="4">
                  <c:v>0.0287251316732638</c:v>
                </c:pt>
                <c:pt idx="5">
                  <c:v>0.0420028431625295</c:v>
                </c:pt>
                <c:pt idx="6">
                  <c:v>0.0567436415298047</c:v>
                </c:pt>
                <c:pt idx="7">
                  <c:v>0.075629180493459</c:v>
                </c:pt>
                <c:pt idx="8">
                  <c:v>0.101789632174131</c:v>
                </c:pt>
                <c:pt idx="9">
                  <c:v>0.137302027132114</c:v>
                </c:pt>
                <c:pt idx="10">
                  <c:v>0.184489528182535</c:v>
                </c:pt>
                <c:pt idx="11">
                  <c:v>0.24399137482119</c:v>
                </c:pt>
                <c:pt idx="12">
                  <c:v>0.316188103812787</c:v>
                </c:pt>
                <c:pt idx="13">
                  <c:v>0.402238467256525</c:v>
                </c:pt>
                <c:pt idx="14">
                  <c:v>0.499092467422165</c:v>
                </c:pt>
                <c:pt idx="15">
                  <c:v>0.607096094948837</c:v>
                </c:pt>
                <c:pt idx="16">
                  <c:v>0.726060407115621</c:v>
                </c:pt>
                <c:pt idx="17">
                  <c:v>0.854221619817599</c:v>
                </c:pt>
                <c:pt idx="18">
                  <c:v>0.994231768977456</c:v>
                </c:pt>
                <c:pt idx="19">
                  <c:v>1.145132863335606</c:v>
                </c:pt>
                <c:pt idx="20">
                  <c:v>1.309131899129629</c:v>
                </c:pt>
                <c:pt idx="21">
                  <c:v>1.490390755577793</c:v>
                </c:pt>
                <c:pt idx="22">
                  <c:v>1.693173483476133</c:v>
                </c:pt>
                <c:pt idx="23">
                  <c:v>1.931882249018134</c:v>
                </c:pt>
                <c:pt idx="24">
                  <c:v>2.218808937359025</c:v>
                </c:pt>
                <c:pt idx="25">
                  <c:v>2.565968048671897</c:v>
                </c:pt>
                <c:pt idx="26">
                  <c:v>2.993245339343438</c:v>
                </c:pt>
                <c:pt idx="27">
                  <c:v>3.51030721219621</c:v>
                </c:pt>
                <c:pt idx="28">
                  <c:v>4.141337869572841</c:v>
                </c:pt>
                <c:pt idx="29">
                  <c:v>4.913599807382525</c:v>
                </c:pt>
                <c:pt idx="30">
                  <c:v>5.834242435184206</c:v>
                </c:pt>
                <c:pt idx="31">
                  <c:v>6.926148530414355</c:v>
                </c:pt>
                <c:pt idx="32">
                  <c:v>8.16359496720341</c:v>
                </c:pt>
                <c:pt idx="33">
                  <c:v>9.482016498417083</c:v>
                </c:pt>
                <c:pt idx="34">
                  <c:v>10.89558084010342</c:v>
                </c:pt>
                <c:pt idx="35">
                  <c:v>12.35774747885997</c:v>
                </c:pt>
                <c:pt idx="36">
                  <c:v>13.76581561471408</c:v>
                </c:pt>
                <c:pt idx="37">
                  <c:v>15.06973867819489</c:v>
                </c:pt>
                <c:pt idx="38">
                  <c:v>16.20678171455067</c:v>
                </c:pt>
                <c:pt idx="39">
                  <c:v>17.17675483849935</c:v>
                </c:pt>
                <c:pt idx="40">
                  <c:v>17.98938200278853</c:v>
                </c:pt>
                <c:pt idx="41">
                  <c:v>18.64046714835028</c:v>
                </c:pt>
                <c:pt idx="42">
                  <c:v>19.16544792832968</c:v>
                </c:pt>
                <c:pt idx="43">
                  <c:v>19.59193887237281</c:v>
                </c:pt>
                <c:pt idx="44">
                  <c:v>19.94060618218293</c:v>
                </c:pt>
                <c:pt idx="45">
                  <c:v>20.2238988281976</c:v>
                </c:pt>
                <c:pt idx="46">
                  <c:v>20.45430344878645</c:v>
                </c:pt>
                <c:pt idx="47">
                  <c:v>20.64474801555279</c:v>
                </c:pt>
                <c:pt idx="48">
                  <c:v>20.80837801210555</c:v>
                </c:pt>
                <c:pt idx="49">
                  <c:v>20.95482737125418</c:v>
                </c:pt>
                <c:pt idx="50">
                  <c:v>21.08190105828786</c:v>
                </c:pt>
                <c:pt idx="51">
                  <c:v>21.19007059075997</c:v>
                </c:pt>
                <c:pt idx="52">
                  <c:v>21.28323494320888</c:v>
                </c:pt>
                <c:pt idx="53">
                  <c:v>21.36271001954131</c:v>
                </c:pt>
                <c:pt idx="54">
                  <c:v>21.43082346058107</c:v>
                </c:pt>
                <c:pt idx="55">
                  <c:v>21.49020648694662</c:v>
                </c:pt>
                <c:pt idx="56">
                  <c:v>21.54222432692136</c:v>
                </c:pt>
                <c:pt idx="57">
                  <c:v>21.5878693399887</c:v>
                </c:pt>
                <c:pt idx="58">
                  <c:v>21.62813271124213</c:v>
                </c:pt>
                <c:pt idx="59">
                  <c:v>21.66391754653106</c:v>
                </c:pt>
                <c:pt idx="60">
                  <c:v>21.6972468147309</c:v>
                </c:pt>
                <c:pt idx="61">
                  <c:v>21.7283820210254</c:v>
                </c:pt>
                <c:pt idx="62">
                  <c:v>21.75631614625546</c:v>
                </c:pt>
                <c:pt idx="63">
                  <c:v>21.78086332518183</c:v>
                </c:pt>
                <c:pt idx="64">
                  <c:v>21.79220233976248</c:v>
                </c:pt>
                <c:pt idx="65">
                  <c:v>21.79220233976248</c:v>
                </c:pt>
                <c:pt idx="66">
                  <c:v>21.79220233976248</c:v>
                </c:pt>
                <c:pt idx="67">
                  <c:v>21.79220233976248</c:v>
                </c:pt>
                <c:pt idx="68">
                  <c:v>21.79220233976248</c:v>
                </c:pt>
                <c:pt idx="69">
                  <c:v>21.79220233976248</c:v>
                </c:pt>
                <c:pt idx="70">
                  <c:v>21.79220233976248</c:v>
                </c:pt>
                <c:pt idx="71">
                  <c:v>21.79220233976248</c:v>
                </c:pt>
                <c:pt idx="72">
                  <c:v>21.79220233976248</c:v>
                </c:pt>
                <c:pt idx="73">
                  <c:v>21.79220233976248</c:v>
                </c:pt>
                <c:pt idx="74">
                  <c:v>21.79220233976248</c:v>
                </c:pt>
                <c:pt idx="75">
                  <c:v>21.79220233976248</c:v>
                </c:pt>
                <c:pt idx="76">
                  <c:v>21.79220233976248</c:v>
                </c:pt>
                <c:pt idx="77">
                  <c:v>21.79220233976248</c:v>
                </c:pt>
                <c:pt idx="78">
                  <c:v>21.79220233976248</c:v>
                </c:pt>
                <c:pt idx="79">
                  <c:v>21.79220233976248</c:v>
                </c:pt>
                <c:pt idx="80">
                  <c:v>21.79220233976248</c:v>
                </c:pt>
                <c:pt idx="81">
                  <c:v>21.79220233976248</c:v>
                </c:pt>
                <c:pt idx="82">
                  <c:v>21.79220233976248</c:v>
                </c:pt>
                <c:pt idx="83">
                  <c:v>21.79220233976248</c:v>
                </c:pt>
                <c:pt idx="84">
                  <c:v>21.79220233976248</c:v>
                </c:pt>
                <c:pt idx="85">
                  <c:v>21.79220233976248</c:v>
                </c:pt>
                <c:pt idx="86">
                  <c:v>21.79220233976248</c:v>
                </c:pt>
                <c:pt idx="87">
                  <c:v>21.79220233976248</c:v>
                </c:pt>
                <c:pt idx="88">
                  <c:v>21.79220233976248</c:v>
                </c:pt>
                <c:pt idx="89">
                  <c:v>21.79220233976248</c:v>
                </c:pt>
                <c:pt idx="90">
                  <c:v>21.79220233976248</c:v>
                </c:pt>
                <c:pt idx="91">
                  <c:v>21.79220233976248</c:v>
                </c:pt>
                <c:pt idx="92">
                  <c:v>21.79220233976248</c:v>
                </c:pt>
                <c:pt idx="93">
                  <c:v>21.79220233976248</c:v>
                </c:pt>
                <c:pt idx="94">
                  <c:v>21.79220233976248</c:v>
                </c:pt>
                <c:pt idx="95">
                  <c:v>21.79220233976248</c:v>
                </c:pt>
                <c:pt idx="96">
                  <c:v>21.79220233976248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0.321169541329695</c:v>
                  </c:pt>
                  <c:pt idx="1">
                    <c:v>0.315816878231969</c:v>
                  </c:pt>
                  <c:pt idx="2">
                    <c:v>0.590178402852364</c:v>
                  </c:pt>
                  <c:pt idx="3">
                    <c:v>0.196543673322018</c:v>
                  </c:pt>
                  <c:pt idx="4">
                    <c:v>0.461938751728634</c:v>
                  </c:pt>
                  <c:pt idx="5">
                    <c:v>0.69611418450908</c:v>
                  </c:pt>
                  <c:pt idx="6">
                    <c:v>0.298714323992067</c:v>
                  </c:pt>
                  <c:pt idx="7">
                    <c:v>0.437655870514032</c:v>
                  </c:pt>
                  <c:pt idx="8">
                    <c:v>1.113748541216743</c:v>
                  </c:pt>
                  <c:pt idx="9">
                    <c:v>0.555394159614876</c:v>
                  </c:pt>
                  <c:pt idx="10">
                    <c:v>1.775653796075063</c:v>
                  </c:pt>
                  <c:pt idx="11">
                    <c:v>1.708905991391883</c:v>
                  </c:pt>
                  <c:pt idx="12">
                    <c:v>1.138540748712533</c:v>
                  </c:pt>
                  <c:pt idx="13">
                    <c:v>2.452262556190116</c:v>
                  </c:pt>
                  <c:pt idx="14">
                    <c:v>1.617526697415426</c:v>
                  </c:pt>
                  <c:pt idx="15">
                    <c:v>0.703647145932786</c:v>
                  </c:pt>
                  <c:pt idx="16">
                    <c:v>0.464192833556465</c:v>
                  </c:pt>
                  <c:pt idx="17">
                    <c:v>1.684595922535662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0.321169541329695</c:v>
                  </c:pt>
                  <c:pt idx="1">
                    <c:v>0.315816878231969</c:v>
                  </c:pt>
                  <c:pt idx="2">
                    <c:v>0.590178402852364</c:v>
                  </c:pt>
                  <c:pt idx="3">
                    <c:v>0.196543673322018</c:v>
                  </c:pt>
                  <c:pt idx="4">
                    <c:v>0.461938751728634</c:v>
                  </c:pt>
                  <c:pt idx="5">
                    <c:v>0.69611418450908</c:v>
                  </c:pt>
                  <c:pt idx="6">
                    <c:v>0.298714323992067</c:v>
                  </c:pt>
                  <c:pt idx="7">
                    <c:v>0.437655870514032</c:v>
                  </c:pt>
                  <c:pt idx="8">
                    <c:v>1.113748541216743</c:v>
                  </c:pt>
                  <c:pt idx="9">
                    <c:v>0.555394159614876</c:v>
                  </c:pt>
                  <c:pt idx="10">
                    <c:v>1.775653796075063</c:v>
                  </c:pt>
                  <c:pt idx="11">
                    <c:v>1.708905991391883</c:v>
                  </c:pt>
                  <c:pt idx="12">
                    <c:v>1.138540748712533</c:v>
                  </c:pt>
                  <c:pt idx="13">
                    <c:v>2.452262556190116</c:v>
                  </c:pt>
                  <c:pt idx="14">
                    <c:v>1.617526697415426</c:v>
                  </c:pt>
                  <c:pt idx="15">
                    <c:v>0.703647145932786</c:v>
                  </c:pt>
                  <c:pt idx="16">
                    <c:v>0.464192833556465</c:v>
                  </c:pt>
                  <c:pt idx="17">
                    <c:v>1.684595922535662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49.5892539964476</c:v>
                </c:pt>
                <c:pt idx="1">
                  <c:v>49.77057430432208</c:v>
                </c:pt>
                <c:pt idx="2">
                  <c:v>49.71876850207222</c:v>
                </c:pt>
                <c:pt idx="3">
                  <c:v>49.76968749475975</c:v>
                </c:pt>
                <c:pt idx="4">
                  <c:v>49.7252502737823</c:v>
                </c:pt>
                <c:pt idx="5">
                  <c:v>49.6400789335755</c:v>
                </c:pt>
                <c:pt idx="6">
                  <c:v>49.34753389547385</c:v>
                </c:pt>
                <c:pt idx="7">
                  <c:v>49.04758265387597</c:v>
                </c:pt>
                <c:pt idx="8">
                  <c:v>48.34608124080354</c:v>
                </c:pt>
                <c:pt idx="9">
                  <c:v>48.65040861633861</c:v>
                </c:pt>
                <c:pt idx="10">
                  <c:v>46.3207786265142</c:v>
                </c:pt>
                <c:pt idx="11">
                  <c:v>44.3504298615792</c:v>
                </c:pt>
                <c:pt idx="12">
                  <c:v>41.82450429569276</c:v>
                </c:pt>
                <c:pt idx="13">
                  <c:v>39.60894943761798</c:v>
                </c:pt>
                <c:pt idx="14">
                  <c:v>38.30815732983936</c:v>
                </c:pt>
                <c:pt idx="15">
                  <c:v>35.29938701479202</c:v>
                </c:pt>
                <c:pt idx="16">
                  <c:v>34.12994222828417</c:v>
                </c:pt>
                <c:pt idx="17">
                  <c:v>31.93758674124567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0.0393156465229571</c:v>
                  </c:pt>
                  <c:pt idx="1">
                    <c:v>0.0346731411111553</c:v>
                  </c:pt>
                  <c:pt idx="2">
                    <c:v>0.116481703312834</c:v>
                  </c:pt>
                  <c:pt idx="3">
                    <c:v>0.0262294654604866</c:v>
                  </c:pt>
                  <c:pt idx="4">
                    <c:v>0.0693966426306055</c:v>
                  </c:pt>
                  <c:pt idx="5">
                    <c:v>0.0472858413228978</c:v>
                  </c:pt>
                  <c:pt idx="6">
                    <c:v>0.047285841322898</c:v>
                  </c:pt>
                  <c:pt idx="7">
                    <c:v>0.0681461502494036</c:v>
                  </c:pt>
                  <c:pt idx="8">
                    <c:v>0.0454710423354472</c:v>
                  </c:pt>
                  <c:pt idx="9">
                    <c:v>0.034761149719746</c:v>
                  </c:pt>
                  <c:pt idx="10">
                    <c:v>0.21185161809773</c:v>
                  </c:pt>
                  <c:pt idx="11">
                    <c:v>0.0605062621505656</c:v>
                  </c:pt>
                  <c:pt idx="12">
                    <c:v>0.327006217066597</c:v>
                  </c:pt>
                  <c:pt idx="13">
                    <c:v>0.941368955785258</c:v>
                  </c:pt>
                  <c:pt idx="14">
                    <c:v>0.669563905367666</c:v>
                  </c:pt>
                  <c:pt idx="15">
                    <c:v>0.36470955021831</c:v>
                  </c:pt>
                  <c:pt idx="16">
                    <c:v>0.323203246698028</c:v>
                  </c:pt>
                  <c:pt idx="17">
                    <c:v>1.183258156431808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0.0393156465229571</c:v>
                  </c:pt>
                  <c:pt idx="1">
                    <c:v>0.0346731411111553</c:v>
                  </c:pt>
                  <c:pt idx="2">
                    <c:v>0.116481703312834</c:v>
                  </c:pt>
                  <c:pt idx="3">
                    <c:v>0.0262294654604866</c:v>
                  </c:pt>
                  <c:pt idx="4">
                    <c:v>0.0693966426306055</c:v>
                  </c:pt>
                  <c:pt idx="5">
                    <c:v>0.0472858413228978</c:v>
                  </c:pt>
                  <c:pt idx="6">
                    <c:v>0.047285841322898</c:v>
                  </c:pt>
                  <c:pt idx="7">
                    <c:v>0.0681461502494036</c:v>
                  </c:pt>
                  <c:pt idx="8">
                    <c:v>0.0454710423354472</c:v>
                  </c:pt>
                  <c:pt idx="9">
                    <c:v>0.034761149719746</c:v>
                  </c:pt>
                  <c:pt idx="10">
                    <c:v>0.21185161809773</c:v>
                  </c:pt>
                  <c:pt idx="11">
                    <c:v>0.0605062621505656</c:v>
                  </c:pt>
                  <c:pt idx="12">
                    <c:v>0.327006217066597</c:v>
                  </c:pt>
                  <c:pt idx="13">
                    <c:v>0.941368955785258</c:v>
                  </c:pt>
                  <c:pt idx="14">
                    <c:v>0.669563905367666</c:v>
                  </c:pt>
                  <c:pt idx="15">
                    <c:v>0.36470955021831</c:v>
                  </c:pt>
                  <c:pt idx="16">
                    <c:v>0.323203246698028</c:v>
                  </c:pt>
                  <c:pt idx="17">
                    <c:v>1.183258156431808</c:v>
                  </c:pt>
                </c:numCache>
              </c:numRef>
            </c:minus>
          </c:errBars>
          <c:xVal>
            <c:numRef>
              <c:f>Metabolites!$E$26:$E$43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0.499375780274657</c:v>
                </c:pt>
                <c:pt idx="1">
                  <c:v>0.786895168917641</c:v>
                </c:pt>
                <c:pt idx="2">
                  <c:v>0.923088563538002</c:v>
                </c:pt>
                <c:pt idx="3">
                  <c:v>1.23420249896142</c:v>
                </c:pt>
                <c:pt idx="4">
                  <c:v>1.597648633624906</c:v>
                </c:pt>
                <c:pt idx="5">
                  <c:v>1.961094768288391</c:v>
                </c:pt>
                <c:pt idx="6">
                  <c:v>2.188248602453069</c:v>
                </c:pt>
                <c:pt idx="7">
                  <c:v>2.771276776809077</c:v>
                </c:pt>
                <c:pt idx="8">
                  <c:v>3.478534738661708</c:v>
                </c:pt>
                <c:pt idx="9">
                  <c:v>4.543717347658234</c:v>
                </c:pt>
                <c:pt idx="10">
                  <c:v>6.672918059611475</c:v>
                </c:pt>
                <c:pt idx="11">
                  <c:v>9.513594474798605</c:v>
                </c:pt>
                <c:pt idx="12">
                  <c:v>11.8821363574244</c:v>
                </c:pt>
                <c:pt idx="13">
                  <c:v>14.27988744502654</c:v>
                </c:pt>
                <c:pt idx="14">
                  <c:v>16.45350909896912</c:v>
                </c:pt>
                <c:pt idx="15">
                  <c:v>20.63823314426298</c:v>
                </c:pt>
                <c:pt idx="16">
                  <c:v>22.19141927516275</c:v>
                </c:pt>
                <c:pt idx="17">
                  <c:v>22.11337965313241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21032"/>
        <c:axId val="-214191540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cytometer'!$N$4:$N$14</c:f>
              <c:numCache>
                <c:formatCode>General</c:formatCode>
                <c:ptCount val="11"/>
                <c:pt idx="0">
                  <c:v>15654.0</c:v>
                </c:pt>
                <c:pt idx="1">
                  <c:v>35328.0</c:v>
                </c:pt>
                <c:pt idx="2">
                  <c:v>4233.0</c:v>
                </c:pt>
                <c:pt idx="3">
                  <c:v>4676.0</c:v>
                </c:pt>
                <c:pt idx="4">
                  <c:v>4891.0</c:v>
                </c:pt>
                <c:pt idx="5">
                  <c:v>4885.0</c:v>
                </c:pt>
                <c:pt idx="6">
                  <c:v>5187.0</c:v>
                </c:pt>
                <c:pt idx="7">
                  <c:v>6323.0</c:v>
                </c:pt>
                <c:pt idx="8">
                  <c:v>12164.0</c:v>
                </c:pt>
                <c:pt idx="9">
                  <c:v>12852.0</c:v>
                </c:pt>
                <c:pt idx="10">
                  <c:v>22046.0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cytometer'!$X$4:$X$21</c:f>
                <c:numCache>
                  <c:formatCode>General</c:formatCode>
                  <c:ptCount val="18"/>
                  <c:pt idx="0">
                    <c:v>0.0198771887793996</c:v>
                  </c:pt>
                  <c:pt idx="1">
                    <c:v>0.0137218976005426</c:v>
                  </c:pt>
                  <c:pt idx="2">
                    <c:v>0.0149954180198383</c:v>
                  </c:pt>
                  <c:pt idx="3">
                    <c:v>0.0114555218406095</c:v>
                  </c:pt>
                  <c:pt idx="4">
                    <c:v>0.028978408218013</c:v>
                  </c:pt>
                  <c:pt idx="5">
                    <c:v>0.0118130062477958</c:v>
                  </c:pt>
                  <c:pt idx="6">
                    <c:v>0.00933842445639288</c:v>
                  </c:pt>
                  <c:pt idx="7">
                    <c:v>0.0600735998968302</c:v>
                  </c:pt>
                  <c:pt idx="8">
                    <c:v>0.0902329516054236</c:v>
                  </c:pt>
                  <c:pt idx="9">
                    <c:v>0.00729213559217965</c:v>
                  </c:pt>
                  <c:pt idx="10">
                    <c:v>0.0163730384944838</c:v>
                  </c:pt>
                  <c:pt idx="11">
                    <c:v>0.0262697730689542</c:v>
                  </c:pt>
                  <c:pt idx="12">
                    <c:v>0.0149639350306679</c:v>
                  </c:pt>
                  <c:pt idx="13">
                    <c:v>0.00519987336439372</c:v>
                  </c:pt>
                  <c:pt idx="14">
                    <c:v>0.033309837578079</c:v>
                  </c:pt>
                  <c:pt idx="15">
                    <c:v>0.0695140231225045</c:v>
                  </c:pt>
                  <c:pt idx="16">
                    <c:v>0.0542729842914715</c:v>
                  </c:pt>
                  <c:pt idx="17">
                    <c:v>0.00435283823781401</c:v>
                  </c:pt>
                </c:numCache>
              </c:numRef>
            </c:plus>
            <c:minus>
              <c:numRef>
                <c:f>'Flow cytometer'!$X$4:$X$21</c:f>
                <c:numCache>
                  <c:formatCode>General</c:formatCode>
                  <c:ptCount val="18"/>
                  <c:pt idx="0">
                    <c:v>0.0198771887793996</c:v>
                  </c:pt>
                  <c:pt idx="1">
                    <c:v>0.0137218976005426</c:v>
                  </c:pt>
                  <c:pt idx="2">
                    <c:v>0.0149954180198383</c:v>
                  </c:pt>
                  <c:pt idx="3">
                    <c:v>0.0114555218406095</c:v>
                  </c:pt>
                  <c:pt idx="4">
                    <c:v>0.028978408218013</c:v>
                  </c:pt>
                  <c:pt idx="5">
                    <c:v>0.0118130062477958</c:v>
                  </c:pt>
                  <c:pt idx="6">
                    <c:v>0.00933842445639288</c:v>
                  </c:pt>
                  <c:pt idx="7">
                    <c:v>0.0600735998968302</c:v>
                  </c:pt>
                  <c:pt idx="8">
                    <c:v>0.0902329516054236</c:v>
                  </c:pt>
                  <c:pt idx="9">
                    <c:v>0.00729213559217965</c:v>
                  </c:pt>
                  <c:pt idx="10">
                    <c:v>0.0163730384944838</c:v>
                  </c:pt>
                  <c:pt idx="11">
                    <c:v>0.0262697730689542</c:v>
                  </c:pt>
                  <c:pt idx="12">
                    <c:v>0.0149639350306679</c:v>
                  </c:pt>
                  <c:pt idx="13">
                    <c:v>0.00519987336439372</c:v>
                  </c:pt>
                  <c:pt idx="14">
                    <c:v>0.033309837578079</c:v>
                  </c:pt>
                  <c:pt idx="15">
                    <c:v>0.0695140231225045</c:v>
                  </c:pt>
                  <c:pt idx="16">
                    <c:v>0.0542729842914715</c:v>
                  </c:pt>
                  <c:pt idx="17">
                    <c:v>0.00435283823781401</c:v>
                  </c:pt>
                </c:numCache>
              </c:numRef>
            </c:minus>
          </c:errBars>
          <c:xVal>
            <c:numRef>
              <c:f>'Flow cytometer'!$D$4:$D$21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'Flow cytometer'!$S$4:$S$21</c:f>
              <c:numCache>
                <c:formatCode>0.00</c:formatCode>
                <c:ptCount val="18"/>
                <c:pt idx="0">
                  <c:v>7.356320388795956</c:v>
                </c:pt>
                <c:pt idx="1">
                  <c:v>7.70256567849541</c:v>
                </c:pt>
                <c:pt idx="2">
                  <c:v>7.779732509043553</c:v>
                </c:pt>
                <c:pt idx="3">
                  <c:v>7.822559968142551</c:v>
                </c:pt>
                <c:pt idx="4">
                  <c:v>7.827769480610156</c:v>
                </c:pt>
                <c:pt idx="5">
                  <c:v>7.8396873643813</c:v>
                </c:pt>
                <c:pt idx="6">
                  <c:v>7.872124975563349</c:v>
                </c:pt>
                <c:pt idx="7">
                  <c:v>7.938553291614097</c:v>
                </c:pt>
                <c:pt idx="8">
                  <c:v>8.15299894983226</c:v>
                </c:pt>
                <c:pt idx="9">
                  <c:v>8.273111724394596</c:v>
                </c:pt>
                <c:pt idx="10">
                  <c:v>8.522173029870686</c:v>
                </c:pt>
                <c:pt idx="11">
                  <c:v>8.633858293075027</c:v>
                </c:pt>
                <c:pt idx="12">
                  <c:v>8.586907585493538</c:v>
                </c:pt>
                <c:pt idx="13">
                  <c:v>8.591062742047288</c:v>
                </c:pt>
                <c:pt idx="14">
                  <c:v>8.524223943790433</c:v>
                </c:pt>
                <c:pt idx="15">
                  <c:v>8.440092549777501</c:v>
                </c:pt>
                <c:pt idx="16">
                  <c:v>8.424997918833671</c:v>
                </c:pt>
                <c:pt idx="17">
                  <c:v>8.363069453030716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count'!$AD$4:$AD$21</c:f>
                <c:numCache>
                  <c:formatCode>General</c:formatCode>
                  <c:ptCount val="18"/>
                  <c:pt idx="0">
                    <c:v>0.0636731546355501</c:v>
                  </c:pt>
                  <c:pt idx="1">
                    <c:v>0.692175408269902</c:v>
                  </c:pt>
                  <c:pt idx="2">
                    <c:v>0.276368417843325</c:v>
                  </c:pt>
                  <c:pt idx="3">
                    <c:v>0.119826237343633</c:v>
                  </c:pt>
                  <c:pt idx="4">
                    <c:v>0.247885341462329</c:v>
                  </c:pt>
                  <c:pt idx="5">
                    <c:v>0.274253389535559</c:v>
                  </c:pt>
                  <c:pt idx="6">
                    <c:v>0.263649337434379</c:v>
                  </c:pt>
                  <c:pt idx="7">
                    <c:v>0.114801575643908</c:v>
                  </c:pt>
                  <c:pt idx="8">
                    <c:v>0.439525930329355</c:v>
                  </c:pt>
                  <c:pt idx="9">
                    <c:v>0.553813314289827</c:v>
                  </c:pt>
                  <c:pt idx="10">
                    <c:v>0.141715909023208</c:v>
                  </c:pt>
                  <c:pt idx="11">
                    <c:v>0.245383750173603</c:v>
                  </c:pt>
                  <c:pt idx="12">
                    <c:v>0.044617587933174</c:v>
                  </c:pt>
                  <c:pt idx="13">
                    <c:v>0.306974026911503</c:v>
                  </c:pt>
                  <c:pt idx="14">
                    <c:v>0.26589330327912</c:v>
                  </c:pt>
                  <c:pt idx="15">
                    <c:v>0.188329560236311</c:v>
                  </c:pt>
                  <c:pt idx="16">
                    <c:v>0.22686051568825</c:v>
                  </c:pt>
                  <c:pt idx="17">
                    <c:v>0.0876452377880741</c:v>
                  </c:pt>
                </c:numCache>
              </c:numRef>
            </c:plus>
            <c:minus>
              <c:numRef>
                <c:f>'Determination cell count'!$AD$4:$AD$21</c:f>
                <c:numCache>
                  <c:formatCode>General</c:formatCode>
                  <c:ptCount val="18"/>
                  <c:pt idx="0">
                    <c:v>0.0636731546355501</c:v>
                  </c:pt>
                  <c:pt idx="1">
                    <c:v>0.692175408269902</c:v>
                  </c:pt>
                  <c:pt idx="2">
                    <c:v>0.276368417843325</c:v>
                  </c:pt>
                  <c:pt idx="3">
                    <c:v>0.119826237343633</c:v>
                  </c:pt>
                  <c:pt idx="4">
                    <c:v>0.247885341462329</c:v>
                  </c:pt>
                  <c:pt idx="5">
                    <c:v>0.274253389535559</c:v>
                  </c:pt>
                  <c:pt idx="6">
                    <c:v>0.263649337434379</c:v>
                  </c:pt>
                  <c:pt idx="7">
                    <c:v>0.114801575643908</c:v>
                  </c:pt>
                  <c:pt idx="8">
                    <c:v>0.439525930329355</c:v>
                  </c:pt>
                  <c:pt idx="9">
                    <c:v>0.553813314289827</c:v>
                  </c:pt>
                  <c:pt idx="10">
                    <c:v>0.141715909023208</c:v>
                  </c:pt>
                  <c:pt idx="11">
                    <c:v>0.245383750173603</c:v>
                  </c:pt>
                  <c:pt idx="12">
                    <c:v>0.044617587933174</c:v>
                  </c:pt>
                  <c:pt idx="13">
                    <c:v>0.306974026911503</c:v>
                  </c:pt>
                  <c:pt idx="14">
                    <c:v>0.26589330327912</c:v>
                  </c:pt>
                  <c:pt idx="15">
                    <c:v>0.188329560236311</c:v>
                  </c:pt>
                  <c:pt idx="16">
                    <c:v>0.22686051568825</c:v>
                  </c:pt>
                  <c:pt idx="17">
                    <c:v>0.0876452377880741</c:v>
                  </c:pt>
                </c:numCache>
              </c:numRef>
            </c:minus>
          </c:errBars>
          <c:xVal>
            <c:numRef>
              <c:f>'Determination cell count'!$D$4:$D$21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'Determination cell count'!$X$4:$X$21</c:f>
              <c:numCache>
                <c:formatCode>0.00</c:formatCode>
                <c:ptCount val="18"/>
                <c:pt idx="0">
                  <c:v>5.790118846143914</c:v>
                </c:pt>
                <c:pt idx="1">
                  <c:v>6.21926897179627</c:v>
                </c:pt>
                <c:pt idx="2">
                  <c:v>6.848989453872161</c:v>
                </c:pt>
                <c:pt idx="3">
                  <c:v>6.253382307689564</c:v>
                </c:pt>
                <c:pt idx="4">
                  <c:v>6.422502458000281</c:v>
                </c:pt>
                <c:pt idx="5">
                  <c:v>6.912796462863265</c:v>
                </c:pt>
                <c:pt idx="6">
                  <c:v>6.361223936565781</c:v>
                </c:pt>
                <c:pt idx="7">
                  <c:v>6.131063341767532</c:v>
                </c:pt>
                <c:pt idx="8">
                  <c:v>6.664530020361181</c:v>
                </c:pt>
                <c:pt idx="9">
                  <c:v>7.189114607692966</c:v>
                </c:pt>
                <c:pt idx="10">
                  <c:v>7.222301817339754</c:v>
                </c:pt>
                <c:pt idx="11">
                  <c:v>7.541024709982468</c:v>
                </c:pt>
                <c:pt idx="12">
                  <c:v>7.621644752914787</c:v>
                </c:pt>
                <c:pt idx="13">
                  <c:v>8.040051543004663</c:v>
                </c:pt>
                <c:pt idx="14">
                  <c:v>7.942875657115079</c:v>
                </c:pt>
                <c:pt idx="15">
                  <c:v>7.854044191051293</c:v>
                </c:pt>
                <c:pt idx="16">
                  <c:v>7.92840919958799</c:v>
                </c:pt>
                <c:pt idx="17">
                  <c:v>6.907126487045777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04008"/>
        <c:axId val="-2141909944"/>
      </c:scatterChart>
      <c:valAx>
        <c:axId val="-214192103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41915400"/>
        <c:crosses val="autoZero"/>
        <c:crossBetween val="midCat"/>
        <c:majorUnit val="6.0"/>
      </c:valAx>
      <c:valAx>
        <c:axId val="-2141915400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41921032"/>
        <c:crosses val="autoZero"/>
        <c:crossBetween val="midCat"/>
      </c:valAx>
      <c:valAx>
        <c:axId val="-2141909944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41904008"/>
        <c:crosses val="max"/>
        <c:crossBetween val="midCat"/>
        <c:majorUnit val="1.0"/>
        <c:minorUnit val="0.2"/>
      </c:valAx>
      <c:valAx>
        <c:axId val="-2141904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190994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0.076911669963094</c:v>
                  </c:pt>
                  <c:pt idx="1">
                    <c:v>0.0128186116605157</c:v>
                  </c:pt>
                  <c:pt idx="2">
                    <c:v>0.0256372233210314</c:v>
                  </c:pt>
                  <c:pt idx="3">
                    <c:v>0.0128279207466889</c:v>
                  </c:pt>
                  <c:pt idx="4">
                    <c:v>0.0128279207466889</c:v>
                  </c:pt>
                  <c:pt idx="5">
                    <c:v>0.0128279207466888</c:v>
                  </c:pt>
                  <c:pt idx="6">
                    <c:v>0.0128279207466889</c:v>
                  </c:pt>
                  <c:pt idx="7">
                    <c:v>0.0128279207466889</c:v>
                  </c:pt>
                  <c:pt idx="8">
                    <c:v>9.44947365965359E-17</c:v>
                  </c:pt>
                  <c:pt idx="9">
                    <c:v>0.0157393779960849</c:v>
                  </c:pt>
                  <c:pt idx="10">
                    <c:v>0.0340665181038828</c:v>
                  </c:pt>
                  <c:pt idx="11">
                    <c:v>0.0387443835866385</c:v>
                  </c:pt>
                  <c:pt idx="12">
                    <c:v>0.0272032168387242</c:v>
                  </c:pt>
                  <c:pt idx="13">
                    <c:v>0.0624587840892831</c:v>
                  </c:pt>
                  <c:pt idx="14">
                    <c:v>0.0360991220847761</c:v>
                  </c:pt>
                  <c:pt idx="15">
                    <c:v>0.0237120826342087</c:v>
                  </c:pt>
                  <c:pt idx="16">
                    <c:v>0.0137061891951723</c:v>
                  </c:pt>
                  <c:pt idx="17">
                    <c:v>0.0857002778046193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0.076911669963094</c:v>
                  </c:pt>
                  <c:pt idx="1">
                    <c:v>0.0128186116605157</c:v>
                  </c:pt>
                  <c:pt idx="2">
                    <c:v>0.0256372233210314</c:v>
                  </c:pt>
                  <c:pt idx="3">
                    <c:v>0.0128279207466889</c:v>
                  </c:pt>
                  <c:pt idx="4">
                    <c:v>0.0128279207466889</c:v>
                  </c:pt>
                  <c:pt idx="5">
                    <c:v>0.0128279207466888</c:v>
                  </c:pt>
                  <c:pt idx="6">
                    <c:v>0.0128279207466889</c:v>
                  </c:pt>
                  <c:pt idx="7">
                    <c:v>0.0128279207466889</c:v>
                  </c:pt>
                  <c:pt idx="8">
                    <c:v>9.44947365965359E-17</c:v>
                  </c:pt>
                  <c:pt idx="9">
                    <c:v>0.0157393779960849</c:v>
                  </c:pt>
                  <c:pt idx="10">
                    <c:v>0.0340665181038828</c:v>
                  </c:pt>
                  <c:pt idx="11">
                    <c:v>0.0387443835866385</c:v>
                  </c:pt>
                  <c:pt idx="12">
                    <c:v>0.0272032168387242</c:v>
                  </c:pt>
                  <c:pt idx="13">
                    <c:v>0.0624587840892831</c:v>
                  </c:pt>
                  <c:pt idx="14">
                    <c:v>0.0360991220847761</c:v>
                  </c:pt>
                  <c:pt idx="15">
                    <c:v>0.0237120826342087</c:v>
                  </c:pt>
                  <c:pt idx="16">
                    <c:v>0.0137061891951723</c:v>
                  </c:pt>
                  <c:pt idx="17">
                    <c:v>0.0857002778046193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0.421847246891652</c:v>
                </c:pt>
                <c:pt idx="1">
                  <c:v>0.429248075784488</c:v>
                </c:pt>
                <c:pt idx="2">
                  <c:v>0.414446417998816</c:v>
                </c:pt>
                <c:pt idx="3">
                  <c:v>0.451778413270885</c:v>
                </c:pt>
                <c:pt idx="4">
                  <c:v>0.496215634248349</c:v>
                </c:pt>
                <c:pt idx="5">
                  <c:v>0.481403227255861</c:v>
                </c:pt>
                <c:pt idx="6">
                  <c:v>0.503621837744593</c:v>
                </c:pt>
                <c:pt idx="7">
                  <c:v>0.540652855225813</c:v>
                </c:pt>
                <c:pt idx="8">
                  <c:v>0.533719388122946</c:v>
                </c:pt>
                <c:pt idx="9">
                  <c:v>0.500823941071047</c:v>
                </c:pt>
                <c:pt idx="10">
                  <c:v>0.483205041040511</c:v>
                </c:pt>
                <c:pt idx="11">
                  <c:v>0.447381605866636</c:v>
                </c:pt>
                <c:pt idx="12">
                  <c:v>0.416203290963522</c:v>
                </c:pt>
                <c:pt idx="13">
                  <c:v>0.448536826848957</c:v>
                </c:pt>
                <c:pt idx="14">
                  <c:v>0.488403404164105</c:v>
                </c:pt>
                <c:pt idx="15">
                  <c:v>0.711362479026261</c:v>
                </c:pt>
                <c:pt idx="16">
                  <c:v>1.012898818738783</c:v>
                </c:pt>
                <c:pt idx="17">
                  <c:v>1.568752710187706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0.302207218180765</c:v>
                  </c:pt>
                  <c:pt idx="1">
                    <c:v>0.185437614082601</c:v>
                  </c:pt>
                  <c:pt idx="2">
                    <c:v>0.581974684300024</c:v>
                  </c:pt>
                  <c:pt idx="3">
                    <c:v>0.150292237935099</c:v>
                  </c:pt>
                  <c:pt idx="4">
                    <c:v>0.226871025428302</c:v>
                  </c:pt>
                  <c:pt idx="5">
                    <c:v>0.550698108450675</c:v>
                  </c:pt>
                  <c:pt idx="6">
                    <c:v>0.272815890404577</c:v>
                  </c:pt>
                  <c:pt idx="7">
                    <c:v>0.46701333476075</c:v>
                  </c:pt>
                  <c:pt idx="8">
                    <c:v>0.320550427703432</c:v>
                  </c:pt>
                  <c:pt idx="9">
                    <c:v>0.630298326940644</c:v>
                  </c:pt>
                  <c:pt idx="10">
                    <c:v>1.498747275091296</c:v>
                  </c:pt>
                  <c:pt idx="11">
                    <c:v>1.162880258622798</c:v>
                  </c:pt>
                  <c:pt idx="12">
                    <c:v>1.050931134362999</c:v>
                  </c:pt>
                  <c:pt idx="13">
                    <c:v>2.623016161123724</c:v>
                  </c:pt>
                  <c:pt idx="14">
                    <c:v>1.702121189553089</c:v>
                  </c:pt>
                  <c:pt idx="15">
                    <c:v>0.714064740256554</c:v>
                  </c:pt>
                  <c:pt idx="16">
                    <c:v>0.701469153869874</c:v>
                  </c:pt>
                  <c:pt idx="17">
                    <c:v>1.711585388857469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0.302207218180765</c:v>
                  </c:pt>
                  <c:pt idx="1">
                    <c:v>0.185437614082601</c:v>
                  </c:pt>
                  <c:pt idx="2">
                    <c:v>0.581974684300024</c:v>
                  </c:pt>
                  <c:pt idx="3">
                    <c:v>0.150292237935099</c:v>
                  </c:pt>
                  <c:pt idx="4">
                    <c:v>0.226871025428302</c:v>
                  </c:pt>
                  <c:pt idx="5">
                    <c:v>0.550698108450675</c:v>
                  </c:pt>
                  <c:pt idx="6">
                    <c:v>0.272815890404577</c:v>
                  </c:pt>
                  <c:pt idx="7">
                    <c:v>0.46701333476075</c:v>
                  </c:pt>
                  <c:pt idx="8">
                    <c:v>0.320550427703432</c:v>
                  </c:pt>
                  <c:pt idx="9">
                    <c:v>0.630298326940644</c:v>
                  </c:pt>
                  <c:pt idx="10">
                    <c:v>1.498747275091296</c:v>
                  </c:pt>
                  <c:pt idx="11">
                    <c:v>1.162880258622798</c:v>
                  </c:pt>
                  <c:pt idx="12">
                    <c:v>1.050931134362999</c:v>
                  </c:pt>
                  <c:pt idx="13">
                    <c:v>2.623016161123724</c:v>
                  </c:pt>
                  <c:pt idx="14">
                    <c:v>1.702121189553089</c:v>
                  </c:pt>
                  <c:pt idx="15">
                    <c:v>0.714064740256554</c:v>
                  </c:pt>
                  <c:pt idx="16">
                    <c:v>0.701469153869874</c:v>
                  </c:pt>
                  <c:pt idx="17">
                    <c:v>1.711585388857469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48.21537607549265</c:v>
                </c:pt>
                <c:pt idx="1">
                  <c:v>48.39300582847627</c:v>
                </c:pt>
                <c:pt idx="2">
                  <c:v>48.10435747987788</c:v>
                </c:pt>
                <c:pt idx="3">
                  <c:v>47.90598329359601</c:v>
                </c:pt>
                <c:pt idx="4">
                  <c:v>47.83932376211142</c:v>
                </c:pt>
                <c:pt idx="5">
                  <c:v>47.56157571425892</c:v>
                </c:pt>
                <c:pt idx="6">
                  <c:v>47.26160782257826</c:v>
                </c:pt>
                <c:pt idx="7">
                  <c:v>46.83943078984248</c:v>
                </c:pt>
                <c:pt idx="8">
                  <c:v>45.81345707889577</c:v>
                </c:pt>
                <c:pt idx="9">
                  <c:v>46.5680819167407</c:v>
                </c:pt>
                <c:pt idx="10">
                  <c:v>44.62832117028392</c:v>
                </c:pt>
                <c:pt idx="11">
                  <c:v>42.98457369469918</c:v>
                </c:pt>
                <c:pt idx="12">
                  <c:v>40.31113360372003</c:v>
                </c:pt>
                <c:pt idx="13">
                  <c:v>38.82419770817892</c:v>
                </c:pt>
                <c:pt idx="14">
                  <c:v>37.7312572910205</c:v>
                </c:pt>
                <c:pt idx="15">
                  <c:v>37.5620238184202</c:v>
                </c:pt>
                <c:pt idx="16">
                  <c:v>37.85523791539015</c:v>
                </c:pt>
                <c:pt idx="17">
                  <c:v>36.38044393083893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0.0663708551662805</c:v>
                  </c:pt>
                  <c:pt idx="3">
                    <c:v>0.152701932327096</c:v>
                  </c:pt>
                  <c:pt idx="4">
                    <c:v>0.0869629560210724</c:v>
                  </c:pt>
                  <c:pt idx="5">
                    <c:v>0.0251040430341459</c:v>
                  </c:pt>
                  <c:pt idx="6">
                    <c:v>0.0251040430341459</c:v>
                  </c:pt>
                  <c:pt idx="7">
                    <c:v>0.0434814780105362</c:v>
                  </c:pt>
                  <c:pt idx="8">
                    <c:v>0.17588408874012</c:v>
                  </c:pt>
                  <c:pt idx="9">
                    <c:v>0.100597996145252</c:v>
                  </c:pt>
                  <c:pt idx="10">
                    <c:v>0.381314983515021</c:v>
                  </c:pt>
                  <c:pt idx="11">
                    <c:v>0.176918375801222</c:v>
                  </c:pt>
                  <c:pt idx="12">
                    <c:v>0.333524311621854</c:v>
                  </c:pt>
                  <c:pt idx="13">
                    <c:v>0.348794265270117</c:v>
                  </c:pt>
                  <c:pt idx="14">
                    <c:v>0.482846290341498</c:v>
                  </c:pt>
                  <c:pt idx="15">
                    <c:v>0.271903681203739</c:v>
                  </c:pt>
                  <c:pt idx="16">
                    <c:v>0.167508337562114</c:v>
                  </c:pt>
                  <c:pt idx="17">
                    <c:v>0.735965230593919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0.0663708551662805</c:v>
                  </c:pt>
                  <c:pt idx="3">
                    <c:v>0.152701932327096</c:v>
                  </c:pt>
                  <c:pt idx="4">
                    <c:v>0.0869629560210724</c:v>
                  </c:pt>
                  <c:pt idx="5">
                    <c:v>0.0251040430341459</c:v>
                  </c:pt>
                  <c:pt idx="6">
                    <c:v>0.0251040430341459</c:v>
                  </c:pt>
                  <c:pt idx="7">
                    <c:v>0.0434814780105362</c:v>
                  </c:pt>
                  <c:pt idx="8">
                    <c:v>0.17588408874012</c:v>
                  </c:pt>
                  <c:pt idx="9">
                    <c:v>0.100597996145252</c:v>
                  </c:pt>
                  <c:pt idx="10">
                    <c:v>0.381314983515021</c:v>
                  </c:pt>
                  <c:pt idx="11">
                    <c:v>0.176918375801222</c:v>
                  </c:pt>
                  <c:pt idx="12">
                    <c:v>0.333524311621854</c:v>
                  </c:pt>
                  <c:pt idx="13">
                    <c:v>0.348794265270117</c:v>
                  </c:pt>
                  <c:pt idx="14">
                    <c:v>0.482846290341498</c:v>
                  </c:pt>
                  <c:pt idx="15">
                    <c:v>0.271903681203739</c:v>
                  </c:pt>
                  <c:pt idx="16">
                    <c:v>0.167508337562114</c:v>
                  </c:pt>
                  <c:pt idx="17">
                    <c:v>0.735965230593919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0.10138315591281</c:v>
                </c:pt>
                <c:pt idx="3">
                  <c:v>0.275382694066729</c:v>
                </c:pt>
                <c:pt idx="4">
                  <c:v>0.260888868063217</c:v>
                </c:pt>
                <c:pt idx="5">
                  <c:v>0.275382694066729</c:v>
                </c:pt>
                <c:pt idx="6">
                  <c:v>0.318864172077265</c:v>
                </c:pt>
                <c:pt idx="7">
                  <c:v>0.521777736126434</c:v>
                </c:pt>
                <c:pt idx="8">
                  <c:v>0.88490718354244</c:v>
                </c:pt>
                <c:pt idx="9">
                  <c:v>1.582687634207357</c:v>
                </c:pt>
                <c:pt idx="10">
                  <c:v>3.215124360842046</c:v>
                </c:pt>
                <c:pt idx="11">
                  <c:v>4.917497832583548</c:v>
                </c:pt>
                <c:pt idx="12">
                  <c:v>6.070355681793925</c:v>
                </c:pt>
                <c:pt idx="13">
                  <c:v>7.29943078688217</c:v>
                </c:pt>
                <c:pt idx="14">
                  <c:v>9.018415937906897</c:v>
                </c:pt>
                <c:pt idx="15">
                  <c:v>13.90578592886435</c:v>
                </c:pt>
                <c:pt idx="16">
                  <c:v>14.95962214212571</c:v>
                </c:pt>
                <c:pt idx="17">
                  <c:v>14.48183442297006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0.00503822101396567</c:v>
                </c:pt>
                <c:pt idx="3">
                  <c:v>0.0161020739380273</c:v>
                </c:pt>
                <c:pt idx="4">
                  <c:v>0.0287251316732638</c:v>
                </c:pt>
                <c:pt idx="5">
                  <c:v>0.0420028431625295</c:v>
                </c:pt>
                <c:pt idx="6">
                  <c:v>0.0567436415298047</c:v>
                </c:pt>
                <c:pt idx="7">
                  <c:v>0.075629180493459</c:v>
                </c:pt>
                <c:pt idx="8">
                  <c:v>0.101789632174131</c:v>
                </c:pt>
                <c:pt idx="9">
                  <c:v>0.137302027132114</c:v>
                </c:pt>
                <c:pt idx="10">
                  <c:v>0.184489528182535</c:v>
                </c:pt>
                <c:pt idx="11">
                  <c:v>0.24399137482119</c:v>
                </c:pt>
                <c:pt idx="12">
                  <c:v>0.316188103812787</c:v>
                </c:pt>
                <c:pt idx="13">
                  <c:v>0.402238467256525</c:v>
                </c:pt>
                <c:pt idx="14">
                  <c:v>0.499092467422165</c:v>
                </c:pt>
                <c:pt idx="15">
                  <c:v>0.607096094948837</c:v>
                </c:pt>
                <c:pt idx="16">
                  <c:v>0.726060407115621</c:v>
                </c:pt>
                <c:pt idx="17">
                  <c:v>0.854221619817599</c:v>
                </c:pt>
                <c:pt idx="18">
                  <c:v>0.994231768977456</c:v>
                </c:pt>
                <c:pt idx="19">
                  <c:v>1.145132863335606</c:v>
                </c:pt>
                <c:pt idx="20">
                  <c:v>1.309131899129629</c:v>
                </c:pt>
                <c:pt idx="21">
                  <c:v>1.490390755577793</c:v>
                </c:pt>
                <c:pt idx="22">
                  <c:v>1.693173483476133</c:v>
                </c:pt>
                <c:pt idx="23">
                  <c:v>1.931882249018134</c:v>
                </c:pt>
                <c:pt idx="24">
                  <c:v>2.218808937359025</c:v>
                </c:pt>
                <c:pt idx="25">
                  <c:v>2.565968048671897</c:v>
                </c:pt>
                <c:pt idx="26">
                  <c:v>2.993245339343438</c:v>
                </c:pt>
                <c:pt idx="27">
                  <c:v>3.51030721219621</c:v>
                </c:pt>
                <c:pt idx="28">
                  <c:v>4.141337869572841</c:v>
                </c:pt>
                <c:pt idx="29">
                  <c:v>4.913599807382525</c:v>
                </c:pt>
                <c:pt idx="30">
                  <c:v>5.834242435184206</c:v>
                </c:pt>
                <c:pt idx="31">
                  <c:v>6.926148530414355</c:v>
                </c:pt>
                <c:pt idx="32">
                  <c:v>8.16359496720341</c:v>
                </c:pt>
                <c:pt idx="33">
                  <c:v>9.482016498417083</c:v>
                </c:pt>
                <c:pt idx="34">
                  <c:v>10.89558084010342</c:v>
                </c:pt>
                <c:pt idx="35">
                  <c:v>12.35774747885997</c:v>
                </c:pt>
                <c:pt idx="36">
                  <c:v>13.76581561471408</c:v>
                </c:pt>
                <c:pt idx="37">
                  <c:v>15.06973867819489</c:v>
                </c:pt>
                <c:pt idx="38">
                  <c:v>16.20678171455067</c:v>
                </c:pt>
                <c:pt idx="39">
                  <c:v>17.17675483849935</c:v>
                </c:pt>
                <c:pt idx="40">
                  <c:v>17.98938200278853</c:v>
                </c:pt>
                <c:pt idx="41">
                  <c:v>18.64046714835028</c:v>
                </c:pt>
                <c:pt idx="42">
                  <c:v>19.16544792832968</c:v>
                </c:pt>
                <c:pt idx="43">
                  <c:v>19.59193887237281</c:v>
                </c:pt>
                <c:pt idx="44">
                  <c:v>19.94060618218293</c:v>
                </c:pt>
                <c:pt idx="45">
                  <c:v>20.2238988281976</c:v>
                </c:pt>
                <c:pt idx="46">
                  <c:v>20.45430344878645</c:v>
                </c:pt>
                <c:pt idx="47">
                  <c:v>20.64474801555279</c:v>
                </c:pt>
                <c:pt idx="48">
                  <c:v>20.80837801210555</c:v>
                </c:pt>
                <c:pt idx="49">
                  <c:v>20.95482737125418</c:v>
                </c:pt>
                <c:pt idx="50">
                  <c:v>21.08190105828786</c:v>
                </c:pt>
                <c:pt idx="51">
                  <c:v>21.19007059075997</c:v>
                </c:pt>
                <c:pt idx="52">
                  <c:v>21.28323494320888</c:v>
                </c:pt>
                <c:pt idx="53">
                  <c:v>21.36271001954131</c:v>
                </c:pt>
                <c:pt idx="54">
                  <c:v>21.43082346058107</c:v>
                </c:pt>
                <c:pt idx="55">
                  <c:v>21.49020648694662</c:v>
                </c:pt>
                <c:pt idx="56">
                  <c:v>21.54222432692136</c:v>
                </c:pt>
                <c:pt idx="57">
                  <c:v>21.5878693399887</c:v>
                </c:pt>
                <c:pt idx="58">
                  <c:v>21.62813271124213</c:v>
                </c:pt>
                <c:pt idx="59">
                  <c:v>21.66391754653106</c:v>
                </c:pt>
                <c:pt idx="60">
                  <c:v>21.6972468147309</c:v>
                </c:pt>
                <c:pt idx="61">
                  <c:v>21.7283820210254</c:v>
                </c:pt>
                <c:pt idx="62">
                  <c:v>21.75631614625546</c:v>
                </c:pt>
                <c:pt idx="63">
                  <c:v>21.78086332518183</c:v>
                </c:pt>
                <c:pt idx="64">
                  <c:v>21.79220233976248</c:v>
                </c:pt>
                <c:pt idx="65">
                  <c:v>21.79220233976248</c:v>
                </c:pt>
                <c:pt idx="66">
                  <c:v>21.79220233976248</c:v>
                </c:pt>
                <c:pt idx="67">
                  <c:v>21.79220233976248</c:v>
                </c:pt>
                <c:pt idx="68">
                  <c:v>21.79220233976248</c:v>
                </c:pt>
                <c:pt idx="69">
                  <c:v>21.79220233976248</c:v>
                </c:pt>
                <c:pt idx="70">
                  <c:v>21.79220233976248</c:v>
                </c:pt>
                <c:pt idx="71">
                  <c:v>21.79220233976248</c:v>
                </c:pt>
                <c:pt idx="72">
                  <c:v>21.79220233976248</c:v>
                </c:pt>
                <c:pt idx="73">
                  <c:v>21.79220233976248</c:v>
                </c:pt>
                <c:pt idx="74">
                  <c:v>21.79220233976248</c:v>
                </c:pt>
                <c:pt idx="75">
                  <c:v>21.79220233976248</c:v>
                </c:pt>
                <c:pt idx="76">
                  <c:v>21.79220233976248</c:v>
                </c:pt>
                <c:pt idx="77">
                  <c:v>21.79220233976248</c:v>
                </c:pt>
                <c:pt idx="78">
                  <c:v>21.79220233976248</c:v>
                </c:pt>
                <c:pt idx="79">
                  <c:v>21.79220233976248</c:v>
                </c:pt>
                <c:pt idx="80">
                  <c:v>21.79220233976248</c:v>
                </c:pt>
                <c:pt idx="81">
                  <c:v>21.79220233976248</c:v>
                </c:pt>
                <c:pt idx="82">
                  <c:v>21.79220233976248</c:v>
                </c:pt>
                <c:pt idx="83">
                  <c:v>21.79220233976248</c:v>
                </c:pt>
                <c:pt idx="84">
                  <c:v>21.79220233976248</c:v>
                </c:pt>
                <c:pt idx="85">
                  <c:v>21.79220233976248</c:v>
                </c:pt>
                <c:pt idx="86">
                  <c:v>21.79220233976248</c:v>
                </c:pt>
                <c:pt idx="87">
                  <c:v>21.79220233976248</c:v>
                </c:pt>
                <c:pt idx="88">
                  <c:v>21.79220233976248</c:v>
                </c:pt>
                <c:pt idx="89">
                  <c:v>21.79220233976248</c:v>
                </c:pt>
                <c:pt idx="90">
                  <c:v>21.79220233976248</c:v>
                </c:pt>
                <c:pt idx="91">
                  <c:v>21.79220233976248</c:v>
                </c:pt>
                <c:pt idx="92">
                  <c:v>21.79220233976248</c:v>
                </c:pt>
                <c:pt idx="93">
                  <c:v>21.79220233976248</c:v>
                </c:pt>
                <c:pt idx="94">
                  <c:v>21.79220233976248</c:v>
                </c:pt>
                <c:pt idx="95">
                  <c:v>21.79220233976248</c:v>
                </c:pt>
                <c:pt idx="96">
                  <c:v>21.79220233976248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0.321169541329695</c:v>
                  </c:pt>
                  <c:pt idx="1">
                    <c:v>0.315816878231969</c:v>
                  </c:pt>
                  <c:pt idx="2">
                    <c:v>0.590178402852364</c:v>
                  </c:pt>
                  <c:pt idx="3">
                    <c:v>0.196543673322018</c:v>
                  </c:pt>
                  <c:pt idx="4">
                    <c:v>0.461938751728634</c:v>
                  </c:pt>
                  <c:pt idx="5">
                    <c:v>0.69611418450908</c:v>
                  </c:pt>
                  <c:pt idx="6">
                    <c:v>0.298714323992067</c:v>
                  </c:pt>
                  <c:pt idx="7">
                    <c:v>0.437655870514032</c:v>
                  </c:pt>
                  <c:pt idx="8">
                    <c:v>1.113748541216743</c:v>
                  </c:pt>
                  <c:pt idx="9">
                    <c:v>0.555394159614876</c:v>
                  </c:pt>
                  <c:pt idx="10">
                    <c:v>1.775653796075063</c:v>
                  </c:pt>
                  <c:pt idx="11">
                    <c:v>1.708905991391883</c:v>
                  </c:pt>
                  <c:pt idx="12">
                    <c:v>1.138540748712533</c:v>
                  </c:pt>
                  <c:pt idx="13">
                    <c:v>2.452262556190116</c:v>
                  </c:pt>
                  <c:pt idx="14">
                    <c:v>1.617526697415426</c:v>
                  </c:pt>
                  <c:pt idx="15">
                    <c:v>0.703647145932786</c:v>
                  </c:pt>
                  <c:pt idx="16">
                    <c:v>0.464192833556465</c:v>
                  </c:pt>
                  <c:pt idx="17">
                    <c:v>1.684595922535662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0.321169541329695</c:v>
                  </c:pt>
                  <c:pt idx="1">
                    <c:v>0.315816878231969</c:v>
                  </c:pt>
                  <c:pt idx="2">
                    <c:v>0.590178402852364</c:v>
                  </c:pt>
                  <c:pt idx="3">
                    <c:v>0.196543673322018</c:v>
                  </c:pt>
                  <c:pt idx="4">
                    <c:v>0.461938751728634</c:v>
                  </c:pt>
                  <c:pt idx="5">
                    <c:v>0.69611418450908</c:v>
                  </c:pt>
                  <c:pt idx="6">
                    <c:v>0.298714323992067</c:v>
                  </c:pt>
                  <c:pt idx="7">
                    <c:v>0.437655870514032</c:v>
                  </c:pt>
                  <c:pt idx="8">
                    <c:v>1.113748541216743</c:v>
                  </c:pt>
                  <c:pt idx="9">
                    <c:v>0.555394159614876</c:v>
                  </c:pt>
                  <c:pt idx="10">
                    <c:v>1.775653796075063</c:v>
                  </c:pt>
                  <c:pt idx="11">
                    <c:v>1.708905991391883</c:v>
                  </c:pt>
                  <c:pt idx="12">
                    <c:v>1.138540748712533</c:v>
                  </c:pt>
                  <c:pt idx="13">
                    <c:v>2.452262556190116</c:v>
                  </c:pt>
                  <c:pt idx="14">
                    <c:v>1.617526697415426</c:v>
                  </c:pt>
                  <c:pt idx="15">
                    <c:v>0.703647145932786</c:v>
                  </c:pt>
                  <c:pt idx="16">
                    <c:v>0.464192833556465</c:v>
                  </c:pt>
                  <c:pt idx="17">
                    <c:v>1.684595922535662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49.5892539964476</c:v>
                </c:pt>
                <c:pt idx="1">
                  <c:v>49.77057430432208</c:v>
                </c:pt>
                <c:pt idx="2">
                  <c:v>49.71876850207222</c:v>
                </c:pt>
                <c:pt idx="3">
                  <c:v>49.76968749475975</c:v>
                </c:pt>
                <c:pt idx="4">
                  <c:v>49.7252502737823</c:v>
                </c:pt>
                <c:pt idx="5">
                  <c:v>49.6400789335755</c:v>
                </c:pt>
                <c:pt idx="6">
                  <c:v>49.34753389547385</c:v>
                </c:pt>
                <c:pt idx="7">
                  <c:v>49.04758265387597</c:v>
                </c:pt>
                <c:pt idx="8">
                  <c:v>48.34608124080354</c:v>
                </c:pt>
                <c:pt idx="9">
                  <c:v>48.65040861633861</c:v>
                </c:pt>
                <c:pt idx="10">
                  <c:v>46.3207786265142</c:v>
                </c:pt>
                <c:pt idx="11">
                  <c:v>44.3504298615792</c:v>
                </c:pt>
                <c:pt idx="12">
                  <c:v>41.82450429569276</c:v>
                </c:pt>
                <c:pt idx="13">
                  <c:v>39.60894943761798</c:v>
                </c:pt>
                <c:pt idx="14">
                  <c:v>38.30815732983936</c:v>
                </c:pt>
                <c:pt idx="15">
                  <c:v>35.29938701479202</c:v>
                </c:pt>
                <c:pt idx="16">
                  <c:v>34.12994222828417</c:v>
                </c:pt>
                <c:pt idx="17">
                  <c:v>31.93758674124567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0.0393156465229571</c:v>
                  </c:pt>
                  <c:pt idx="1">
                    <c:v>0.0346731411111553</c:v>
                  </c:pt>
                  <c:pt idx="2">
                    <c:v>0.116481703312834</c:v>
                  </c:pt>
                  <c:pt idx="3">
                    <c:v>0.0262294654604866</c:v>
                  </c:pt>
                  <c:pt idx="4">
                    <c:v>0.0693966426306055</c:v>
                  </c:pt>
                  <c:pt idx="5">
                    <c:v>0.0472858413228978</c:v>
                  </c:pt>
                  <c:pt idx="6">
                    <c:v>0.047285841322898</c:v>
                  </c:pt>
                  <c:pt idx="7">
                    <c:v>0.0681461502494036</c:v>
                  </c:pt>
                  <c:pt idx="8">
                    <c:v>0.0454710423354472</c:v>
                  </c:pt>
                  <c:pt idx="9">
                    <c:v>0.034761149719746</c:v>
                  </c:pt>
                  <c:pt idx="10">
                    <c:v>0.21185161809773</c:v>
                  </c:pt>
                  <c:pt idx="11">
                    <c:v>0.0605062621505656</c:v>
                  </c:pt>
                  <c:pt idx="12">
                    <c:v>0.327006217066597</c:v>
                  </c:pt>
                  <c:pt idx="13">
                    <c:v>0.941368955785258</c:v>
                  </c:pt>
                  <c:pt idx="14">
                    <c:v>0.669563905367666</c:v>
                  </c:pt>
                  <c:pt idx="15">
                    <c:v>0.36470955021831</c:v>
                  </c:pt>
                  <c:pt idx="16">
                    <c:v>0.323203246698028</c:v>
                  </c:pt>
                  <c:pt idx="17">
                    <c:v>1.183258156431808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0.0393156465229571</c:v>
                  </c:pt>
                  <c:pt idx="1">
                    <c:v>0.0346731411111553</c:v>
                  </c:pt>
                  <c:pt idx="2">
                    <c:v>0.116481703312834</c:v>
                  </c:pt>
                  <c:pt idx="3">
                    <c:v>0.0262294654604866</c:v>
                  </c:pt>
                  <c:pt idx="4">
                    <c:v>0.0693966426306055</c:v>
                  </c:pt>
                  <c:pt idx="5">
                    <c:v>0.0472858413228978</c:v>
                  </c:pt>
                  <c:pt idx="6">
                    <c:v>0.047285841322898</c:v>
                  </c:pt>
                  <c:pt idx="7">
                    <c:v>0.0681461502494036</c:v>
                  </c:pt>
                  <c:pt idx="8">
                    <c:v>0.0454710423354472</c:v>
                  </c:pt>
                  <c:pt idx="9">
                    <c:v>0.034761149719746</c:v>
                  </c:pt>
                  <c:pt idx="10">
                    <c:v>0.21185161809773</c:v>
                  </c:pt>
                  <c:pt idx="11">
                    <c:v>0.0605062621505656</c:v>
                  </c:pt>
                  <c:pt idx="12">
                    <c:v>0.327006217066597</c:v>
                  </c:pt>
                  <c:pt idx="13">
                    <c:v>0.941368955785258</c:v>
                  </c:pt>
                  <c:pt idx="14">
                    <c:v>0.669563905367666</c:v>
                  </c:pt>
                  <c:pt idx="15">
                    <c:v>0.36470955021831</c:v>
                  </c:pt>
                  <c:pt idx="16">
                    <c:v>0.323203246698028</c:v>
                  </c:pt>
                  <c:pt idx="17">
                    <c:v>1.183258156431808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0.499375780274657</c:v>
                </c:pt>
                <c:pt idx="1">
                  <c:v>0.786895168917641</c:v>
                </c:pt>
                <c:pt idx="2">
                  <c:v>0.923088563538002</c:v>
                </c:pt>
                <c:pt idx="3">
                  <c:v>1.23420249896142</c:v>
                </c:pt>
                <c:pt idx="4">
                  <c:v>1.597648633624906</c:v>
                </c:pt>
                <c:pt idx="5">
                  <c:v>1.961094768288391</c:v>
                </c:pt>
                <c:pt idx="6">
                  <c:v>2.188248602453069</c:v>
                </c:pt>
                <c:pt idx="7">
                  <c:v>2.771276776809077</c:v>
                </c:pt>
                <c:pt idx="8">
                  <c:v>3.478534738661708</c:v>
                </c:pt>
                <c:pt idx="9">
                  <c:v>4.543717347658234</c:v>
                </c:pt>
                <c:pt idx="10">
                  <c:v>6.672918059611475</c:v>
                </c:pt>
                <c:pt idx="11">
                  <c:v>9.513594474798605</c:v>
                </c:pt>
                <c:pt idx="12">
                  <c:v>11.8821363574244</c:v>
                </c:pt>
                <c:pt idx="13">
                  <c:v>14.27988744502654</c:v>
                </c:pt>
                <c:pt idx="14">
                  <c:v>16.45350909896912</c:v>
                </c:pt>
                <c:pt idx="15">
                  <c:v>20.63823314426298</c:v>
                </c:pt>
                <c:pt idx="16">
                  <c:v>22.19141927516275</c:v>
                </c:pt>
                <c:pt idx="17">
                  <c:v>22.11337965313241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69896"/>
        <c:axId val="-214693376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cytometer'!$N$4:$N$14</c:f>
              <c:numCache>
                <c:formatCode>General</c:formatCode>
                <c:ptCount val="11"/>
                <c:pt idx="0">
                  <c:v>15654.0</c:v>
                </c:pt>
                <c:pt idx="1">
                  <c:v>35328.0</c:v>
                </c:pt>
                <c:pt idx="2">
                  <c:v>4233.0</c:v>
                </c:pt>
                <c:pt idx="3">
                  <c:v>4676.0</c:v>
                </c:pt>
                <c:pt idx="4">
                  <c:v>4891.0</c:v>
                </c:pt>
                <c:pt idx="5">
                  <c:v>4885.0</c:v>
                </c:pt>
                <c:pt idx="6">
                  <c:v>5187.0</c:v>
                </c:pt>
                <c:pt idx="7">
                  <c:v>6323.0</c:v>
                </c:pt>
                <c:pt idx="8">
                  <c:v>12164.0</c:v>
                </c:pt>
                <c:pt idx="9">
                  <c:v>12852.0</c:v>
                </c:pt>
                <c:pt idx="10">
                  <c:v>22046.0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0.016007</c:v>
                  </c:pt>
                  <c:pt idx="10">
                    <c:v>0.0423505412362109</c:v>
                  </c:pt>
                  <c:pt idx="11">
                    <c:v>0.136763867951298</c:v>
                  </c:pt>
                  <c:pt idx="12">
                    <c:v>0.0333212276534544</c:v>
                  </c:pt>
                  <c:pt idx="13">
                    <c:v>0.136763867951298</c:v>
                  </c:pt>
                  <c:pt idx="14">
                    <c:v>0.0606015239274834</c:v>
                  </c:pt>
                  <c:pt idx="15">
                    <c:v>0.0891232041558202</c:v>
                  </c:pt>
                  <c:pt idx="16">
                    <c:v>0.172648190550418</c:v>
                  </c:pt>
                  <c:pt idx="17">
                    <c:v>0.0184832915178367</c:v>
                  </c:pt>
                </c:numCache>
              </c:numRef>
            </c:plus>
            <c:min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0.016007</c:v>
                  </c:pt>
                  <c:pt idx="10">
                    <c:v>0.0423505412362109</c:v>
                  </c:pt>
                  <c:pt idx="11">
                    <c:v>0.136763867951298</c:v>
                  </c:pt>
                  <c:pt idx="12">
                    <c:v>0.0333212276534544</c:v>
                  </c:pt>
                  <c:pt idx="13">
                    <c:v>0.136763867951298</c:v>
                  </c:pt>
                  <c:pt idx="14">
                    <c:v>0.0606015239274834</c:v>
                  </c:pt>
                  <c:pt idx="15">
                    <c:v>0.0891232041558202</c:v>
                  </c:pt>
                  <c:pt idx="16">
                    <c:v>0.172648190550418</c:v>
                  </c:pt>
                  <c:pt idx="17">
                    <c:v>0.0184832915178367</c:v>
                  </c:pt>
                </c:numCache>
              </c:numRef>
            </c:minus>
          </c:errBars>
          <c:xVal>
            <c:numRef>
              <c:f>OD600nm!$D$4:$D$21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OD600nm!$I$4:$I$21</c:f>
              <c:numCache>
                <c:formatCode>0.000</c:formatCode>
                <c:ptCount val="18"/>
                <c:pt idx="0">
                  <c:v>0.1578742</c:v>
                </c:pt>
                <c:pt idx="1">
                  <c:v>0.2299057</c:v>
                </c:pt>
                <c:pt idx="2">
                  <c:v>0.2987358</c:v>
                </c:pt>
                <c:pt idx="3">
                  <c:v>0.3435554</c:v>
                </c:pt>
                <c:pt idx="4">
                  <c:v>0.3547603</c:v>
                </c:pt>
                <c:pt idx="5">
                  <c:v>0.372368</c:v>
                </c:pt>
                <c:pt idx="6">
                  <c:v>0.3835729</c:v>
                </c:pt>
                <c:pt idx="7">
                  <c:v>0.4299932</c:v>
                </c:pt>
                <c:pt idx="8">
                  <c:v>0.5276359</c:v>
                </c:pt>
                <c:pt idx="9">
                  <c:v>0.730371</c:v>
                </c:pt>
                <c:pt idx="10">
                  <c:v>1.306623</c:v>
                </c:pt>
                <c:pt idx="11">
                  <c:v>1.930896</c:v>
                </c:pt>
                <c:pt idx="12">
                  <c:v>2.176336666666666</c:v>
                </c:pt>
                <c:pt idx="13">
                  <c:v>2.619197</c:v>
                </c:pt>
                <c:pt idx="14">
                  <c:v>2.966015333333334</c:v>
                </c:pt>
                <c:pt idx="15">
                  <c:v>2.987358</c:v>
                </c:pt>
                <c:pt idx="16">
                  <c:v>2.709903333333333</c:v>
                </c:pt>
                <c:pt idx="17">
                  <c:v>1.861532333333333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22376"/>
        <c:axId val="-2146928024"/>
      </c:scatterChart>
      <c:valAx>
        <c:axId val="210096989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46933768"/>
        <c:crosses val="autoZero"/>
        <c:crossBetween val="midCat"/>
        <c:majorUnit val="6.0"/>
      </c:valAx>
      <c:valAx>
        <c:axId val="-2146933768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0969896"/>
        <c:crosses val="autoZero"/>
        <c:crossBetween val="midCat"/>
      </c:valAx>
      <c:valAx>
        <c:axId val="-2146928024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46922376"/>
        <c:crosses val="max"/>
        <c:crossBetween val="midCat"/>
        <c:majorUnit val="1.0"/>
        <c:minorUnit val="0.2"/>
      </c:valAx>
      <c:valAx>
        <c:axId val="-2146922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69280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3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112" t="s">
        <v>0</v>
      </c>
      <c r="B1" s="113"/>
      <c r="C1" s="35">
        <v>41941</v>
      </c>
    </row>
    <row r="2" spans="1:3" ht="16">
      <c r="A2" s="112" t="s">
        <v>1</v>
      </c>
      <c r="B2" s="114"/>
      <c r="C2" s="33" t="s">
        <v>130</v>
      </c>
    </row>
    <row r="3" spans="1:3">
      <c r="A3" s="11"/>
      <c r="B3" s="11"/>
      <c r="C3" s="10"/>
    </row>
    <row r="4" spans="1:3">
      <c r="A4" s="115" t="s">
        <v>49</v>
      </c>
      <c r="B4" s="115"/>
      <c r="C4" s="7" t="s">
        <v>108</v>
      </c>
    </row>
    <row r="6" spans="1:3">
      <c r="A6" s="42" t="s">
        <v>83</v>
      </c>
      <c r="B6" s="42" t="s">
        <v>84</v>
      </c>
      <c r="C6" s="42" t="s">
        <v>69</v>
      </c>
    </row>
    <row r="7" spans="1:3">
      <c r="A7" s="38" t="s">
        <v>85</v>
      </c>
      <c r="B7" s="38" t="s">
        <v>86</v>
      </c>
      <c r="C7" s="38" t="s">
        <v>102</v>
      </c>
    </row>
    <row r="8" spans="1:3">
      <c r="A8" s="38" t="s">
        <v>87</v>
      </c>
      <c r="B8" s="38" t="s">
        <v>88</v>
      </c>
      <c r="C8" s="38" t="s">
        <v>102</v>
      </c>
    </row>
    <row r="9" spans="1:3">
      <c r="A9" s="38" t="s">
        <v>89</v>
      </c>
      <c r="B9" s="38" t="s">
        <v>90</v>
      </c>
      <c r="C9" s="38" t="s">
        <v>102</v>
      </c>
    </row>
    <row r="10" spans="1:3">
      <c r="A10" s="38" t="s">
        <v>91</v>
      </c>
      <c r="B10" s="38" t="s">
        <v>92</v>
      </c>
      <c r="C10" s="38" t="s">
        <v>102</v>
      </c>
    </row>
    <row r="11" spans="1:3">
      <c r="A11" s="30" t="s">
        <v>93</v>
      </c>
      <c r="B11" s="30" t="s">
        <v>146</v>
      </c>
      <c r="C11" s="30" t="s">
        <v>102</v>
      </c>
    </row>
    <row r="12" spans="1:3">
      <c r="A12" s="38" t="s">
        <v>73</v>
      </c>
      <c r="B12" s="38" t="s">
        <v>94</v>
      </c>
      <c r="C12" s="38" t="s">
        <v>102</v>
      </c>
    </row>
    <row r="13" spans="1:3" ht="16">
      <c r="A13" s="41" t="s">
        <v>77</v>
      </c>
      <c r="B13" s="38" t="s">
        <v>95</v>
      </c>
      <c r="C13" s="38" t="s">
        <v>102</v>
      </c>
    </row>
    <row r="14" spans="1:3" ht="16">
      <c r="A14" s="10" t="s">
        <v>76</v>
      </c>
      <c r="B14" s="38" t="s">
        <v>95</v>
      </c>
      <c r="C14" s="38" t="s">
        <v>102</v>
      </c>
    </row>
    <row r="15" spans="1:3" ht="16">
      <c r="A15" s="38" t="s">
        <v>110</v>
      </c>
      <c r="B15" s="38" t="s">
        <v>96</v>
      </c>
      <c r="C15" s="38" t="s">
        <v>102</v>
      </c>
    </row>
    <row r="16" spans="1:3" ht="16">
      <c r="A16" s="38" t="s">
        <v>109</v>
      </c>
      <c r="B16" s="38" t="s">
        <v>95</v>
      </c>
      <c r="C16" s="38" t="s">
        <v>102</v>
      </c>
    </row>
    <row r="17" spans="1:3" ht="16">
      <c r="A17" s="38" t="s">
        <v>111</v>
      </c>
      <c r="B17" s="38" t="s">
        <v>95</v>
      </c>
      <c r="C17" s="38" t="s">
        <v>102</v>
      </c>
    </row>
    <row r="18" spans="1:3" ht="16">
      <c r="A18" s="38" t="s">
        <v>112</v>
      </c>
      <c r="B18" s="38" t="s">
        <v>155</v>
      </c>
      <c r="C18" s="38" t="s">
        <v>102</v>
      </c>
    </row>
    <row r="19" spans="1:3" ht="16">
      <c r="A19" s="38" t="s">
        <v>75</v>
      </c>
      <c r="B19" s="38" t="s">
        <v>154</v>
      </c>
      <c r="C19" s="38" t="s">
        <v>102</v>
      </c>
    </row>
    <row r="20" spans="1:3" ht="16">
      <c r="A20" s="38" t="s">
        <v>113</v>
      </c>
      <c r="B20" s="38" t="s">
        <v>97</v>
      </c>
      <c r="C20" s="38" t="s">
        <v>102</v>
      </c>
    </row>
    <row r="21" spans="1:3" ht="16">
      <c r="A21" s="38" t="s">
        <v>114</v>
      </c>
      <c r="B21" s="38" t="s">
        <v>98</v>
      </c>
      <c r="C21" s="38" t="s">
        <v>102</v>
      </c>
    </row>
    <row r="22" spans="1:3" ht="16">
      <c r="A22" s="38" t="s">
        <v>115</v>
      </c>
      <c r="B22" s="38" t="s">
        <v>99</v>
      </c>
      <c r="C22" s="38" t="s">
        <v>102</v>
      </c>
    </row>
    <row r="23" spans="1:3" ht="16">
      <c r="A23" s="38" t="s">
        <v>116</v>
      </c>
      <c r="B23" s="38" t="s">
        <v>99</v>
      </c>
      <c r="C23" s="38" t="s">
        <v>102</v>
      </c>
    </row>
    <row r="24" spans="1:3">
      <c r="A24" s="38" t="s">
        <v>100</v>
      </c>
      <c r="B24" s="38" t="s">
        <v>99</v>
      </c>
      <c r="C24" s="38" t="s">
        <v>102</v>
      </c>
    </row>
    <row r="25" spans="1:3">
      <c r="A25" s="38" t="s">
        <v>101</v>
      </c>
      <c r="B25" s="38" t="s">
        <v>99</v>
      </c>
      <c r="C25" s="38" t="s">
        <v>102</v>
      </c>
    </row>
    <row r="26" spans="1:3">
      <c r="A26" s="38" t="s">
        <v>74</v>
      </c>
      <c r="B26" s="38" t="s">
        <v>103</v>
      </c>
      <c r="C26" s="38" t="s">
        <v>104</v>
      </c>
    </row>
    <row r="27" spans="1:3">
      <c r="A27" s="38" t="s">
        <v>105</v>
      </c>
      <c r="B27" s="38" t="s">
        <v>102</v>
      </c>
      <c r="C27" s="38" t="s">
        <v>107</v>
      </c>
    </row>
    <row r="28" spans="1:3">
      <c r="A28" s="38" t="s">
        <v>106</v>
      </c>
      <c r="B28" s="38" t="s">
        <v>102</v>
      </c>
      <c r="C28" s="38" t="s">
        <v>107</v>
      </c>
    </row>
    <row r="29" spans="1:3" ht="16">
      <c r="A29" s="30" t="s">
        <v>147</v>
      </c>
      <c r="B29" s="30" t="s">
        <v>148</v>
      </c>
      <c r="C29" s="30" t="s">
        <v>149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73" zoomScale="98" zoomScaleNormal="98" zoomScalePageLayoutView="98" workbookViewId="0">
      <selection activeCell="F5" sqref="F5:F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70.2</v>
      </c>
      <c r="C1" s="9" t="s">
        <v>51</v>
      </c>
    </row>
    <row r="3" spans="1:12">
      <c r="A3" s="115" t="s">
        <v>5</v>
      </c>
      <c r="B3" s="115" t="s">
        <v>36</v>
      </c>
      <c r="C3" s="115"/>
      <c r="D3" s="115" t="s">
        <v>52</v>
      </c>
      <c r="E3" s="115"/>
      <c r="F3" s="115"/>
      <c r="G3" s="8" t="s">
        <v>53</v>
      </c>
    </row>
    <row r="4" spans="1:12">
      <c r="A4" s="115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6">
        <v>0</v>
      </c>
      <c r="B5" s="36">
        <v>0</v>
      </c>
      <c r="C5" s="37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6">
        <v>0.5</v>
      </c>
      <c r="B6" s="36">
        <v>0</v>
      </c>
      <c r="C6" s="37">
        <f>B6/1000</f>
        <v>0</v>
      </c>
      <c r="D6" s="12">
        <f>C6/1000*$B$1</f>
        <v>0</v>
      </c>
      <c r="E6" s="12">
        <f t="shared" ref="E6:E69" si="0">D6/22.4</f>
        <v>0</v>
      </c>
      <c r="F6" s="12">
        <f>E6/Calculation!K$4*1000</f>
        <v>0</v>
      </c>
      <c r="G6" s="12">
        <f>G5+(F6+F5)/2*30</f>
        <v>0</v>
      </c>
    </row>
    <row r="7" spans="1:12">
      <c r="A7" s="36">
        <v>1</v>
      </c>
      <c r="B7" s="36">
        <v>157.87</v>
      </c>
      <c r="C7" s="37">
        <f t="shared" ref="C7:C69" si="1">B7/1000</f>
        <v>0.15787000000000001</v>
      </c>
      <c r="D7" s="12">
        <f t="shared" ref="D7:D69" si="2">C7/1000*$B$1</f>
        <v>1.1082474E-2</v>
      </c>
      <c r="E7" s="12">
        <f t="shared" si="0"/>
        <v>4.9475330357142864E-4</v>
      </c>
      <c r="F7" s="12">
        <f>E7/Calculation!K$4*1000</f>
        <v>3.3588140093104455E-4</v>
      </c>
      <c r="G7" s="12">
        <f>G6+(F7+F6)/2*30</f>
        <v>5.0382210139656679E-3</v>
      </c>
    </row>
    <row r="8" spans="1:12">
      <c r="A8" s="36">
        <v>1.5</v>
      </c>
      <c r="B8" s="36">
        <v>188.81</v>
      </c>
      <c r="C8" s="37">
        <f t="shared" si="1"/>
        <v>0.18881000000000001</v>
      </c>
      <c r="D8" s="12">
        <f t="shared" si="2"/>
        <v>1.3254462000000002E-2</v>
      </c>
      <c r="E8" s="12">
        <f t="shared" si="0"/>
        <v>5.9171705357142872E-4</v>
      </c>
      <c r="F8" s="12">
        <f>E8/Calculation!K$4*1000</f>
        <v>4.0170879400640102E-4</v>
      </c>
      <c r="G8" s="12">
        <f t="shared" ref="G8:G70" si="3">G7+(F8+F7)/2*30</f>
        <v>1.6102073938027352E-2</v>
      </c>
      <c r="K8" s="2">
        <f>0.001977/44.01</f>
        <v>4.492160872528971E-5</v>
      </c>
      <c r="L8" s="2">
        <f>1/K8</f>
        <v>22261.001517450681</v>
      </c>
    </row>
    <row r="9" spans="1:12">
      <c r="A9" s="36">
        <v>2</v>
      </c>
      <c r="B9" s="36">
        <v>199.85</v>
      </c>
      <c r="C9" s="37">
        <f t="shared" si="1"/>
        <v>0.19985</v>
      </c>
      <c r="D9" s="12">
        <f t="shared" si="2"/>
        <v>1.402947E-2</v>
      </c>
      <c r="E9" s="12">
        <f t="shared" si="0"/>
        <v>6.2631562500000011E-4</v>
      </c>
      <c r="F9" s="12">
        <f>E9/Calculation!K$5*1000</f>
        <v>4.3982838834269667E-4</v>
      </c>
      <c r="G9" s="12">
        <f t="shared" si="3"/>
        <v>2.8725131673263817E-2</v>
      </c>
    </row>
    <row r="10" spans="1:12">
      <c r="A10" s="36">
        <v>2.5</v>
      </c>
      <c r="B10" s="36">
        <v>202.36</v>
      </c>
      <c r="C10" s="37">
        <f t="shared" si="1"/>
        <v>0.20236000000000001</v>
      </c>
      <c r="D10" s="12">
        <f t="shared" si="2"/>
        <v>1.4205672000000001E-2</v>
      </c>
      <c r="E10" s="12">
        <f t="shared" si="0"/>
        <v>6.3418178571428578E-4</v>
      </c>
      <c r="F10" s="12">
        <f>E10/Calculation!K$5*1000</f>
        <v>4.4535237760834676E-4</v>
      </c>
      <c r="G10" s="12">
        <f t="shared" si="3"/>
        <v>4.2002843162529467E-2</v>
      </c>
    </row>
    <row r="11" spans="1:12">
      <c r="A11" s="36">
        <v>3</v>
      </c>
      <c r="B11" s="36">
        <v>244.17</v>
      </c>
      <c r="C11" s="37">
        <f t="shared" si="1"/>
        <v>0.24417</v>
      </c>
      <c r="D11" s="12">
        <f t="shared" si="2"/>
        <v>1.7140734000000001E-2</v>
      </c>
      <c r="E11" s="12">
        <f t="shared" si="0"/>
        <v>7.6521133928571434E-4</v>
      </c>
      <c r="F11" s="12">
        <f>E11/Calculation!K$5*1000</f>
        <v>5.3736751354333879E-4</v>
      </c>
      <c r="G11" s="12">
        <f t="shared" si="3"/>
        <v>5.6743641529804753E-2</v>
      </c>
    </row>
    <row r="12" spans="1:12">
      <c r="A12" s="36">
        <v>3.5</v>
      </c>
      <c r="B12" s="36">
        <v>317.08999999999997</v>
      </c>
      <c r="C12" s="37">
        <f t="shared" si="1"/>
        <v>0.31708999999999998</v>
      </c>
      <c r="D12" s="12">
        <f t="shared" si="2"/>
        <v>2.2259717999999998E-2</v>
      </c>
      <c r="E12" s="12">
        <f t="shared" si="0"/>
        <v>9.9373741071428568E-4</v>
      </c>
      <c r="F12" s="12">
        <f>E12/Calculation!K$6*1000</f>
        <v>7.2166841736694674E-4</v>
      </c>
      <c r="G12" s="12">
        <f t="shared" si="3"/>
        <v>7.5629180493459042E-2</v>
      </c>
    </row>
    <row r="13" spans="1:12">
      <c r="A13" s="36">
        <v>4</v>
      </c>
      <c r="B13" s="36">
        <v>449.21</v>
      </c>
      <c r="C13" s="37">
        <f t="shared" si="1"/>
        <v>0.44921</v>
      </c>
      <c r="D13" s="12">
        <f t="shared" si="2"/>
        <v>3.1534542000000006E-2</v>
      </c>
      <c r="E13" s="12">
        <f t="shared" si="0"/>
        <v>1.4077920535714289E-3</v>
      </c>
      <c r="F13" s="12">
        <f>E13/Calculation!K$6*1000</f>
        <v>1.0223616946778715E-3</v>
      </c>
      <c r="G13" s="12">
        <f t="shared" si="3"/>
        <v>0.10178963217413131</v>
      </c>
    </row>
    <row r="14" spans="1:12">
      <c r="A14" s="36">
        <v>4.5</v>
      </c>
      <c r="B14" s="36">
        <v>591.03</v>
      </c>
      <c r="C14" s="37">
        <f t="shared" si="1"/>
        <v>0.59102999999999994</v>
      </c>
      <c r="D14" s="12">
        <f t="shared" si="2"/>
        <v>4.1490305999999998E-2</v>
      </c>
      <c r="E14" s="12">
        <f t="shared" si="0"/>
        <v>1.8522458035714286E-3</v>
      </c>
      <c r="F14" s="12">
        <f>E14/Calculation!K$6*1000</f>
        <v>1.3451313025210083E-3</v>
      </c>
      <c r="G14" s="12">
        <f t="shared" si="3"/>
        <v>0.13730202713211451</v>
      </c>
    </row>
    <row r="15" spans="1:12">
      <c r="A15" s="36">
        <v>5</v>
      </c>
      <c r="B15" s="36">
        <v>760.77</v>
      </c>
      <c r="C15" s="37">
        <f t="shared" si="1"/>
        <v>0.76076999999999995</v>
      </c>
      <c r="D15" s="12">
        <f t="shared" si="2"/>
        <v>5.3406053999999994E-2</v>
      </c>
      <c r="E15" s="12">
        <f t="shared" si="0"/>
        <v>2.384198839285714E-3</v>
      </c>
      <c r="F15" s="12">
        <f>E15/Calculation!K$7*1000</f>
        <v>1.800702100840336E-3</v>
      </c>
      <c r="G15" s="12">
        <f t="shared" si="3"/>
        <v>0.18448952818253467</v>
      </c>
    </row>
    <row r="16" spans="1:12">
      <c r="A16" s="36">
        <v>5.5</v>
      </c>
      <c r="B16" s="36">
        <v>915.14</v>
      </c>
      <c r="C16" s="37">
        <f t="shared" si="1"/>
        <v>0.91513999999999995</v>
      </c>
      <c r="D16" s="12">
        <f t="shared" si="2"/>
        <v>6.4242828000000002E-2</v>
      </c>
      <c r="E16" s="12">
        <f t="shared" si="0"/>
        <v>2.8679833928571432E-3</v>
      </c>
      <c r="F16" s="12">
        <f>E16/Calculation!K$7*1000</f>
        <v>2.1660876750700287E-3</v>
      </c>
      <c r="G16" s="12">
        <f t="shared" si="3"/>
        <v>0.24399137482119015</v>
      </c>
    </row>
    <row r="17" spans="1:7">
      <c r="A17" s="36">
        <v>6</v>
      </c>
      <c r="B17" s="36">
        <v>1118.33</v>
      </c>
      <c r="C17" s="37">
        <f t="shared" si="1"/>
        <v>1.1183299999999998</v>
      </c>
      <c r="D17" s="12">
        <f t="shared" si="2"/>
        <v>7.8506765999999992E-2</v>
      </c>
      <c r="E17" s="12">
        <f t="shared" si="0"/>
        <v>3.504766339285714E-3</v>
      </c>
      <c r="F17" s="12">
        <f>E17/Calculation!K$7*1000</f>
        <v>2.6470275910364144E-3</v>
      </c>
      <c r="G17" s="12">
        <f t="shared" si="3"/>
        <v>0.31618810381278678</v>
      </c>
    </row>
    <row r="18" spans="1:7">
      <c r="A18" s="36">
        <v>6.5</v>
      </c>
      <c r="B18" s="36">
        <v>1261.99</v>
      </c>
      <c r="C18" s="37">
        <f t="shared" si="1"/>
        <v>1.2619899999999999</v>
      </c>
      <c r="D18" s="12">
        <f t="shared" si="2"/>
        <v>8.8591697999999997E-2</v>
      </c>
      <c r="E18" s="12">
        <f t="shared" si="0"/>
        <v>3.9549865178571432E-3</v>
      </c>
      <c r="F18" s="12">
        <f>E18/Calculation!K$8*1000</f>
        <v>3.0896633052127959E-3</v>
      </c>
      <c r="G18" s="12">
        <f t="shared" si="3"/>
        <v>0.4022384672565249</v>
      </c>
    </row>
    <row r="19" spans="1:7">
      <c r="A19" s="36">
        <v>7</v>
      </c>
      <c r="B19" s="36">
        <v>1375.38</v>
      </c>
      <c r="C19" s="37">
        <f t="shared" si="1"/>
        <v>1.37538</v>
      </c>
      <c r="D19" s="12">
        <f t="shared" si="2"/>
        <v>9.6551676000000003E-2</v>
      </c>
      <c r="E19" s="12">
        <f t="shared" si="0"/>
        <v>4.3103426785714291E-3</v>
      </c>
      <c r="F19" s="12">
        <f>E19/Calculation!K$8*1000</f>
        <v>3.3672700391632069E-3</v>
      </c>
      <c r="G19" s="12">
        <f t="shared" si="3"/>
        <v>0.49909246742216495</v>
      </c>
    </row>
    <row r="20" spans="1:7">
      <c r="A20" s="36">
        <v>7.5</v>
      </c>
      <c r="B20" s="36">
        <v>1504.49</v>
      </c>
      <c r="C20" s="37">
        <f t="shared" si="1"/>
        <v>1.5044900000000001</v>
      </c>
      <c r="D20" s="12">
        <f t="shared" si="2"/>
        <v>0.10561519800000001</v>
      </c>
      <c r="E20" s="12">
        <f t="shared" si="0"/>
        <v>4.7149641964285716E-3</v>
      </c>
      <c r="F20" s="12">
        <f>E20/Calculation!K$9*1000</f>
        <v>3.8329717959482744E-3</v>
      </c>
      <c r="G20" s="12">
        <f t="shared" si="3"/>
        <v>0.60709609494883721</v>
      </c>
    </row>
    <row r="21" spans="1:7">
      <c r="A21" s="36">
        <v>8</v>
      </c>
      <c r="B21" s="36">
        <v>1608.51</v>
      </c>
      <c r="C21" s="37">
        <f t="shared" si="1"/>
        <v>1.6085099999999999</v>
      </c>
      <c r="D21" s="12">
        <f t="shared" si="2"/>
        <v>0.112917402</v>
      </c>
      <c r="E21" s="12">
        <f t="shared" si="0"/>
        <v>5.0409554464285718E-3</v>
      </c>
      <c r="F21" s="12">
        <f>E21/Calculation!K$9*1000</f>
        <v>4.0979823485039844E-3</v>
      </c>
      <c r="G21" s="12">
        <f t="shared" si="3"/>
        <v>0.72606040711562114</v>
      </c>
    </row>
    <row r="22" spans="1:7">
      <c r="A22" s="36">
        <v>8.5</v>
      </c>
      <c r="B22" s="36">
        <v>1745.15</v>
      </c>
      <c r="C22" s="37">
        <f t="shared" si="1"/>
        <v>1.7451500000000002</v>
      </c>
      <c r="D22" s="12">
        <f t="shared" si="2"/>
        <v>0.12250953000000002</v>
      </c>
      <c r="E22" s="12">
        <f t="shared" si="0"/>
        <v>5.4691754464285727E-3</v>
      </c>
      <c r="F22" s="12">
        <f>E22/Calculation!K$9*1000</f>
        <v>4.4460984982945262E-3</v>
      </c>
      <c r="G22" s="12">
        <f t="shared" si="3"/>
        <v>0.85422161981759881</v>
      </c>
    </row>
    <row r="23" spans="1:7">
      <c r="A23" s="36">
        <v>9</v>
      </c>
      <c r="B23" s="36">
        <v>1840.64</v>
      </c>
      <c r="C23" s="37">
        <f t="shared" si="1"/>
        <v>1.8406400000000001</v>
      </c>
      <c r="D23" s="12">
        <f t="shared" si="2"/>
        <v>0.129212928</v>
      </c>
      <c r="E23" s="12">
        <f t="shared" si="0"/>
        <v>5.7684342857142867E-3</v>
      </c>
      <c r="F23" s="12">
        <f>E23/Calculation!K$10*1000</f>
        <v>4.8879114456959758E-3</v>
      </c>
      <c r="G23" s="12">
        <f t="shared" si="3"/>
        <v>0.99423176897745635</v>
      </c>
    </row>
    <row r="24" spans="1:7">
      <c r="A24" s="36">
        <v>9.5</v>
      </c>
      <c r="B24" s="36">
        <v>1947.68</v>
      </c>
      <c r="C24" s="37">
        <f t="shared" si="1"/>
        <v>1.9476800000000001</v>
      </c>
      <c r="D24" s="12">
        <f t="shared" si="2"/>
        <v>0.136727136</v>
      </c>
      <c r="E24" s="12">
        <f t="shared" si="0"/>
        <v>6.1038900000000007E-3</v>
      </c>
      <c r="F24" s="12">
        <f>E24/Calculation!K$10*1000</f>
        <v>5.1721615115140054E-3</v>
      </c>
      <c r="G24" s="12">
        <f t="shared" si="3"/>
        <v>1.1451328633356062</v>
      </c>
    </row>
    <row r="25" spans="1:7">
      <c r="A25" s="36">
        <v>10</v>
      </c>
      <c r="B25" s="36">
        <v>2072.1</v>
      </c>
      <c r="C25" s="37">
        <f t="shared" si="1"/>
        <v>2.0720999999999998</v>
      </c>
      <c r="D25" s="12">
        <f t="shared" si="2"/>
        <v>0.14546142000000001</v>
      </c>
      <c r="E25" s="12">
        <f t="shared" si="0"/>
        <v>6.4938133928571437E-3</v>
      </c>
      <c r="F25" s="12">
        <f>E25/Calculation!K$11*1000</f>
        <v>5.7611075414208254E-3</v>
      </c>
      <c r="G25" s="12">
        <f t="shared" si="3"/>
        <v>1.3091318991296286</v>
      </c>
    </row>
    <row r="26" spans="1:7">
      <c r="A26" s="36">
        <v>10.5</v>
      </c>
      <c r="B26" s="36">
        <v>2274.13</v>
      </c>
      <c r="C26" s="37">
        <f t="shared" si="1"/>
        <v>2.27413</v>
      </c>
      <c r="D26" s="12">
        <f t="shared" si="2"/>
        <v>0.15964392600000002</v>
      </c>
      <c r="E26" s="12">
        <f t="shared" si="0"/>
        <v>7.1269609821428583E-3</v>
      </c>
      <c r="F26" s="12">
        <f>E26/Calculation!K$11*1000</f>
        <v>6.3228162217901359E-3</v>
      </c>
      <c r="G26" s="12">
        <f t="shared" si="3"/>
        <v>1.4903907555777929</v>
      </c>
    </row>
    <row r="27" spans="1:7">
      <c r="A27" s="36">
        <v>11</v>
      </c>
      <c r="B27" s="36">
        <v>2588.1999999999998</v>
      </c>
      <c r="C27" s="37">
        <f t="shared" si="1"/>
        <v>2.5881999999999996</v>
      </c>
      <c r="D27" s="12">
        <f t="shared" si="2"/>
        <v>0.18169163999999999</v>
      </c>
      <c r="E27" s="12">
        <f t="shared" si="0"/>
        <v>8.1112339285714288E-3</v>
      </c>
      <c r="F27" s="12">
        <f>E27/Calculation!K$11*1000</f>
        <v>7.196032304765879E-3</v>
      </c>
      <c r="G27" s="12">
        <f t="shared" si="3"/>
        <v>1.6931734834761332</v>
      </c>
    </row>
    <row r="28" spans="1:7">
      <c r="A28" s="36">
        <v>11.5</v>
      </c>
      <c r="B28" s="36">
        <v>3007.81</v>
      </c>
      <c r="C28" s="37">
        <f t="shared" si="1"/>
        <v>3.0078100000000001</v>
      </c>
      <c r="D28" s="12">
        <f t="shared" si="2"/>
        <v>0.211148262</v>
      </c>
      <c r="E28" s="12">
        <f t="shared" si="0"/>
        <v>9.4262616964285728E-3</v>
      </c>
      <c r="F28" s="12">
        <f>E28/Calculation!K$12*1000</f>
        <v>8.7178853980341732E-3</v>
      </c>
      <c r="G28" s="12">
        <f t="shared" si="3"/>
        <v>1.931882249018134</v>
      </c>
    </row>
    <row r="29" spans="1:7">
      <c r="A29" s="36">
        <v>12</v>
      </c>
      <c r="B29" s="36">
        <v>3591.81</v>
      </c>
      <c r="C29" s="37">
        <f t="shared" si="1"/>
        <v>3.5918099999999997</v>
      </c>
      <c r="D29" s="12">
        <f t="shared" si="2"/>
        <v>0.25214506199999998</v>
      </c>
      <c r="E29" s="12">
        <f t="shared" si="0"/>
        <v>1.1256475982142857E-2</v>
      </c>
      <c r="F29" s="12">
        <f>E29/Calculation!K$12*1000</f>
        <v>1.0410560491358535E-2</v>
      </c>
      <c r="G29" s="12">
        <f t="shared" si="3"/>
        <v>2.2188089373590247</v>
      </c>
    </row>
    <row r="30" spans="1:7">
      <c r="A30" s="36">
        <v>12.5</v>
      </c>
      <c r="B30" s="36">
        <v>4393.22</v>
      </c>
      <c r="C30" s="37">
        <f t="shared" si="1"/>
        <v>4.3932200000000003</v>
      </c>
      <c r="D30" s="12">
        <f t="shared" si="2"/>
        <v>0.30840404400000004</v>
      </c>
      <c r="E30" s="12">
        <f t="shared" si="0"/>
        <v>1.3768037678571432E-2</v>
      </c>
      <c r="F30" s="12">
        <f>E30/Calculation!K$12*1000</f>
        <v>1.2733380262832989E-2</v>
      </c>
      <c r="G30" s="12">
        <f t="shared" si="3"/>
        <v>2.5659680486718974</v>
      </c>
    </row>
    <row r="31" spans="1:7">
      <c r="A31" s="36">
        <v>13</v>
      </c>
      <c r="B31" s="36">
        <v>5198.9799999999996</v>
      </c>
      <c r="C31" s="37">
        <f t="shared" si="1"/>
        <v>5.1989799999999997</v>
      </c>
      <c r="D31" s="12">
        <f t="shared" si="2"/>
        <v>0.36496839599999997</v>
      </c>
      <c r="E31" s="12">
        <f t="shared" si="0"/>
        <v>1.6293231964285716E-2</v>
      </c>
      <c r="F31" s="12">
        <f>E31/Calculation!K$13*1000</f>
        <v>1.5751772448603037E-2</v>
      </c>
      <c r="G31" s="12">
        <f t="shared" si="3"/>
        <v>2.9932453393434377</v>
      </c>
    </row>
    <row r="32" spans="1:7">
      <c r="A32" s="36">
        <v>13.5</v>
      </c>
      <c r="B32" s="36">
        <v>6178.34</v>
      </c>
      <c r="C32" s="37">
        <f t="shared" si="1"/>
        <v>6.1783400000000004</v>
      </c>
      <c r="D32" s="12">
        <f t="shared" si="2"/>
        <v>0.433719468</v>
      </c>
      <c r="E32" s="12">
        <f t="shared" si="0"/>
        <v>1.936247625E-2</v>
      </c>
      <c r="F32" s="12">
        <f>E32/Calculation!K$13*1000</f>
        <v>1.8719019074915098E-2</v>
      </c>
      <c r="G32" s="12">
        <f t="shared" si="3"/>
        <v>3.5103072121962096</v>
      </c>
    </row>
    <row r="33" spans="1:7">
      <c r="A33" s="36">
        <v>14</v>
      </c>
      <c r="B33" s="36">
        <v>7372.94</v>
      </c>
      <c r="C33" s="37">
        <f t="shared" si="1"/>
        <v>7.3729399999999998</v>
      </c>
      <c r="D33" s="12">
        <f t="shared" si="2"/>
        <v>0.51758038799999995</v>
      </c>
      <c r="E33" s="12">
        <f t="shared" si="0"/>
        <v>2.3106267321428571E-2</v>
      </c>
      <c r="F33" s="12">
        <f>E33/Calculation!K$14*1000</f>
        <v>2.3349691416860378E-2</v>
      </c>
      <c r="G33" s="12">
        <f t="shared" si="3"/>
        <v>4.1413378695728413</v>
      </c>
    </row>
    <row r="34" spans="1:7">
      <c r="A34" s="36">
        <v>14.5</v>
      </c>
      <c r="B34" s="36">
        <v>8883.7800000000007</v>
      </c>
      <c r="C34" s="37">
        <f t="shared" si="1"/>
        <v>8.8837799999999998</v>
      </c>
      <c r="D34" s="12">
        <f t="shared" si="2"/>
        <v>0.62364135599999992</v>
      </c>
      <c r="E34" s="12">
        <f t="shared" si="0"/>
        <v>2.7841131964285712E-2</v>
      </c>
      <c r="F34" s="12">
        <f>E34/Calculation!K$14*1000</f>
        <v>2.8134437770451933E-2</v>
      </c>
      <c r="G34" s="12">
        <f t="shared" si="3"/>
        <v>4.9135998073825258</v>
      </c>
    </row>
    <row r="35" spans="1:7">
      <c r="A35" s="36">
        <v>15</v>
      </c>
      <c r="B35" s="36">
        <v>10496.47</v>
      </c>
      <c r="C35" s="37">
        <f t="shared" si="1"/>
        <v>10.496469999999999</v>
      </c>
      <c r="D35" s="12">
        <f t="shared" si="2"/>
        <v>0.73685219400000002</v>
      </c>
      <c r="E35" s="12">
        <f t="shared" si="0"/>
        <v>3.289518723214286E-2</v>
      </c>
      <c r="F35" s="12">
        <f>E35/Calculation!K$14*1000</f>
        <v>3.3241737416326793E-2</v>
      </c>
      <c r="G35" s="12">
        <f t="shared" si="3"/>
        <v>5.8342424351842066</v>
      </c>
    </row>
    <row r="36" spans="1:7">
      <c r="A36" s="36">
        <v>15.5</v>
      </c>
      <c r="B36" s="36">
        <v>12013</v>
      </c>
      <c r="C36" s="37">
        <f t="shared" si="1"/>
        <v>12.013</v>
      </c>
      <c r="D36" s="12">
        <f t="shared" si="2"/>
        <v>0.84331259999999997</v>
      </c>
      <c r="E36" s="12">
        <f t="shared" si="0"/>
        <v>3.7647883928571428E-2</v>
      </c>
      <c r="F36" s="12">
        <f>E36/Calculation!K$15*1000</f>
        <v>3.9552002265683166E-2</v>
      </c>
      <c r="G36" s="12">
        <f t="shared" si="3"/>
        <v>6.9261485304143555</v>
      </c>
    </row>
    <row r="37" spans="1:7">
      <c r="A37" s="36">
        <v>16</v>
      </c>
      <c r="B37" s="36">
        <v>13043.37</v>
      </c>
      <c r="C37" s="37">
        <f t="shared" si="1"/>
        <v>13.043370000000001</v>
      </c>
      <c r="D37" s="12">
        <f t="shared" si="2"/>
        <v>0.91564457400000021</v>
      </c>
      <c r="E37" s="12">
        <f t="shared" si="0"/>
        <v>4.0876989910714298E-2</v>
      </c>
      <c r="F37" s="12">
        <f>E37/Calculation!K$15*1000</f>
        <v>4.2944426853587285E-2</v>
      </c>
      <c r="G37" s="12">
        <f t="shared" si="3"/>
        <v>8.1635949672034123</v>
      </c>
    </row>
    <row r="38" spans="1:7">
      <c r="A38" s="36">
        <v>16.5</v>
      </c>
      <c r="B38" s="36">
        <v>13652.62</v>
      </c>
      <c r="C38" s="37">
        <f t="shared" si="1"/>
        <v>13.652620000000001</v>
      </c>
      <c r="D38" s="12">
        <f t="shared" si="2"/>
        <v>0.95841392400000014</v>
      </c>
      <c r="E38" s="12">
        <f t="shared" si="0"/>
        <v>4.2786335892857151E-2</v>
      </c>
      <c r="F38" s="12">
        <f>E38/Calculation!K$15*1000</f>
        <v>4.4950341893990803E-2</v>
      </c>
      <c r="G38" s="12">
        <f t="shared" si="3"/>
        <v>9.4820164984170834</v>
      </c>
    </row>
    <row r="39" spans="1:7">
      <c r="A39" s="36">
        <v>17</v>
      </c>
      <c r="B39" s="36">
        <v>14391.82</v>
      </c>
      <c r="C39" s="37">
        <f t="shared" si="1"/>
        <v>14.391819999999999</v>
      </c>
      <c r="D39" s="12">
        <f t="shared" si="2"/>
        <v>1.0103057639999999</v>
      </c>
      <c r="E39" s="12">
        <f t="shared" si="0"/>
        <v>4.5102935892857146E-2</v>
      </c>
      <c r="F39" s="12">
        <f>E39/Calculation!K$16*1000</f>
        <v>4.9287280885098261E-2</v>
      </c>
      <c r="G39" s="12">
        <f>G38+(F39+F38)/2*30</f>
        <v>10.895580840103419</v>
      </c>
    </row>
    <row r="40" spans="1:7">
      <c r="A40" s="36">
        <v>17.5</v>
      </c>
      <c r="B40" s="36">
        <v>14071.56</v>
      </c>
      <c r="C40" s="37">
        <f t="shared" si="1"/>
        <v>14.07156</v>
      </c>
      <c r="D40" s="12">
        <f t="shared" si="2"/>
        <v>0.98782351200000007</v>
      </c>
      <c r="E40" s="12">
        <f t="shared" si="0"/>
        <v>4.4099263928571435E-2</v>
      </c>
      <c r="F40" s="12">
        <f>E40/Calculation!K$16*1000</f>
        <v>4.8190495032005211E-2</v>
      </c>
      <c r="G40" s="12">
        <f t="shared" si="3"/>
        <v>12.35774747885997</v>
      </c>
    </row>
    <row r="41" spans="1:7">
      <c r="A41" s="36">
        <v>18</v>
      </c>
      <c r="B41" s="36">
        <v>12831.48</v>
      </c>
      <c r="C41" s="37">
        <f t="shared" si="1"/>
        <v>12.831479999999999</v>
      </c>
      <c r="D41" s="12">
        <f t="shared" si="2"/>
        <v>0.90076989600000001</v>
      </c>
      <c r="E41" s="12">
        <f t="shared" si="0"/>
        <v>4.0212941785714287E-2</v>
      </c>
      <c r="F41" s="12">
        <f>E41/Calculation!K$17*1000</f>
        <v>4.5680714024935246E-2</v>
      </c>
      <c r="G41" s="12">
        <f t="shared" si="3"/>
        <v>13.765815614714077</v>
      </c>
    </row>
    <row r="42" spans="1:7">
      <c r="A42" s="36">
        <v>18.5</v>
      </c>
      <c r="B42" s="36">
        <v>11586.21</v>
      </c>
      <c r="C42" s="37">
        <f t="shared" si="1"/>
        <v>11.586209999999999</v>
      </c>
      <c r="D42" s="12">
        <f t="shared" si="2"/>
        <v>0.81335194200000005</v>
      </c>
      <c r="E42" s="12">
        <f t="shared" si="0"/>
        <v>3.6310354553571435E-2</v>
      </c>
      <c r="F42" s="12">
        <f>E42/Calculation!K$17*1000</f>
        <v>4.1247490207119132E-2</v>
      </c>
      <c r="G42" s="12">
        <f t="shared" si="3"/>
        <v>15.069738678194893</v>
      </c>
    </row>
    <row r="43" spans="1:7">
      <c r="A43" s="36">
        <v>19</v>
      </c>
      <c r="B43" s="36">
        <v>9706.43</v>
      </c>
      <c r="C43" s="37">
        <f t="shared" si="1"/>
        <v>9.706430000000001</v>
      </c>
      <c r="D43" s="12">
        <f t="shared" si="2"/>
        <v>0.68139138600000004</v>
      </c>
      <c r="E43" s="12">
        <f t="shared" si="0"/>
        <v>3.0419258303571433E-2</v>
      </c>
      <c r="F43" s="12">
        <f>E43/Calculation!K$17*1000</f>
        <v>3.4555378883266166E-2</v>
      </c>
      <c r="G43" s="12">
        <f t="shared" si="3"/>
        <v>16.206781714550672</v>
      </c>
    </row>
    <row r="44" spans="1:7">
      <c r="A44" s="36">
        <v>19.5</v>
      </c>
      <c r="B44" s="36">
        <v>8033.37</v>
      </c>
      <c r="C44" s="37">
        <f t="shared" si="1"/>
        <v>8.0333699999999997</v>
      </c>
      <c r="D44" s="12">
        <f t="shared" si="2"/>
        <v>0.56394257400000003</v>
      </c>
      <c r="E44" s="12">
        <f t="shared" si="0"/>
        <v>2.5176007767857146E-2</v>
      </c>
      <c r="F44" s="12">
        <f>E44/Calculation!K$18*1000</f>
        <v>3.0109496046645614E-2</v>
      </c>
      <c r="G44" s="12">
        <f t="shared" si="3"/>
        <v>17.176754838499349</v>
      </c>
    </row>
    <row r="45" spans="1:7">
      <c r="A45" s="36">
        <v>20</v>
      </c>
      <c r="B45" s="36">
        <v>6420.84</v>
      </c>
      <c r="C45" s="37">
        <f t="shared" si="1"/>
        <v>6.4208400000000001</v>
      </c>
      <c r="D45" s="12">
        <f t="shared" si="2"/>
        <v>0.45074296800000002</v>
      </c>
      <c r="E45" s="12">
        <f t="shared" si="0"/>
        <v>2.012245392857143E-2</v>
      </c>
      <c r="F45" s="12">
        <f>E45/Calculation!K$18*1000</f>
        <v>2.4065648239299822E-2</v>
      </c>
      <c r="G45" s="12">
        <f t="shared" si="3"/>
        <v>17.989382002788531</v>
      </c>
    </row>
    <row r="46" spans="1:7">
      <c r="A46" s="36">
        <v>20.5</v>
      </c>
      <c r="B46" s="36">
        <v>5160.0200000000004</v>
      </c>
      <c r="C46" s="37">
        <f t="shared" si="1"/>
        <v>5.1600200000000003</v>
      </c>
      <c r="D46" s="12">
        <f t="shared" si="2"/>
        <v>0.36223340400000004</v>
      </c>
      <c r="E46" s="12">
        <f t="shared" si="0"/>
        <v>1.6171134107142861E-2</v>
      </c>
      <c r="F46" s="12">
        <f>E46/Calculation!K$18*1000</f>
        <v>1.934002813148309E-2</v>
      </c>
      <c r="G46" s="12">
        <f t="shared" si="3"/>
        <v>18.640467148350275</v>
      </c>
    </row>
    <row r="47" spans="1:7">
      <c r="A47" s="36">
        <v>21</v>
      </c>
      <c r="B47" s="36">
        <v>4177.82</v>
      </c>
      <c r="C47" s="37">
        <f t="shared" si="1"/>
        <v>4.1778199999999996</v>
      </c>
      <c r="D47" s="12">
        <f t="shared" si="2"/>
        <v>0.29328296399999998</v>
      </c>
      <c r="E47" s="12">
        <f t="shared" si="0"/>
        <v>1.3092989464285713E-2</v>
      </c>
      <c r="F47" s="12">
        <f>E47/Calculation!K$18*1000</f>
        <v>1.5658690533810464E-2</v>
      </c>
      <c r="G47" s="12">
        <f t="shared" si="3"/>
        <v>19.16544792832968</v>
      </c>
    </row>
    <row r="48" spans="1:7">
      <c r="A48" s="36">
        <v>21.5</v>
      </c>
      <c r="B48" s="36">
        <v>3408.18</v>
      </c>
      <c r="C48" s="37">
        <f t="shared" si="1"/>
        <v>3.4081799999999998</v>
      </c>
      <c r="D48" s="12">
        <f t="shared" si="2"/>
        <v>0.23925423600000001</v>
      </c>
      <c r="E48" s="12">
        <f t="shared" si="0"/>
        <v>1.068099267857143E-2</v>
      </c>
      <c r="F48" s="12">
        <f>E48/Calculation!K$18*1000</f>
        <v>1.2774039069065244E-2</v>
      </c>
      <c r="G48" s="12">
        <f t="shared" si="3"/>
        <v>19.591938872372815</v>
      </c>
    </row>
    <row r="49" spans="1:7">
      <c r="A49" s="36">
        <v>22</v>
      </c>
      <c r="B49" s="36">
        <v>2793.57</v>
      </c>
      <c r="C49" s="37">
        <f t="shared" si="1"/>
        <v>2.7935700000000003</v>
      </c>
      <c r="D49" s="12">
        <f t="shared" si="2"/>
        <v>0.19610861400000004</v>
      </c>
      <c r="E49" s="12">
        <f t="shared" si="0"/>
        <v>8.7548488392857164E-3</v>
      </c>
      <c r="F49" s="12">
        <f>E49/Calculation!K$18*1000</f>
        <v>1.0470448251608951E-2</v>
      </c>
      <c r="G49" s="12">
        <f t="shared" si="3"/>
        <v>19.940606182182929</v>
      </c>
    </row>
    <row r="50" spans="1:7">
      <c r="A50" s="36">
        <v>22.5</v>
      </c>
      <c r="B50" s="36">
        <v>2245.36</v>
      </c>
      <c r="C50" s="37">
        <f t="shared" si="1"/>
        <v>2.2453600000000002</v>
      </c>
      <c r="D50" s="12">
        <f t="shared" si="2"/>
        <v>0.15762427200000001</v>
      </c>
      <c r="E50" s="12">
        <f t="shared" si="0"/>
        <v>7.0367978571428584E-3</v>
      </c>
      <c r="F50" s="12">
        <f>E50/Calculation!K$18*1000</f>
        <v>8.4157281493689694E-3</v>
      </c>
      <c r="G50" s="12">
        <f t="shared" si="3"/>
        <v>20.223898828197598</v>
      </c>
    </row>
    <row r="51" spans="1:7">
      <c r="A51" s="36">
        <v>23</v>
      </c>
      <c r="B51" s="36">
        <v>1852.85</v>
      </c>
      <c r="C51" s="37">
        <f t="shared" si="1"/>
        <v>1.8528499999999999</v>
      </c>
      <c r="D51" s="12">
        <f t="shared" si="2"/>
        <v>0.13007006999999998</v>
      </c>
      <c r="E51" s="12">
        <f t="shared" si="0"/>
        <v>5.8066995535714285E-3</v>
      </c>
      <c r="F51" s="12">
        <f>E51/Calculation!K$18*1000</f>
        <v>6.944579889887721E-3</v>
      </c>
      <c r="G51" s="12">
        <f t="shared" si="3"/>
        <v>20.454303448786447</v>
      </c>
    </row>
    <row r="52" spans="1:7">
      <c r="A52" s="36">
        <v>23.5</v>
      </c>
      <c r="B52" s="36">
        <v>1534.59</v>
      </c>
      <c r="C52" s="37">
        <f t="shared" si="1"/>
        <v>1.5345899999999999</v>
      </c>
      <c r="D52" s="12">
        <f t="shared" si="2"/>
        <v>0.107728218</v>
      </c>
      <c r="E52" s="12">
        <f t="shared" si="0"/>
        <v>4.809295446428572E-3</v>
      </c>
      <c r="F52" s="12">
        <f>E52/Calculation!K$18*1000</f>
        <v>5.7517245612018235E-3</v>
      </c>
      <c r="G52" s="12">
        <f t="shared" si="3"/>
        <v>20.644748015552789</v>
      </c>
    </row>
    <row r="53" spans="1:7">
      <c r="A53" s="36">
        <v>24</v>
      </c>
      <c r="B53" s="36">
        <v>1317.35</v>
      </c>
      <c r="C53" s="37">
        <f t="shared" si="1"/>
        <v>1.3173499999999998</v>
      </c>
      <c r="D53" s="12">
        <f t="shared" si="2"/>
        <v>9.2477969999999993E-2</v>
      </c>
      <c r="E53" s="12">
        <f t="shared" si="0"/>
        <v>4.1284808035714285E-3</v>
      </c>
      <c r="F53" s="12">
        <f>E53/Calculation!K$19*1000</f>
        <v>5.1569418756492093E-3</v>
      </c>
      <c r="G53" s="12">
        <f t="shared" si="3"/>
        <v>20.808378012105553</v>
      </c>
    </row>
    <row r="54" spans="1:7">
      <c r="A54" s="36">
        <v>24.5</v>
      </c>
      <c r="B54" s="36">
        <v>1176.7</v>
      </c>
      <c r="C54" s="37">
        <f t="shared" si="1"/>
        <v>1.1767000000000001</v>
      </c>
      <c r="D54" s="12">
        <f t="shared" si="2"/>
        <v>8.2604340000000012E-2</v>
      </c>
      <c r="E54" s="12">
        <f t="shared" si="0"/>
        <v>3.6876937500000006E-3</v>
      </c>
      <c r="F54" s="12">
        <f>E54/Calculation!K$19*1000</f>
        <v>4.6063487342592512E-3</v>
      </c>
      <c r="G54" s="12">
        <f t="shared" si="3"/>
        <v>20.954827371254179</v>
      </c>
    </row>
    <row r="55" spans="1:7">
      <c r="A55" s="36">
        <v>25</v>
      </c>
      <c r="B55" s="36">
        <v>987.38</v>
      </c>
      <c r="C55" s="37">
        <f t="shared" si="1"/>
        <v>0.98738000000000004</v>
      </c>
      <c r="D55" s="12">
        <f t="shared" si="2"/>
        <v>6.9314076000000002E-2</v>
      </c>
      <c r="E55" s="12">
        <f t="shared" si="0"/>
        <v>3.0943783928571431E-3</v>
      </c>
      <c r="F55" s="12">
        <f>E55/Calculation!K$19*1000</f>
        <v>3.8652304013197078E-3</v>
      </c>
      <c r="G55" s="12">
        <f t="shared" si="3"/>
        <v>21.081901058287862</v>
      </c>
    </row>
    <row r="56" spans="1:7">
      <c r="A56" s="36">
        <v>25.5</v>
      </c>
      <c r="B56" s="36">
        <v>854.76</v>
      </c>
      <c r="C56" s="37">
        <f t="shared" si="1"/>
        <v>0.85475999999999996</v>
      </c>
      <c r="D56" s="12">
        <f t="shared" si="2"/>
        <v>6.0004151999999998E-2</v>
      </c>
      <c r="E56" s="12">
        <f t="shared" si="0"/>
        <v>2.6787567857142858E-3</v>
      </c>
      <c r="F56" s="12">
        <f>E56/Calculation!K$19*1000</f>
        <v>3.3460717634872421E-3</v>
      </c>
      <c r="G56" s="12">
        <f t="shared" si="3"/>
        <v>21.190070590759966</v>
      </c>
    </row>
    <row r="57" spans="1:7">
      <c r="A57" s="36">
        <v>26</v>
      </c>
      <c r="B57" s="36">
        <v>731.84</v>
      </c>
      <c r="C57" s="37">
        <f t="shared" si="1"/>
        <v>0.73184000000000005</v>
      </c>
      <c r="D57" s="12">
        <f t="shared" si="2"/>
        <v>5.1375168000000006E-2</v>
      </c>
      <c r="E57" s="12">
        <f t="shared" si="0"/>
        <v>2.2935342857142863E-3</v>
      </c>
      <c r="F57" s="12">
        <f>E57/Calculation!K$19*1000</f>
        <v>2.8648850664402918E-3</v>
      </c>
      <c r="G57" s="12">
        <f t="shared" si="3"/>
        <v>21.283234943208878</v>
      </c>
    </row>
    <row r="58" spans="1:7">
      <c r="A58" s="36">
        <v>26.5</v>
      </c>
      <c r="B58" s="36">
        <v>621.63</v>
      </c>
      <c r="C58" s="37">
        <f t="shared" si="1"/>
        <v>0.62163000000000002</v>
      </c>
      <c r="D58" s="12">
        <f t="shared" si="2"/>
        <v>4.3638426000000001E-2</v>
      </c>
      <c r="E58" s="12">
        <f t="shared" si="0"/>
        <v>1.948144017857143E-3</v>
      </c>
      <c r="F58" s="12">
        <f>E58/Calculation!K$19*1000</f>
        <v>2.4334533557215758E-3</v>
      </c>
      <c r="G58" s="12">
        <f t="shared" si="3"/>
        <v>21.362710019541307</v>
      </c>
    </row>
    <row r="59" spans="1:7">
      <c r="A59" s="36">
        <v>27</v>
      </c>
      <c r="B59" s="36">
        <v>538.35</v>
      </c>
      <c r="C59" s="37">
        <f t="shared" si="1"/>
        <v>0.53835</v>
      </c>
      <c r="D59" s="12">
        <f t="shared" si="2"/>
        <v>3.7792170000000007E-2</v>
      </c>
      <c r="E59" s="12">
        <f t="shared" si="0"/>
        <v>1.6871504464285717E-3</v>
      </c>
      <c r="F59" s="12">
        <f>E59/Calculation!K$19*1000</f>
        <v>2.1074427135960466E-3</v>
      </c>
      <c r="G59" s="12">
        <f t="shared" si="3"/>
        <v>21.43082346058107</v>
      </c>
    </row>
    <row r="60" spans="1:7">
      <c r="A60" s="36">
        <v>27.5</v>
      </c>
      <c r="B60" s="36">
        <v>472.95</v>
      </c>
      <c r="C60" s="37">
        <f t="shared" si="1"/>
        <v>0.47294999999999998</v>
      </c>
      <c r="D60" s="12">
        <f t="shared" si="2"/>
        <v>3.3201090000000003E-2</v>
      </c>
      <c r="E60" s="12">
        <f t="shared" si="0"/>
        <v>1.4821915178571431E-3</v>
      </c>
      <c r="F60" s="12">
        <f>E60/Calculation!K$19*1000</f>
        <v>1.8514257107741252E-3</v>
      </c>
      <c r="G60" s="12">
        <f t="shared" si="3"/>
        <v>21.490206486946622</v>
      </c>
    </row>
    <row r="61" spans="1:7">
      <c r="A61" s="36">
        <v>28</v>
      </c>
      <c r="B61" s="36">
        <v>412.92</v>
      </c>
      <c r="C61" s="37">
        <f t="shared" si="1"/>
        <v>0.41292000000000001</v>
      </c>
      <c r="D61" s="12">
        <f t="shared" si="2"/>
        <v>2.8986984E-2</v>
      </c>
      <c r="E61" s="12">
        <f t="shared" si="0"/>
        <v>1.2940617857142857E-3</v>
      </c>
      <c r="F61" s="12">
        <f>E61/Calculation!K$19*1000</f>
        <v>1.6164302875417099E-3</v>
      </c>
      <c r="G61" s="12">
        <f t="shared" si="3"/>
        <v>21.54222432692136</v>
      </c>
    </row>
    <row r="62" spans="1:7">
      <c r="A62" s="36">
        <v>28.5</v>
      </c>
      <c r="B62" s="36">
        <v>364.42</v>
      </c>
      <c r="C62" s="37">
        <f t="shared" si="1"/>
        <v>0.36442000000000002</v>
      </c>
      <c r="D62" s="12">
        <f t="shared" si="2"/>
        <v>2.5582284E-2</v>
      </c>
      <c r="E62" s="12">
        <f t="shared" si="0"/>
        <v>1.14206625E-3</v>
      </c>
      <c r="F62" s="12">
        <f>E62/Calculation!K$19*1000</f>
        <v>1.4265705836141382E-3</v>
      </c>
      <c r="G62" s="12">
        <f t="shared" si="3"/>
        <v>21.587869339988696</v>
      </c>
    </row>
    <row r="63" spans="1:7">
      <c r="A63" s="36">
        <v>29</v>
      </c>
      <c r="B63" s="36">
        <v>321.27</v>
      </c>
      <c r="C63" s="37">
        <f t="shared" si="1"/>
        <v>0.32127</v>
      </c>
      <c r="D63" s="12">
        <f t="shared" si="2"/>
        <v>2.2553154000000002E-2</v>
      </c>
      <c r="E63" s="12">
        <f t="shared" si="0"/>
        <v>1.0068372321428572E-3</v>
      </c>
      <c r="F63" s="12">
        <f>E63/Calculation!K$19*1000</f>
        <v>1.2576541666146593E-3</v>
      </c>
      <c r="G63" s="12">
        <f t="shared" si="3"/>
        <v>21.628132711242127</v>
      </c>
    </row>
    <row r="64" spans="1:7">
      <c r="A64" s="36">
        <v>29.5</v>
      </c>
      <c r="B64" s="36">
        <v>288.14999999999998</v>
      </c>
      <c r="C64" s="37">
        <f t="shared" si="1"/>
        <v>0.28814999999999996</v>
      </c>
      <c r="D64" s="12">
        <f t="shared" si="2"/>
        <v>2.022813E-2</v>
      </c>
      <c r="E64" s="12">
        <f t="shared" si="0"/>
        <v>9.0304151785714295E-4</v>
      </c>
      <c r="F64" s="12">
        <f>E64/Calculation!K$19*1000</f>
        <v>1.1280015193140167E-3</v>
      </c>
      <c r="G64" s="12">
        <f t="shared" si="3"/>
        <v>21.663917546531057</v>
      </c>
    </row>
    <row r="65" spans="1:7">
      <c r="A65" s="36">
        <v>30</v>
      </c>
      <c r="B65" s="36">
        <v>265.74</v>
      </c>
      <c r="C65" s="37">
        <f t="shared" si="1"/>
        <v>0.26574000000000003</v>
      </c>
      <c r="D65" s="12">
        <f t="shared" si="2"/>
        <v>1.8654948000000005E-2</v>
      </c>
      <c r="E65" s="12">
        <f t="shared" si="0"/>
        <v>8.3281017857142882E-4</v>
      </c>
      <c r="F65" s="12">
        <f>E65/Calculation!K$20*1000</f>
        <v>1.0939496940091257E-3</v>
      </c>
      <c r="G65" s="12">
        <f t="shared" si="3"/>
        <v>21.697246814730903</v>
      </c>
    </row>
    <row r="66" spans="1:7">
      <c r="A66" s="36">
        <v>30.5</v>
      </c>
      <c r="B66" s="36">
        <v>238.48</v>
      </c>
      <c r="C66" s="37">
        <f t="shared" si="1"/>
        <v>0.23848</v>
      </c>
      <c r="D66" s="12">
        <f t="shared" si="2"/>
        <v>1.6741296000000003E-2</v>
      </c>
      <c r="E66" s="12">
        <f t="shared" si="0"/>
        <v>7.4737928571428584E-4</v>
      </c>
      <c r="F66" s="12">
        <f>E66/Calculation!K$20*1000</f>
        <v>9.8173072562390395E-4</v>
      </c>
      <c r="G66" s="12">
        <f t="shared" si="3"/>
        <v>21.7283820210254</v>
      </c>
    </row>
    <row r="67" spans="1:7">
      <c r="A67" s="36">
        <v>31</v>
      </c>
      <c r="B67" s="36">
        <v>213.9</v>
      </c>
      <c r="C67" s="37">
        <f t="shared" si="1"/>
        <v>0.21390000000000001</v>
      </c>
      <c r="D67" s="12">
        <f t="shared" si="2"/>
        <v>1.5015779999999999E-2</v>
      </c>
      <c r="E67" s="12">
        <f t="shared" si="0"/>
        <v>6.7034732142857143E-4</v>
      </c>
      <c r="F67" s="12">
        <f>E67/Calculation!K$20*1000</f>
        <v>8.8054428971382523E-4</v>
      </c>
      <c r="G67" s="12">
        <f t="shared" si="3"/>
        <v>21.756316146255465</v>
      </c>
    </row>
    <row r="68" spans="1:7">
      <c r="A68" s="36">
        <v>31.5</v>
      </c>
      <c r="B68" s="36">
        <v>183.63</v>
      </c>
      <c r="C68" s="37">
        <f t="shared" si="1"/>
        <v>0.18362999999999999</v>
      </c>
      <c r="D68" s="12">
        <f t="shared" si="2"/>
        <v>1.2890825999999999E-2</v>
      </c>
      <c r="E68" s="12">
        <f t="shared" si="0"/>
        <v>5.7548330357142853E-4</v>
      </c>
      <c r="F68" s="12">
        <f>E68/Calculation!K$20*1000</f>
        <v>7.5593430537704395E-4</v>
      </c>
      <c r="G68" s="12">
        <f t="shared" si="3"/>
        <v>21.780863325181826</v>
      </c>
    </row>
    <row r="69" spans="1:7">
      <c r="A69" s="36">
        <v>32</v>
      </c>
      <c r="B69" s="36">
        <v>0</v>
      </c>
      <c r="C69" s="37">
        <f t="shared" si="1"/>
        <v>0</v>
      </c>
      <c r="D69" s="12">
        <f t="shared" si="2"/>
        <v>0</v>
      </c>
      <c r="E69" s="12">
        <f t="shared" si="0"/>
        <v>0</v>
      </c>
      <c r="F69" s="12">
        <f>E69/Calculation!K$20*1000</f>
        <v>0</v>
      </c>
      <c r="G69" s="12">
        <f t="shared" si="3"/>
        <v>21.792202339762483</v>
      </c>
    </row>
    <row r="70" spans="1:7">
      <c r="A70" s="36">
        <v>32.5</v>
      </c>
      <c r="B70" s="36">
        <v>0</v>
      </c>
      <c r="C70" s="37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E70/Calculation!K$20*1000</f>
        <v>0</v>
      </c>
      <c r="G70" s="12">
        <f t="shared" si="3"/>
        <v>21.792202339762483</v>
      </c>
    </row>
    <row r="71" spans="1:7">
      <c r="A71" s="36">
        <v>33</v>
      </c>
      <c r="B71" s="36">
        <v>0</v>
      </c>
      <c r="C71" s="37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E71/Calculation!K$20*1000</f>
        <v>0</v>
      </c>
      <c r="G71" s="12">
        <f t="shared" ref="G71:G101" si="7">G70+(F71+F70)/2*30</f>
        <v>21.792202339762483</v>
      </c>
    </row>
    <row r="72" spans="1:7">
      <c r="A72" s="36">
        <v>33.5</v>
      </c>
      <c r="B72" s="36">
        <v>0</v>
      </c>
      <c r="C72" s="37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E72/Calculation!K$20*1000</f>
        <v>0</v>
      </c>
      <c r="G72" s="12">
        <f t="shared" si="7"/>
        <v>21.792202339762483</v>
      </c>
    </row>
    <row r="73" spans="1:7">
      <c r="A73" s="36">
        <v>34</v>
      </c>
      <c r="B73" s="36">
        <v>0</v>
      </c>
      <c r="C73" s="37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E73/Calculation!K$20*1000</f>
        <v>0</v>
      </c>
      <c r="G73" s="12">
        <f t="shared" si="7"/>
        <v>21.792202339762483</v>
      </c>
    </row>
    <row r="74" spans="1:7">
      <c r="A74" s="36">
        <v>34.5</v>
      </c>
      <c r="B74" s="36">
        <v>0</v>
      </c>
      <c r="C74" s="37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E74/Calculation!K$20*1000</f>
        <v>0</v>
      </c>
      <c r="G74" s="12">
        <f t="shared" si="7"/>
        <v>21.792202339762483</v>
      </c>
    </row>
    <row r="75" spans="1:7">
      <c r="A75" s="36">
        <v>35</v>
      </c>
      <c r="B75" s="36">
        <v>0</v>
      </c>
      <c r="C75" s="37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E75/Calculation!K$20*1000</f>
        <v>0</v>
      </c>
      <c r="G75" s="12">
        <f t="shared" si="7"/>
        <v>21.792202339762483</v>
      </c>
    </row>
    <row r="76" spans="1:7">
      <c r="A76" s="36">
        <v>35.5</v>
      </c>
      <c r="B76" s="36">
        <v>0</v>
      </c>
      <c r="C76" s="37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E76/Calculation!K$20*1000</f>
        <v>0</v>
      </c>
      <c r="G76" s="12">
        <f t="shared" si="7"/>
        <v>21.792202339762483</v>
      </c>
    </row>
    <row r="77" spans="1:7">
      <c r="A77" s="36">
        <v>36</v>
      </c>
      <c r="B77" s="36">
        <v>0</v>
      </c>
      <c r="C77" s="37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E77/Calculation!K$20*1000</f>
        <v>0</v>
      </c>
      <c r="G77" s="12">
        <f t="shared" si="7"/>
        <v>21.792202339762483</v>
      </c>
    </row>
    <row r="78" spans="1:7">
      <c r="A78" s="36">
        <v>36.5</v>
      </c>
      <c r="B78" s="36">
        <v>0</v>
      </c>
      <c r="C78" s="37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E78/Calculation!K$20*1000</f>
        <v>0</v>
      </c>
      <c r="G78" s="12">
        <f t="shared" si="7"/>
        <v>21.792202339762483</v>
      </c>
    </row>
    <row r="79" spans="1:7">
      <c r="A79" s="36">
        <v>37</v>
      </c>
      <c r="B79" s="36">
        <v>0</v>
      </c>
      <c r="C79" s="37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E79/Calculation!K$20*1000</f>
        <v>0</v>
      </c>
      <c r="G79" s="12">
        <f t="shared" si="7"/>
        <v>21.792202339762483</v>
      </c>
    </row>
    <row r="80" spans="1:7">
      <c r="A80" s="36">
        <v>37.5</v>
      </c>
      <c r="B80" s="36">
        <v>0</v>
      </c>
      <c r="C80" s="37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E80/Calculation!K$20*1000</f>
        <v>0</v>
      </c>
      <c r="G80" s="12">
        <f t="shared" si="7"/>
        <v>21.792202339762483</v>
      </c>
    </row>
    <row r="81" spans="1:7">
      <c r="A81" s="36">
        <v>38</v>
      </c>
      <c r="B81" s="36">
        <v>0</v>
      </c>
      <c r="C81" s="37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E81/Calculation!K$20*1000</f>
        <v>0</v>
      </c>
      <c r="G81" s="12">
        <f t="shared" si="7"/>
        <v>21.792202339762483</v>
      </c>
    </row>
    <row r="82" spans="1:7">
      <c r="A82" s="36">
        <v>38.5</v>
      </c>
      <c r="B82" s="36">
        <v>0</v>
      </c>
      <c r="C82" s="37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E82/Calculation!K$20*1000</f>
        <v>0</v>
      </c>
      <c r="G82" s="12">
        <f t="shared" si="7"/>
        <v>21.792202339762483</v>
      </c>
    </row>
    <row r="83" spans="1:7">
      <c r="A83" s="36">
        <v>39</v>
      </c>
      <c r="B83" s="36">
        <v>0</v>
      </c>
      <c r="C83" s="37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E83/Calculation!K$20*1000</f>
        <v>0</v>
      </c>
      <c r="G83" s="12">
        <f t="shared" si="7"/>
        <v>21.792202339762483</v>
      </c>
    </row>
    <row r="84" spans="1:7">
      <c r="A84" s="36">
        <v>39.5</v>
      </c>
      <c r="B84" s="36">
        <v>0</v>
      </c>
      <c r="C84" s="37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E84/Calculation!K$20*1000</f>
        <v>0</v>
      </c>
      <c r="G84" s="12">
        <f t="shared" si="7"/>
        <v>21.792202339762483</v>
      </c>
    </row>
    <row r="85" spans="1:7">
      <c r="A85" s="36">
        <v>40</v>
      </c>
      <c r="B85" s="36">
        <v>0</v>
      </c>
      <c r="C85" s="37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E85/Calculation!K$20*1000</f>
        <v>0</v>
      </c>
      <c r="G85" s="12">
        <f t="shared" si="7"/>
        <v>21.792202339762483</v>
      </c>
    </row>
    <row r="86" spans="1:7">
      <c r="A86" s="36">
        <v>40.5</v>
      </c>
      <c r="B86" s="36">
        <v>0</v>
      </c>
      <c r="C86" s="37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E86/Calculation!K$20*1000</f>
        <v>0</v>
      </c>
      <c r="G86" s="12">
        <f t="shared" si="7"/>
        <v>21.792202339762483</v>
      </c>
    </row>
    <row r="87" spans="1:7">
      <c r="A87" s="36">
        <v>41</v>
      </c>
      <c r="B87" s="36">
        <v>0</v>
      </c>
      <c r="C87" s="37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E87/Calculation!K$20*1000</f>
        <v>0</v>
      </c>
      <c r="G87" s="12">
        <f t="shared" si="7"/>
        <v>21.792202339762483</v>
      </c>
    </row>
    <row r="88" spans="1:7">
      <c r="A88" s="36">
        <v>41.5</v>
      </c>
      <c r="B88" s="36">
        <v>0</v>
      </c>
      <c r="C88" s="37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E88/Calculation!K$20*1000</f>
        <v>0</v>
      </c>
      <c r="G88" s="12">
        <f t="shared" si="7"/>
        <v>21.792202339762483</v>
      </c>
    </row>
    <row r="89" spans="1:7">
      <c r="A89" s="36">
        <v>42</v>
      </c>
      <c r="B89" s="36">
        <v>0</v>
      </c>
      <c r="C89" s="37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E89/Calculation!K$20*1000</f>
        <v>0</v>
      </c>
      <c r="G89" s="12">
        <f t="shared" si="7"/>
        <v>21.792202339762483</v>
      </c>
    </row>
    <row r="90" spans="1:7">
      <c r="A90" s="36">
        <v>42.5</v>
      </c>
      <c r="B90" s="36">
        <v>0</v>
      </c>
      <c r="C90" s="37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E90/Calculation!K$20*1000</f>
        <v>0</v>
      </c>
      <c r="G90" s="12">
        <f t="shared" si="7"/>
        <v>21.792202339762483</v>
      </c>
    </row>
    <row r="91" spans="1:7">
      <c r="A91" s="36">
        <v>43</v>
      </c>
      <c r="B91" s="36">
        <v>0</v>
      </c>
      <c r="C91" s="37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E91/Calculation!K$20*1000</f>
        <v>0</v>
      </c>
      <c r="G91" s="12">
        <f t="shared" si="7"/>
        <v>21.792202339762483</v>
      </c>
    </row>
    <row r="92" spans="1:7">
      <c r="A92" s="36">
        <v>43.5</v>
      </c>
      <c r="B92" s="36">
        <v>0</v>
      </c>
      <c r="C92" s="37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E92/Calculation!K$20*1000</f>
        <v>0</v>
      </c>
      <c r="G92" s="12">
        <f t="shared" si="7"/>
        <v>21.792202339762483</v>
      </c>
    </row>
    <row r="93" spans="1:7">
      <c r="A93" s="36">
        <v>44</v>
      </c>
      <c r="B93" s="36">
        <v>0</v>
      </c>
      <c r="C93" s="37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E93/Calculation!K$20*1000</f>
        <v>0</v>
      </c>
      <c r="G93" s="12">
        <f t="shared" si="7"/>
        <v>21.792202339762483</v>
      </c>
    </row>
    <row r="94" spans="1:7">
      <c r="A94" s="36">
        <v>44.5</v>
      </c>
      <c r="B94" s="36">
        <v>0</v>
      </c>
      <c r="C94" s="37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E94/Calculation!K$20*1000</f>
        <v>0</v>
      </c>
      <c r="G94" s="12">
        <f t="shared" si="7"/>
        <v>21.792202339762483</v>
      </c>
    </row>
    <row r="95" spans="1:7">
      <c r="A95" s="36">
        <v>45</v>
      </c>
      <c r="B95" s="36">
        <v>0</v>
      </c>
      <c r="C95" s="37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E95/Calculation!K$20*1000</f>
        <v>0</v>
      </c>
      <c r="G95" s="12">
        <f t="shared" si="7"/>
        <v>21.792202339762483</v>
      </c>
    </row>
    <row r="96" spans="1:7">
      <c r="A96" s="36">
        <v>45.5</v>
      </c>
      <c r="B96" s="36">
        <v>0</v>
      </c>
      <c r="C96" s="37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E96/Calculation!K$20*1000</f>
        <v>0</v>
      </c>
      <c r="G96" s="12">
        <f t="shared" si="7"/>
        <v>21.792202339762483</v>
      </c>
    </row>
    <row r="97" spans="1:7">
      <c r="A97" s="36">
        <v>46</v>
      </c>
      <c r="B97" s="36">
        <v>0</v>
      </c>
      <c r="C97" s="37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E97/Calculation!K$20*1000</f>
        <v>0</v>
      </c>
      <c r="G97" s="12">
        <f t="shared" si="7"/>
        <v>21.792202339762483</v>
      </c>
    </row>
    <row r="98" spans="1:7">
      <c r="A98" s="36">
        <v>46.5</v>
      </c>
      <c r="B98" s="36">
        <v>0</v>
      </c>
      <c r="C98" s="37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E98/Calculation!K$20*1000</f>
        <v>0</v>
      </c>
      <c r="G98" s="12">
        <f t="shared" si="7"/>
        <v>21.792202339762483</v>
      </c>
    </row>
    <row r="99" spans="1:7">
      <c r="A99" s="36">
        <v>47</v>
      </c>
      <c r="B99" s="36">
        <v>0</v>
      </c>
      <c r="C99" s="37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E99/Calculation!K$20*1000</f>
        <v>0</v>
      </c>
      <c r="G99" s="12">
        <f t="shared" si="7"/>
        <v>21.792202339762483</v>
      </c>
    </row>
    <row r="100" spans="1:7">
      <c r="A100" s="36">
        <v>47.5</v>
      </c>
      <c r="B100" s="12">
        <v>0</v>
      </c>
      <c r="C100" s="37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E100/Calculation!K$20*1000</f>
        <v>0</v>
      </c>
      <c r="G100" s="12">
        <f t="shared" si="7"/>
        <v>21.792202339762483</v>
      </c>
    </row>
    <row r="101" spans="1:7">
      <c r="A101" s="36">
        <v>48</v>
      </c>
      <c r="B101" s="36">
        <v>0</v>
      </c>
      <c r="C101" s="37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E101/Calculation!K$21*1000</f>
        <v>0</v>
      </c>
      <c r="G101" s="12">
        <f t="shared" si="7"/>
        <v>21.792202339762483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D1" workbookViewId="0">
      <selection activeCell="N3" sqref="N3:O21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15" t="s">
        <v>41</v>
      </c>
      <c r="B1" s="115"/>
      <c r="D1" s="139" t="s">
        <v>4</v>
      </c>
      <c r="E1" s="139" t="s">
        <v>5</v>
      </c>
      <c r="F1" s="115" t="s">
        <v>143</v>
      </c>
      <c r="G1" s="115"/>
      <c r="H1" s="115"/>
      <c r="I1" s="115"/>
      <c r="J1" s="115" t="s">
        <v>42</v>
      </c>
      <c r="K1" s="115"/>
      <c r="L1" s="115"/>
      <c r="M1" s="115"/>
      <c r="N1" s="137" t="s">
        <v>43</v>
      </c>
      <c r="O1" s="113"/>
      <c r="P1" s="113"/>
      <c r="Q1" s="138"/>
      <c r="R1" s="115" t="s">
        <v>65</v>
      </c>
      <c r="S1" s="115"/>
      <c r="T1" s="115"/>
      <c r="U1" s="115"/>
    </row>
    <row r="2" spans="1:21">
      <c r="A2" s="115" t="s">
        <v>34</v>
      </c>
      <c r="B2" s="115"/>
      <c r="D2" s="139"/>
      <c r="E2" s="139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15" t="s">
        <v>35</v>
      </c>
      <c r="B3" s="14" t="s">
        <v>38</v>
      </c>
      <c r="D3" s="16">
        <v>0</v>
      </c>
      <c r="E3" s="68">
        <v>-0.16666666666666666</v>
      </c>
      <c r="F3" s="53">
        <v>49.88158673771462</v>
      </c>
      <c r="G3" s="53">
        <v>0.25613177147235533</v>
      </c>
      <c r="H3" s="13">
        <f>F3*Calculation!I3/Calculation!F23</f>
        <v>49.88158673771462</v>
      </c>
      <c r="I3" s="13">
        <f>G3*Calculation!I3/Calculation!F23</f>
        <v>0.25613177147235533</v>
      </c>
      <c r="J3" s="13">
        <v>0.38484310242747194</v>
      </c>
      <c r="K3" s="13">
        <v>1.2818611660515638E-2</v>
      </c>
      <c r="L3" s="13">
        <f>J3*Calculation!I3/Calculation!F23</f>
        <v>0.38484310242747194</v>
      </c>
      <c r="M3" s="13">
        <f>K3*Calculation!I3/Calculation!F23</f>
        <v>1.2818611660515638E-2</v>
      </c>
      <c r="N3" s="13">
        <v>47.771301693033585</v>
      </c>
      <c r="O3" s="13">
        <v>6.9331090739921816E-2</v>
      </c>
      <c r="P3" s="13">
        <f>N3*Calculation!I3/Calculation!F23</f>
        <v>47.771301693033585</v>
      </c>
      <c r="Q3" s="13">
        <f>O3*Calculation!I3/Calculation!F23</f>
        <v>6.9331090739921816E-2</v>
      </c>
      <c r="R3" s="13">
        <v>0</v>
      </c>
      <c r="S3" s="13">
        <v>0</v>
      </c>
      <c r="T3" s="13">
        <f>R3*Calculation!I3/Calculation!F23</f>
        <v>0</v>
      </c>
      <c r="U3" s="13">
        <f>S3*Calculation!I3/Calculation!F23</f>
        <v>0</v>
      </c>
    </row>
    <row r="4" spans="1:21">
      <c r="A4" s="115"/>
      <c r="B4" s="14" t="s">
        <v>39</v>
      </c>
      <c r="D4" s="16">
        <v>0</v>
      </c>
      <c r="E4" s="71">
        <v>0.16666666666666666</v>
      </c>
      <c r="F4" s="53">
        <v>49.589253996447603</v>
      </c>
      <c r="G4" s="53">
        <v>0.32116954132969522</v>
      </c>
      <c r="H4" s="13">
        <f>F4*Calculation!I4/Calculation!K3</f>
        <v>49.589253996447603</v>
      </c>
      <c r="I4" s="13">
        <f>G4*Calculation!I4/Calculation!K3</f>
        <v>0.32116954132969522</v>
      </c>
      <c r="J4" s="13">
        <v>0.42184724689165187</v>
      </c>
      <c r="K4" s="13">
        <v>7.6911669963093995E-2</v>
      </c>
      <c r="L4" s="13">
        <f>J4*Calculation!I4/Calculation!K3</f>
        <v>0.42184724689165187</v>
      </c>
      <c r="M4" s="13">
        <f>K4*Calculation!I4/Calculation!K3</f>
        <v>7.6911669963093995E-2</v>
      </c>
      <c r="N4" s="13">
        <v>48.215376075492649</v>
      </c>
      <c r="O4" s="13">
        <v>0.30220721818076546</v>
      </c>
      <c r="P4" s="13">
        <f>N4*Calculation!I4/Calculation!K3</f>
        <v>48.215376075492649</v>
      </c>
      <c r="Q4" s="13">
        <f>O4*Calculation!I4/Calculation!K3</f>
        <v>0.30220721818076546</v>
      </c>
      <c r="R4" s="13">
        <v>0</v>
      </c>
      <c r="S4" s="13">
        <v>0</v>
      </c>
      <c r="T4" s="13">
        <f>R4*Calculation!I4/Calculation!K3</f>
        <v>0</v>
      </c>
      <c r="U4" s="13">
        <f>S4*Calculation!I4/Calculation!K3</f>
        <v>0</v>
      </c>
    </row>
    <row r="5" spans="1:21">
      <c r="A5" s="15" t="s">
        <v>37</v>
      </c>
      <c r="B5" s="15">
        <v>180.16</v>
      </c>
      <c r="D5" s="16">
        <v>1</v>
      </c>
      <c r="E5" s="71">
        <v>2</v>
      </c>
      <c r="F5" s="53">
        <v>49.770574304322082</v>
      </c>
      <c r="G5" s="53">
        <v>0.3158168782319688</v>
      </c>
      <c r="H5" s="13">
        <f>F5*Calculation!I5/Calculation!K4</f>
        <v>49.770574304322082</v>
      </c>
      <c r="I5" s="13">
        <f>G5*Calculation!I5/Calculation!K4</f>
        <v>0.3158168782319688</v>
      </c>
      <c r="J5" s="13">
        <v>0.42924807578448787</v>
      </c>
      <c r="K5" s="13">
        <v>1.2818611660515681E-2</v>
      </c>
      <c r="L5" s="13">
        <f>J5*Calculation!I5/Calculation!K4</f>
        <v>0.42924807578448787</v>
      </c>
      <c r="M5" s="13">
        <f>K5*Calculation!I5/Calculation!K4</f>
        <v>1.2818611660515681E-2</v>
      </c>
      <c r="N5" s="13">
        <v>48.393005828476269</v>
      </c>
      <c r="O5" s="13">
        <v>0.18543761408260073</v>
      </c>
      <c r="P5" s="13">
        <f>N5*Calculation!I5/Calculation!K4</f>
        <v>48.393005828476269</v>
      </c>
      <c r="Q5" s="13">
        <f>O5*Calculation!I5/Calculation!K4</f>
        <v>0.18543761408260073</v>
      </c>
      <c r="R5" s="13">
        <v>0</v>
      </c>
      <c r="S5" s="13">
        <v>0</v>
      </c>
      <c r="T5" s="13">
        <f>R5*Calculation!I5/Calculation!K4</f>
        <v>0</v>
      </c>
      <c r="U5" s="13">
        <f>S5*Calculation!I5/Calculation!K4</f>
        <v>0</v>
      </c>
    </row>
    <row r="6" spans="1:21">
      <c r="A6" s="15" t="s">
        <v>40</v>
      </c>
      <c r="B6" s="15">
        <v>180.16</v>
      </c>
      <c r="D6" s="16">
        <v>2</v>
      </c>
      <c r="E6" s="71">
        <v>3.3333333333333335</v>
      </c>
      <c r="F6" s="53">
        <v>49.718768502072223</v>
      </c>
      <c r="G6" s="53">
        <v>0.590178402852364</v>
      </c>
      <c r="H6" s="13">
        <f>F6*Calculation!I6/Calculation!K5</f>
        <v>49.718768502072223</v>
      </c>
      <c r="I6" s="13">
        <f>G6*Calculation!I6/Calculation!K5</f>
        <v>0.590178402852364</v>
      </c>
      <c r="J6" s="13">
        <v>0.41444641799881582</v>
      </c>
      <c r="K6" s="13">
        <v>2.5637223321031358E-2</v>
      </c>
      <c r="L6" s="13">
        <f>J6*Calculation!I6/Calculation!K5</f>
        <v>0.41444641799881582</v>
      </c>
      <c r="M6" s="13">
        <f>K6*Calculation!I6/Calculation!K5</f>
        <v>2.5637223321031358E-2</v>
      </c>
      <c r="N6" s="13">
        <v>48.104357479877883</v>
      </c>
      <c r="O6" s="13">
        <v>0.58197468430002419</v>
      </c>
      <c r="P6" s="13">
        <f>N6*Calculation!I6/Calculation!K5</f>
        <v>48.104357479877883</v>
      </c>
      <c r="Q6" s="13">
        <f>O6*Calculation!I6/Calculation!K5</f>
        <v>0.58197468430002419</v>
      </c>
      <c r="R6" s="13">
        <v>0.1013831559128105</v>
      </c>
      <c r="S6" s="13">
        <v>6.6370855166280537E-2</v>
      </c>
      <c r="T6" s="13">
        <f>R6*Calculation!I6/Calculation!K5</f>
        <v>0.1013831559128105</v>
      </c>
      <c r="U6" s="13">
        <f>S6*Calculation!I6/Calculation!K5</f>
        <v>6.6370855166280537E-2</v>
      </c>
    </row>
    <row r="7" spans="1:21">
      <c r="A7" s="33" t="s">
        <v>117</v>
      </c>
      <c r="B7" s="33">
        <v>46.03</v>
      </c>
      <c r="D7" s="16">
        <v>3</v>
      </c>
      <c r="E7" s="71">
        <v>4.666666666666667</v>
      </c>
      <c r="F7" s="53">
        <v>49.733570159857898</v>
      </c>
      <c r="G7" s="53">
        <v>0.19640104366068098</v>
      </c>
      <c r="H7" s="13">
        <f>F7*Calculation!I7/Calculation!K6</f>
        <v>49.769687494759751</v>
      </c>
      <c r="I7" s="13">
        <f>G7*Calculation!I7/Calculation!K6</f>
        <v>0.19654367332201769</v>
      </c>
      <c r="J7" s="13">
        <v>0.45145056246299586</v>
      </c>
      <c r="K7" s="13">
        <v>1.2818611660515681E-2</v>
      </c>
      <c r="L7" s="13">
        <f>J7*Calculation!I7/Calculation!K6</f>
        <v>0.45177841327088475</v>
      </c>
      <c r="M7" s="13">
        <f>K7*Calculation!I7/Calculation!K6</f>
        <v>1.2827920746688896E-2</v>
      </c>
      <c r="N7" s="13">
        <v>47.871218429086873</v>
      </c>
      <c r="O7" s="13">
        <v>0.15018317245038601</v>
      </c>
      <c r="P7" s="13">
        <f>N7*Calculation!I7/Calculation!K6</f>
        <v>47.905983293596009</v>
      </c>
      <c r="Q7" s="13">
        <f>O7*Calculation!I7/Calculation!K6</f>
        <v>0.15029223793509944</v>
      </c>
      <c r="R7" s="13">
        <v>0.27518285176334278</v>
      </c>
      <c r="S7" s="13">
        <v>0.15259111815269363</v>
      </c>
      <c r="T7" s="13">
        <f>R7*Calculation!I7/Calculation!K6</f>
        <v>0.27538269406672938</v>
      </c>
      <c r="U7" s="13">
        <f>S7*Calculation!I7/Calculation!K6</f>
        <v>0.15270193232709645</v>
      </c>
    </row>
    <row r="8" spans="1:21">
      <c r="A8" s="15" t="s">
        <v>43</v>
      </c>
      <c r="B8" s="15">
        <v>60.05</v>
      </c>
      <c r="D8" s="16">
        <v>4</v>
      </c>
      <c r="E8" s="71">
        <v>6</v>
      </c>
      <c r="F8" s="53">
        <v>49.689165186500887</v>
      </c>
      <c r="G8" s="53">
        <v>0.46160352767077617</v>
      </c>
      <c r="H8" s="13">
        <f>F8*Calculation!I8/Calculation!K7</f>
        <v>49.725250273782301</v>
      </c>
      <c r="I8" s="13">
        <f>G8*Calculation!I8/Calculation!K7</f>
        <v>0.46193875172863441</v>
      </c>
      <c r="J8" s="13">
        <v>0.49585553582001185</v>
      </c>
      <c r="K8" s="13">
        <v>1.2818611660515679E-2</v>
      </c>
      <c r="L8" s="13">
        <f>J8*Calculation!I8/Calculation!K7</f>
        <v>0.49621563424834886</v>
      </c>
      <c r="M8" s="13">
        <f>K8*Calculation!I8/Calculation!K7</f>
        <v>1.2827920746688893E-2</v>
      </c>
      <c r="N8" s="13">
        <v>47.804607271718012</v>
      </c>
      <c r="O8" s="13">
        <v>0.22670638752886246</v>
      </c>
      <c r="P8" s="13">
        <f>N8*Calculation!I8/Calculation!K7</f>
        <v>47.83932376211142</v>
      </c>
      <c r="Q8" s="13">
        <f>O8*Calculation!I8/Calculation!K7</f>
        <v>0.22687102542830245</v>
      </c>
      <c r="R8" s="13">
        <v>0.2606995437757984</v>
      </c>
      <c r="S8" s="13">
        <v>8.689984792526613E-2</v>
      </c>
      <c r="T8" s="13">
        <f>R8*Calculation!I8/Calculation!K7</f>
        <v>0.26088886806321732</v>
      </c>
      <c r="U8" s="13">
        <f>S8*Calculation!I8/Calculation!K7</f>
        <v>8.696295602107243E-2</v>
      </c>
    </row>
    <row r="9" spans="1:21">
      <c r="A9" s="33" t="s">
        <v>67</v>
      </c>
      <c r="B9" s="33">
        <v>74.08</v>
      </c>
      <c r="D9" s="16">
        <v>5</v>
      </c>
      <c r="E9" s="71">
        <v>7.333333333333333</v>
      </c>
      <c r="F9" s="53">
        <v>49.604055654233285</v>
      </c>
      <c r="G9" s="53">
        <v>0.69560902182075723</v>
      </c>
      <c r="H9" s="13">
        <f>F9*Calculation!I9/Calculation!K8</f>
        <v>49.640078933575502</v>
      </c>
      <c r="I9" s="13">
        <f>G9*Calculation!I9/Calculation!K8</f>
        <v>0.69611418450908025</v>
      </c>
      <c r="J9" s="13">
        <v>0.48105387803433985</v>
      </c>
      <c r="K9" s="13">
        <v>1.2818611660515638E-2</v>
      </c>
      <c r="L9" s="13">
        <f>J9*Calculation!I9/Calculation!K8</f>
        <v>0.48140322725586077</v>
      </c>
      <c r="M9" s="13">
        <f>K9*Calculation!I9/Calculation!K8</f>
        <v>1.2827920746688851E-2</v>
      </c>
      <c r="N9" s="13">
        <v>47.52706078268109</v>
      </c>
      <c r="O9" s="13">
        <v>0.55029847266805487</v>
      </c>
      <c r="P9" s="13">
        <f>N9*Calculation!I9/Calculation!K8</f>
        <v>47.561575714258929</v>
      </c>
      <c r="Q9" s="13">
        <f>O9*Calculation!I9/Calculation!K8</f>
        <v>0.55069810845067513</v>
      </c>
      <c r="R9" s="13">
        <v>0.27518285176334278</v>
      </c>
      <c r="S9" s="13">
        <v>2.5085825296094974E-2</v>
      </c>
      <c r="T9" s="13">
        <f>R9*Calculation!I9/Calculation!K8</f>
        <v>0.27538269406672938</v>
      </c>
      <c r="U9" s="13">
        <f>S9*Calculation!I9/Calculation!K8</f>
        <v>2.5104043034145877E-2</v>
      </c>
    </row>
    <row r="10" spans="1:21">
      <c r="A10" s="33" t="s">
        <v>66</v>
      </c>
      <c r="B10" s="33">
        <v>88.11</v>
      </c>
      <c r="D10" s="16">
        <v>6</v>
      </c>
      <c r="E10" s="71">
        <v>8.6666666666666661</v>
      </c>
      <c r="F10" s="53">
        <v>49.311722912966253</v>
      </c>
      <c r="G10" s="53">
        <v>0.2984975501720441</v>
      </c>
      <c r="H10" s="13">
        <f>F10*Calculation!I10/Calculation!K9</f>
        <v>49.347533895473852</v>
      </c>
      <c r="I10" s="13">
        <f>G10*Calculation!I10/Calculation!K9</f>
        <v>0.29871432399206738</v>
      </c>
      <c r="J10" s="13">
        <v>0.50325636471284785</v>
      </c>
      <c r="K10" s="13">
        <v>1.2818611660515681E-2</v>
      </c>
      <c r="L10" s="13">
        <f>J10*Calculation!I10/Calculation!K9</f>
        <v>0.50362183774459279</v>
      </c>
      <c r="M10" s="13">
        <f>K10*Calculation!I10/Calculation!K9</f>
        <v>1.2827920746688894E-2</v>
      </c>
      <c r="N10" s="13">
        <v>47.227310574521233</v>
      </c>
      <c r="O10" s="13">
        <v>0.27261791080341286</v>
      </c>
      <c r="P10" s="13">
        <f>N10*Calculation!I10/Calculation!K9</f>
        <v>47.261607822578263</v>
      </c>
      <c r="Q10" s="13">
        <f>O10*Calculation!I10/Calculation!K9</f>
        <v>0.27281589040457732</v>
      </c>
      <c r="R10" s="13">
        <v>0.31863277572597581</v>
      </c>
      <c r="S10" s="13">
        <v>2.5085825296094974E-2</v>
      </c>
      <c r="T10" s="13">
        <f>R10*Calculation!I10/Calculation!K9</f>
        <v>0.31886417207726553</v>
      </c>
      <c r="U10" s="13">
        <f>S10*Calculation!I10/Calculation!K9</f>
        <v>2.510404303414588E-2</v>
      </c>
    </row>
    <row r="11" spans="1:21">
      <c r="A11" s="15" t="s">
        <v>42</v>
      </c>
      <c r="B11" s="15">
        <v>90.08</v>
      </c>
      <c r="D11" s="16">
        <v>7</v>
      </c>
      <c r="E11" s="71">
        <v>10</v>
      </c>
      <c r="F11" s="53">
        <v>49.011989342806395</v>
      </c>
      <c r="G11" s="53">
        <v>0.43733826828579198</v>
      </c>
      <c r="H11" s="13">
        <f>F11*Calculation!I11/Calculation!K10</f>
        <v>49.04758265387597</v>
      </c>
      <c r="I11" s="13">
        <f>G11*Calculation!I11/Calculation!K10</f>
        <v>0.43765587051403154</v>
      </c>
      <c r="J11" s="13">
        <v>0.54026050917702784</v>
      </c>
      <c r="K11" s="13">
        <v>1.2818611660515679E-2</v>
      </c>
      <c r="L11" s="13">
        <f>J11*Calculation!I11/Calculation!K10</f>
        <v>0.54065285522581297</v>
      </c>
      <c r="M11" s="13">
        <f>K11*Calculation!I11/Calculation!K10</f>
        <v>1.2827920746688894E-2</v>
      </c>
      <c r="N11" s="13">
        <v>46.805439911185118</v>
      </c>
      <c r="O11" s="13">
        <v>0.46667442813175064</v>
      </c>
      <c r="P11" s="13">
        <f>N11*Calculation!I11/Calculation!K10</f>
        <v>46.839430789842481</v>
      </c>
      <c r="Q11" s="13">
        <f>O11*Calculation!I11/Calculation!K10</f>
        <v>0.46701333476074969</v>
      </c>
      <c r="R11" s="13">
        <v>0.5213990875515967</v>
      </c>
      <c r="S11" s="13">
        <v>4.3449923962633065E-2</v>
      </c>
      <c r="T11" s="13">
        <f>R11*Calculation!I11/Calculation!K10</f>
        <v>0.52177773612643441</v>
      </c>
      <c r="U11" s="13">
        <f>S11*Calculation!I11/Calculation!K10</f>
        <v>4.3481478010536208E-2</v>
      </c>
    </row>
    <row r="12" spans="1:21">
      <c r="A12" s="15" t="s">
        <v>44</v>
      </c>
      <c r="B12" s="15">
        <v>46.07</v>
      </c>
      <c r="D12" s="16">
        <v>8</v>
      </c>
      <c r="E12" s="71">
        <v>11.333333333333334</v>
      </c>
      <c r="F12" s="53">
        <v>48.268206039076375</v>
      </c>
      <c r="G12" s="53">
        <v>1.1119545304077059</v>
      </c>
      <c r="H12" s="13">
        <f>F12*Calculation!I12/Calculation!K11</f>
        <v>48.346081240803542</v>
      </c>
      <c r="I12" s="13">
        <f>G12*Calculation!I12/Calculation!K11</f>
        <v>1.1137485412167429</v>
      </c>
      <c r="J12" s="13">
        <v>0.53285968028419195</v>
      </c>
      <c r="K12" s="13">
        <v>9.4342525776429169E-17</v>
      </c>
      <c r="L12" s="13">
        <f>J12*Calculation!I12/Calculation!K11</f>
        <v>0.53371938812294628</v>
      </c>
      <c r="M12" s="13">
        <f>K12*Calculation!I12/Calculation!K11</f>
        <v>9.4494736596535927E-17</v>
      </c>
      <c r="N12" s="13">
        <v>45.73966139328337</v>
      </c>
      <c r="O12" s="13">
        <v>0.32003408948985879</v>
      </c>
      <c r="P12" s="13">
        <f>N12*Calculation!I12/Calculation!K11</f>
        <v>45.813457078895766</v>
      </c>
      <c r="Q12" s="13">
        <f>O12*Calculation!I12/Calculation!K11</f>
        <v>0.32055042770343184</v>
      </c>
      <c r="R12" s="13">
        <v>0.88348178724020554</v>
      </c>
      <c r="S12" s="13">
        <v>0.1756007770726648</v>
      </c>
      <c r="T12" s="13">
        <f>R12*Calculation!I12/Calculation!K11</f>
        <v>0.88490718354244047</v>
      </c>
      <c r="U12" s="13">
        <f>S12*Calculation!I12/Calculation!K11</f>
        <v>0.17588408874011957</v>
      </c>
    </row>
    <row r="13" spans="1:21">
      <c r="D13" s="16">
        <v>9</v>
      </c>
      <c r="E13" s="71">
        <v>12.666666666666666</v>
      </c>
      <c r="F13" s="53">
        <v>48.527235050325636</v>
      </c>
      <c r="G13" s="53">
        <v>0.55398800741331844</v>
      </c>
      <c r="H13" s="13">
        <f>F13*Calculation!I13/Calculation!K12</f>
        <v>48.650408616338609</v>
      </c>
      <c r="I13" s="13">
        <f>G13*Calculation!I13/Calculation!K12</f>
        <v>0.55539415961487604</v>
      </c>
      <c r="J13" s="13">
        <v>0.49955595026642985</v>
      </c>
      <c r="K13" s="13">
        <v>1.5699528889577E-2</v>
      </c>
      <c r="L13" s="13">
        <f>J13*Calculation!I13/Calculation!K12</f>
        <v>0.50082394107104722</v>
      </c>
      <c r="M13" s="13">
        <f>K13*Calculation!I13/Calculation!K12</f>
        <v>1.573937799608487E-2</v>
      </c>
      <c r="N13" s="13">
        <v>46.450180405217878</v>
      </c>
      <c r="O13" s="13">
        <v>0.62870253165774015</v>
      </c>
      <c r="P13" s="13">
        <f>N13*Calculation!I13/Calculation!K12</f>
        <v>46.568081916740702</v>
      </c>
      <c r="Q13" s="13">
        <f>O13*Calculation!I13/Calculation!K12</f>
        <v>0.6302983269406438</v>
      </c>
      <c r="R13" s="13">
        <v>1.5786805706423348</v>
      </c>
      <c r="S13" s="13">
        <v>0.1003433011843798</v>
      </c>
      <c r="T13" s="13">
        <f>R13*Calculation!I13/Calculation!K12</f>
        <v>1.5826876342073568</v>
      </c>
      <c r="U13" s="13">
        <f>S13*Calculation!I13/Calculation!K12</f>
        <v>0.10059799614525231</v>
      </c>
    </row>
    <row r="14" spans="1:21">
      <c r="D14" s="16">
        <v>10</v>
      </c>
      <c r="E14" s="71">
        <v>14</v>
      </c>
      <c r="F14" s="53">
        <v>46.114564831261099</v>
      </c>
      <c r="G14" s="53">
        <v>1.7677488273072313</v>
      </c>
      <c r="H14" s="13">
        <f>F14*Calculation!I14/Calculation!K13</f>
        <v>46.320778626514205</v>
      </c>
      <c r="I14" s="13">
        <f>G14*Calculation!I14/Calculation!K13</f>
        <v>1.7756537960750627</v>
      </c>
      <c r="J14" s="13">
        <v>0.48105387803433985</v>
      </c>
      <c r="K14" s="13">
        <v>3.391485860683717E-2</v>
      </c>
      <c r="L14" s="13">
        <f>J14*Calculation!I14/Calculation!K13</f>
        <v>0.48320504104051099</v>
      </c>
      <c r="M14" s="13">
        <f>K14*Calculation!I14/Calculation!K13</f>
        <v>3.406651810388283E-2</v>
      </c>
      <c r="N14" s="13">
        <v>44.429641965029134</v>
      </c>
      <c r="O14" s="13">
        <v>1.4920750564264547</v>
      </c>
      <c r="P14" s="13">
        <f>N14*Calculation!I14/Calculation!K13</f>
        <v>44.628321170283925</v>
      </c>
      <c r="Q14" s="13">
        <f>O14*Calculation!I14/Calculation!K13</f>
        <v>1.4987472750912965</v>
      </c>
      <c r="R14" s="13">
        <v>3.2008110652473025</v>
      </c>
      <c r="S14" s="13">
        <v>0.37961742116246378</v>
      </c>
      <c r="T14" s="13">
        <f>R14*Calculation!I14/Calculation!K13</f>
        <v>3.2151243608420459</v>
      </c>
      <c r="U14" s="13">
        <f>S14*Calculation!I14/Calculation!K13</f>
        <v>0.38131498351502102</v>
      </c>
    </row>
    <row r="15" spans="1:21">
      <c r="D15" s="16">
        <v>11</v>
      </c>
      <c r="E15" s="71">
        <v>15.333333333333334</v>
      </c>
      <c r="F15" s="53">
        <v>44.020130254588516</v>
      </c>
      <c r="G15" s="53">
        <v>1.6961789224750208</v>
      </c>
      <c r="H15" s="13">
        <f>F15*Calculation!I15/Calculation!K14</f>
        <v>44.350429861579201</v>
      </c>
      <c r="I15" s="13">
        <f>G15*Calculation!I15/Calculation!K14</f>
        <v>1.7089059913918827</v>
      </c>
      <c r="J15" s="13">
        <v>0.44404973357015987</v>
      </c>
      <c r="K15" s="13">
        <v>3.8455834981547046E-2</v>
      </c>
      <c r="L15" s="13">
        <f>J15*Calculation!I15/Calculation!K14</f>
        <v>0.44738160586663622</v>
      </c>
      <c r="M15" s="13">
        <f>K15*Calculation!I15/Calculation!K14</f>
        <v>3.874438358663846E-2</v>
      </c>
      <c r="N15" s="13">
        <v>42.664446294754384</v>
      </c>
      <c r="O15" s="13">
        <v>1.1542197136495214</v>
      </c>
      <c r="P15" s="13">
        <f>N15*Calculation!I15/Calculation!K14</f>
        <v>42.984573694699179</v>
      </c>
      <c r="Q15" s="13">
        <f>O15*Calculation!I15/Calculation!K14</f>
        <v>1.1628802586227975</v>
      </c>
      <c r="R15" s="13">
        <v>4.880874791802448</v>
      </c>
      <c r="S15" s="13">
        <v>0.17560077707266492</v>
      </c>
      <c r="T15" s="13">
        <f>R15*Calculation!I15/Calculation!K14</f>
        <v>4.9174978325835479</v>
      </c>
      <c r="U15" s="13">
        <f>S15*Calculation!I15/Calculation!K14</f>
        <v>0.17691837580122197</v>
      </c>
    </row>
    <row r="16" spans="1:21">
      <c r="D16" s="16">
        <v>12</v>
      </c>
      <c r="E16" s="71">
        <v>16.666666666666668</v>
      </c>
      <c r="F16" s="53">
        <v>39.416814683244525</v>
      </c>
      <c r="G16" s="53">
        <v>1.0729989621406233</v>
      </c>
      <c r="H16" s="13">
        <f>F16*Calculation!I16/Calculation!K15</f>
        <v>41.824504295692762</v>
      </c>
      <c r="I16" s="13">
        <f>G16*Calculation!I16/Calculation!K15</f>
        <v>1.1385407487125327</v>
      </c>
      <c r="J16" s="13">
        <v>0.39224393132030788</v>
      </c>
      <c r="K16" s="13">
        <v>2.563722332103132E-2</v>
      </c>
      <c r="L16" s="13">
        <f>J16*Calculation!I16/Calculation!K15</f>
        <v>0.41620329096352165</v>
      </c>
      <c r="M16" s="13">
        <f>K16*Calculation!I16/Calculation!K15</f>
        <v>2.720321683872421E-2</v>
      </c>
      <c r="N16" s="13">
        <v>37.990563419372741</v>
      </c>
      <c r="O16" s="13">
        <v>0.99043272515974123</v>
      </c>
      <c r="P16" s="13">
        <f>N16*Calculation!I16/Calculation!K15</f>
        <v>40.31113360372003</v>
      </c>
      <c r="Q16" s="13">
        <f>O16*Calculation!I16/Calculation!K15</f>
        <v>1.050931134362999</v>
      </c>
      <c r="R16" s="13">
        <v>5.7209066550800207</v>
      </c>
      <c r="S16" s="13">
        <v>0.31432449003129442</v>
      </c>
      <c r="T16" s="13">
        <f>R16*Calculation!I16/Calculation!K15</f>
        <v>6.0703556817939255</v>
      </c>
      <c r="U16" s="13">
        <f>S16*Calculation!I16/Calculation!K15</f>
        <v>0.33352431162185381</v>
      </c>
    </row>
    <row r="17" spans="4:21">
      <c r="D17" s="16">
        <v>13</v>
      </c>
      <c r="E17" s="71">
        <v>18</v>
      </c>
      <c r="F17" s="53">
        <v>37.252072232089994</v>
      </c>
      <c r="G17" s="53">
        <v>2.3063439745888297</v>
      </c>
      <c r="H17" s="13">
        <f>F17*Calculation!I17/Calculation!K16</f>
        <v>39.60894943761798</v>
      </c>
      <c r="I17" s="13">
        <f>G17*Calculation!I17/Calculation!K16</f>
        <v>2.4522625561901163</v>
      </c>
      <c r="J17" s="13">
        <v>0.42184724689165187</v>
      </c>
      <c r="K17" s="13">
        <v>5.8742258238556645E-2</v>
      </c>
      <c r="L17" s="13">
        <f>J17*Calculation!I17/Calculation!K16</f>
        <v>0.44853682684895702</v>
      </c>
      <c r="M17" s="13">
        <f>K17*Calculation!I17/Calculation!K16</f>
        <v>6.245878408928314E-2</v>
      </c>
      <c r="N17" s="13">
        <v>36.514016097696363</v>
      </c>
      <c r="O17" s="13">
        <v>2.4669371161689835</v>
      </c>
      <c r="P17" s="13">
        <f>N17*Calculation!I17/Calculation!K16</f>
        <v>38.824197708178929</v>
      </c>
      <c r="Q17" s="13">
        <f>O17*Calculation!I17/Calculation!K16</f>
        <v>2.6230161611237244</v>
      </c>
      <c r="R17" s="13">
        <v>6.8650879860960243</v>
      </c>
      <c r="S17" s="13">
        <v>0.32803973214298315</v>
      </c>
      <c r="T17" s="13">
        <f>R17*Calculation!I17/Calculation!K16</f>
        <v>7.2994307868821702</v>
      </c>
      <c r="U17" s="13">
        <f>S17*Calculation!I17/Calculation!K16</f>
        <v>0.34879426527011731</v>
      </c>
    </row>
    <row r="18" spans="4:21">
      <c r="D18" s="16">
        <v>14</v>
      </c>
      <c r="E18" s="71">
        <v>19.333333333333332</v>
      </c>
      <c r="F18" s="53">
        <v>35.990230905861452</v>
      </c>
      <c r="G18" s="53">
        <v>1.5196543867963899</v>
      </c>
      <c r="H18" s="13">
        <f>F18*Calculation!I18/Calculation!K17</f>
        <v>38.308157329839361</v>
      </c>
      <c r="I18" s="13">
        <f>G18*Calculation!I18/Calculation!K17</f>
        <v>1.6175266974154259</v>
      </c>
      <c r="J18" s="13">
        <v>0.45885139135583186</v>
      </c>
      <c r="K18" s="13">
        <v>3.3914858606837177E-2</v>
      </c>
      <c r="L18" s="13">
        <f>J18*Calculation!I18/Calculation!K17</f>
        <v>0.4884034041641046</v>
      </c>
      <c r="M18" s="13">
        <f>K18*Calculation!I18/Calculation!K17</f>
        <v>3.6099122084776114E-2</v>
      </c>
      <c r="N18" s="13">
        <v>35.448237579794608</v>
      </c>
      <c r="O18" s="13">
        <v>1.5991302874298845</v>
      </c>
      <c r="P18" s="13">
        <f>N18*Calculation!I18/Calculation!K17</f>
        <v>37.731257291020491</v>
      </c>
      <c r="Q18" s="13">
        <f>O18*Calculation!I18/Calculation!K17</f>
        <v>1.7021211895530894</v>
      </c>
      <c r="R18" s="13">
        <v>8.4727351727134455</v>
      </c>
      <c r="S18" s="13">
        <v>0.45363052395874687</v>
      </c>
      <c r="T18" s="13">
        <f>R18*Calculation!I18/Calculation!K17</f>
        <v>9.018415937906898</v>
      </c>
      <c r="U18" s="13">
        <f>S18*Calculation!I18/Calculation!K17</f>
        <v>0.48284629034149812</v>
      </c>
    </row>
    <row r="19" spans="4:21">
      <c r="D19" s="16">
        <v>15</v>
      </c>
      <c r="E19" s="71">
        <v>24</v>
      </c>
      <c r="F19" s="53">
        <v>33.052101835405566</v>
      </c>
      <c r="G19" s="53">
        <v>0.65885045295027955</v>
      </c>
      <c r="H19" s="13">
        <f>F19*Calculation!I19/Calculation!K18</f>
        <v>35.299387014792025</v>
      </c>
      <c r="I19" s="13">
        <f>G19*Calculation!I19/Calculation!K18</f>
        <v>0.70364714593278643</v>
      </c>
      <c r="J19" s="13">
        <v>0.6660746003552398</v>
      </c>
      <c r="K19" s="13">
        <v>2.2202486678507972E-2</v>
      </c>
      <c r="L19" s="13">
        <f>J19*Calculation!I19/Calculation!K18</f>
        <v>0.71136247902626104</v>
      </c>
      <c r="M19" s="13">
        <f>K19*Calculation!I19/Calculation!K18</f>
        <v>2.3712082634208681E-2</v>
      </c>
      <c r="N19" s="13">
        <v>35.170691090757707</v>
      </c>
      <c r="O19" s="13">
        <v>0.66860482597451421</v>
      </c>
      <c r="P19" s="13">
        <f>N19*Calculation!I19/Calculation!K18</f>
        <v>37.562023818420208</v>
      </c>
      <c r="Q19" s="13">
        <f>O19*Calculation!I19/Calculation!K18</f>
        <v>0.71406474025655398</v>
      </c>
      <c r="R19" s="13">
        <v>13.020493880802375</v>
      </c>
      <c r="S19" s="13">
        <v>0.25459332075091545</v>
      </c>
      <c r="T19" s="13">
        <f>R19*Calculation!I19/Calculation!K18</f>
        <v>13.905785928864351</v>
      </c>
      <c r="U19" s="13">
        <f>S19*Calculation!I19/Calculation!K18</f>
        <v>0.27190368120373937</v>
      </c>
    </row>
    <row r="20" spans="4:21">
      <c r="D20" s="16">
        <v>16</v>
      </c>
      <c r="E20" s="71">
        <v>30</v>
      </c>
      <c r="F20" s="53">
        <v>31.919775014801665</v>
      </c>
      <c r="G20" s="53">
        <v>0.43413290041629626</v>
      </c>
      <c r="H20" s="13">
        <f>F20*Calculation!I20/Calculation!K19</f>
        <v>34.129942228284172</v>
      </c>
      <c r="I20" s="13">
        <f>G20*Calculation!I20/Calculation!K19</f>
        <v>0.46419283355646479</v>
      </c>
      <c r="J20" s="13">
        <v>0.94730609828300771</v>
      </c>
      <c r="K20" s="13">
        <v>1.2818611660515592E-2</v>
      </c>
      <c r="L20" s="13">
        <f>J20*Calculation!I20/Calculation!K19</f>
        <v>1.0128988187387833</v>
      </c>
      <c r="M20" s="13">
        <f>K20*Calculation!I20/Calculation!K19</f>
        <v>1.3706189195172351E-2</v>
      </c>
      <c r="N20" s="13">
        <v>35.40383014154871</v>
      </c>
      <c r="O20" s="13">
        <v>0.65604381693895841</v>
      </c>
      <c r="P20" s="13">
        <f>N20*Calculation!I20/Calculation!K19</f>
        <v>37.855237915390148</v>
      </c>
      <c r="Q20" s="13">
        <f>O20*Calculation!I20/Calculation!K19</f>
        <v>0.70146915386987441</v>
      </c>
      <c r="R20" s="13">
        <v>13.990875515967847</v>
      </c>
      <c r="S20" s="13">
        <v>0.15666092876228516</v>
      </c>
      <c r="T20" s="13">
        <f>R20*Calculation!I20/Calculation!K19</f>
        <v>14.959622142125712</v>
      </c>
      <c r="U20" s="13">
        <f>S20*Calculation!I20/Calculation!K19</f>
        <v>0.16750833756211411</v>
      </c>
    </row>
    <row r="21" spans="4:21">
      <c r="D21" s="16">
        <v>17</v>
      </c>
      <c r="E21" s="71">
        <v>48</v>
      </c>
      <c r="F21" s="53">
        <v>29.832741267021909</v>
      </c>
      <c r="G21" s="53">
        <v>1.5735726904996055</v>
      </c>
      <c r="H21" s="13">
        <f>F21*Calculation!I21/Calculation!K20</f>
        <v>31.937586741245674</v>
      </c>
      <c r="I21" s="13">
        <f>G21*Calculation!I21/Calculation!K20</f>
        <v>1.6845959225356617</v>
      </c>
      <c r="J21" s="13">
        <v>1.4653641207815276</v>
      </c>
      <c r="K21" s="13">
        <v>8.0052204162166796E-2</v>
      </c>
      <c r="L21" s="13">
        <f>J21*Calculation!I21/Calculation!K20</f>
        <v>1.5687527101877059</v>
      </c>
      <c r="M21" s="13">
        <f>K21*Calculation!I21/Calculation!K20</f>
        <v>8.5700277804619363E-2</v>
      </c>
      <c r="N21" s="13">
        <v>33.982792117679708</v>
      </c>
      <c r="O21" s="13">
        <v>1.5987834170406199</v>
      </c>
      <c r="P21" s="13">
        <f>N21*Calculation!I21/Calculation!K20</f>
        <v>36.380443930838929</v>
      </c>
      <c r="Q21" s="13">
        <f>O21*Calculation!I21/Calculation!K20</f>
        <v>1.7115853888574688</v>
      </c>
      <c r="R21" s="13">
        <v>13.527409660366427</v>
      </c>
      <c r="S21" s="13">
        <v>0.68746146926241303</v>
      </c>
      <c r="T21" s="13">
        <f>R21*Calculation!I21/Calculation!K20</f>
        <v>14.481834422970064</v>
      </c>
      <c r="U21" s="13">
        <f>S21*Calculation!I21/Calculation!K20</f>
        <v>0.73596523059391927</v>
      </c>
    </row>
    <row r="23" spans="4:21">
      <c r="D23" s="139" t="s">
        <v>4</v>
      </c>
      <c r="E23" s="139" t="s">
        <v>60</v>
      </c>
      <c r="F23" s="115" t="s">
        <v>44</v>
      </c>
      <c r="G23" s="115"/>
      <c r="H23" s="115"/>
      <c r="I23" s="115"/>
      <c r="J23" s="115" t="s">
        <v>66</v>
      </c>
      <c r="K23" s="115"/>
      <c r="L23" s="115"/>
      <c r="M23" s="115"/>
      <c r="N23" s="137" t="s">
        <v>67</v>
      </c>
      <c r="O23" s="113"/>
      <c r="P23" s="113"/>
      <c r="Q23" s="138"/>
    </row>
    <row r="24" spans="4:21">
      <c r="D24" s="139"/>
      <c r="E24" s="139"/>
      <c r="F24" s="20" t="s">
        <v>48</v>
      </c>
      <c r="G24" s="20" t="s">
        <v>23</v>
      </c>
      <c r="H24" s="20" t="s">
        <v>48</v>
      </c>
      <c r="I24" s="20" t="s">
        <v>23</v>
      </c>
      <c r="J24" s="20" t="s">
        <v>48</v>
      </c>
      <c r="K24" s="20" t="s">
        <v>23</v>
      </c>
      <c r="L24" s="20" t="s">
        <v>48</v>
      </c>
      <c r="M24" s="20" t="s">
        <v>23</v>
      </c>
      <c r="N24" s="20" t="s">
        <v>48</v>
      </c>
      <c r="O24" s="20" t="s">
        <v>23</v>
      </c>
      <c r="P24" s="20" t="s">
        <v>48</v>
      </c>
      <c r="Q24" s="20" t="s">
        <v>23</v>
      </c>
    </row>
    <row r="25" spans="4:21">
      <c r="D25" s="16">
        <v>0</v>
      </c>
      <c r="E25" s="68">
        <v>-0.16666666666666666</v>
      </c>
      <c r="F25" s="13">
        <v>0</v>
      </c>
      <c r="G25" s="13">
        <v>0</v>
      </c>
      <c r="H25" s="13">
        <f>F25*Calculation!I3/Calculation!F23</f>
        <v>0</v>
      </c>
      <c r="I25" s="13">
        <f>G25*Calculation!I3/Calculation!F23</f>
        <v>0</v>
      </c>
      <c r="J25" s="13">
        <v>0.39344758445882039</v>
      </c>
      <c r="K25" s="13">
        <v>2.6210431015304746E-2</v>
      </c>
      <c r="L25" s="13">
        <f>J25*Calculation!I3/Calculation!F23</f>
        <v>0.39344758445882039</v>
      </c>
      <c r="M25" s="13">
        <f>K25*Calculation!I3/Calculation!F23</f>
        <v>2.6210431015304743E-2</v>
      </c>
      <c r="N25" s="13">
        <v>0</v>
      </c>
      <c r="O25" s="13">
        <v>0</v>
      </c>
      <c r="P25" s="13">
        <f>N25*Calculation!I3/Calculation!F23</f>
        <v>0</v>
      </c>
      <c r="Q25" s="13">
        <f>O25*Calculation!I3/Calculation!F23</f>
        <v>0</v>
      </c>
    </row>
    <row r="26" spans="4:21">
      <c r="D26" s="16">
        <v>0</v>
      </c>
      <c r="E26" s="71">
        <v>0.16666666666666666</v>
      </c>
      <c r="F26" s="13">
        <v>0</v>
      </c>
      <c r="G26" s="13">
        <v>0</v>
      </c>
      <c r="H26" s="13">
        <f>F26*Calculation!I4/Calculation!K3</f>
        <v>0</v>
      </c>
      <c r="I26" s="13">
        <f>G26*Calculation!I4/Calculation!K3</f>
        <v>0</v>
      </c>
      <c r="J26" s="13">
        <v>0.49937578027465679</v>
      </c>
      <c r="K26" s="13">
        <v>3.9315646522957139E-2</v>
      </c>
      <c r="L26" s="13">
        <f>J26*Calculation!I4/Calculation!K3</f>
        <v>0.49937578027465679</v>
      </c>
      <c r="M26" s="13">
        <f>K26*Calculation!I4/Calculation!K3</f>
        <v>3.9315646522957139E-2</v>
      </c>
      <c r="N26" s="13">
        <v>0</v>
      </c>
      <c r="O26" s="13">
        <v>0</v>
      </c>
      <c r="P26" s="13">
        <f>N26*Calculation!I4/Calculation!K3</f>
        <v>0</v>
      </c>
      <c r="Q26" s="13">
        <f>O26*Calculation!I4/Calculation!K3</f>
        <v>0</v>
      </c>
    </row>
    <row r="27" spans="4:21">
      <c r="D27" s="16">
        <v>1</v>
      </c>
      <c r="E27" s="71">
        <v>2</v>
      </c>
      <c r="F27" s="13">
        <v>0</v>
      </c>
      <c r="G27" s="13">
        <v>0</v>
      </c>
      <c r="H27" s="13">
        <f>F27*Calculation!I5/Calculation!K4</f>
        <v>0</v>
      </c>
      <c r="I27" s="13">
        <f>G27*Calculation!I5/Calculation!K4</f>
        <v>0</v>
      </c>
      <c r="J27" s="13">
        <v>0.78689516891764089</v>
      </c>
      <c r="K27" s="13">
        <v>3.4673141111155263E-2</v>
      </c>
      <c r="L27" s="13">
        <f>J27*Calculation!I5/Calculation!K4</f>
        <v>0.786895168917641</v>
      </c>
      <c r="M27" s="13">
        <f>K27*Calculation!I5/Calculation!K4</f>
        <v>3.4673141111155263E-2</v>
      </c>
      <c r="N27" s="13">
        <v>0</v>
      </c>
      <c r="O27" s="13">
        <v>0</v>
      </c>
      <c r="P27" s="13">
        <f>N27*Calculation!I5/Calculation!K4</f>
        <v>0</v>
      </c>
      <c r="Q27" s="13">
        <f>O27*Calculation!I5/Calculation!K4</f>
        <v>0</v>
      </c>
    </row>
    <row r="28" spans="4:21">
      <c r="D28" s="16">
        <v>2</v>
      </c>
      <c r="E28" s="71">
        <v>3.3333333333333335</v>
      </c>
      <c r="F28" s="13">
        <v>0</v>
      </c>
      <c r="G28" s="13">
        <v>0</v>
      </c>
      <c r="H28" s="13">
        <f>F28*Calculation!I6/Calculation!K5</f>
        <v>0</v>
      </c>
      <c r="I28" s="13">
        <f>G28*Calculation!I6/Calculation!K5</f>
        <v>0</v>
      </c>
      <c r="J28" s="13">
        <v>0.92308856353800173</v>
      </c>
      <c r="K28" s="13">
        <v>0.11648170331283356</v>
      </c>
      <c r="L28" s="13">
        <f>J28*Calculation!I6/Calculation!K5</f>
        <v>0.92308856353800184</v>
      </c>
      <c r="M28" s="13">
        <f>K28*Calculation!I6/Calculation!K5</f>
        <v>0.11648170331283354</v>
      </c>
      <c r="N28" s="13">
        <v>0</v>
      </c>
      <c r="O28" s="13">
        <v>0</v>
      </c>
      <c r="P28" s="13">
        <f>N28*Calculation!I6/Calculation!K5</f>
        <v>0</v>
      </c>
      <c r="Q28" s="13">
        <f>O28*Calculation!I6/Calculation!K5</f>
        <v>0</v>
      </c>
    </row>
    <row r="29" spans="4:21">
      <c r="D29" s="16">
        <v>3</v>
      </c>
      <c r="E29" s="71">
        <v>4.666666666666667</v>
      </c>
      <c r="F29" s="13">
        <v>0</v>
      </c>
      <c r="G29" s="13">
        <v>0</v>
      </c>
      <c r="H29" s="13">
        <f>F29*Calculation!I7/Calculation!K6</f>
        <v>0</v>
      </c>
      <c r="I29" s="13">
        <f>G29*Calculation!I7/Calculation!K6</f>
        <v>0</v>
      </c>
      <c r="J29" s="13">
        <v>1.2333068512843794</v>
      </c>
      <c r="K29" s="13">
        <v>2.6210431015304791E-2</v>
      </c>
      <c r="L29" s="13">
        <f>J29*Calculation!I7/Calculation!K6</f>
        <v>1.2342024989614195</v>
      </c>
      <c r="M29" s="13">
        <f>K29*Calculation!I7/Calculation!K6</f>
        <v>2.6229465460486566E-2</v>
      </c>
      <c r="N29" s="13">
        <v>0</v>
      </c>
      <c r="O29" s="13">
        <v>0</v>
      </c>
      <c r="P29" s="13">
        <f>N29*Calculation!I7/Calculation!K6</f>
        <v>0</v>
      </c>
      <c r="Q29" s="13">
        <f>O29*Calculation!I7/Calculation!K6</f>
        <v>0</v>
      </c>
    </row>
    <row r="30" spans="4:21">
      <c r="D30" s="16">
        <v>4</v>
      </c>
      <c r="E30" s="71">
        <v>6</v>
      </c>
      <c r="F30" s="13">
        <v>0</v>
      </c>
      <c r="G30" s="13">
        <v>0</v>
      </c>
      <c r="H30" s="13">
        <f>F30*Calculation!I8/Calculation!K7</f>
        <v>0</v>
      </c>
      <c r="I30" s="13">
        <f>G30*Calculation!I8/Calculation!K7</f>
        <v>0</v>
      </c>
      <c r="J30" s="13">
        <v>1.5964892369386754</v>
      </c>
      <c r="K30" s="13">
        <v>6.9346282222310485E-2</v>
      </c>
      <c r="L30" s="13">
        <f>J30*Calculation!I8/Calculation!K7</f>
        <v>1.5976486336249056</v>
      </c>
      <c r="M30" s="13">
        <f>K30*Calculation!I8/Calculation!K7</f>
        <v>6.9396642630605548E-2</v>
      </c>
      <c r="N30" s="13">
        <v>0</v>
      </c>
      <c r="O30" s="13">
        <v>0</v>
      </c>
      <c r="P30" s="13">
        <f>N30*Calculation!I8/Calculation!K7</f>
        <v>0</v>
      </c>
      <c r="Q30" s="13">
        <f>O30*Calculation!I8/Calculation!K7</f>
        <v>0</v>
      </c>
    </row>
    <row r="31" spans="4:21">
      <c r="D31" s="16">
        <v>5</v>
      </c>
      <c r="E31" s="71">
        <v>7.333333333333333</v>
      </c>
      <c r="F31" s="13">
        <v>0</v>
      </c>
      <c r="G31" s="13">
        <v>0</v>
      </c>
      <c r="H31" s="13">
        <f>F31*Calculation!I9/Calculation!K8</f>
        <v>0</v>
      </c>
      <c r="I31" s="13">
        <f>G31*Calculation!I9/Calculation!K8</f>
        <v>0</v>
      </c>
      <c r="J31" s="13">
        <v>1.9596716225929709</v>
      </c>
      <c r="K31" s="13">
        <v>4.7251526488846368E-2</v>
      </c>
      <c r="L31" s="13">
        <f>J31*Calculation!I9/Calculation!K8</f>
        <v>1.9610947682883908</v>
      </c>
      <c r="M31" s="13">
        <f>K31*Calculation!I9/Calculation!K8</f>
        <v>4.7285841322897815E-2</v>
      </c>
      <c r="N31" s="13">
        <v>0</v>
      </c>
      <c r="O31" s="13">
        <v>0</v>
      </c>
      <c r="P31" s="13">
        <f>N31*Calculation!I9/Calculation!K8</f>
        <v>0</v>
      </c>
      <c r="Q31" s="13">
        <f>O31*Calculation!I9/Calculation!K8</f>
        <v>0</v>
      </c>
    </row>
    <row r="32" spans="4:21">
      <c r="D32" s="16">
        <v>6</v>
      </c>
      <c r="E32" s="71">
        <v>8.6666666666666661</v>
      </c>
      <c r="F32" s="13">
        <v>0</v>
      </c>
      <c r="G32" s="13">
        <v>0</v>
      </c>
      <c r="H32" s="13">
        <f>F32*Calculation!I10/Calculation!K9</f>
        <v>0</v>
      </c>
      <c r="I32" s="13">
        <f>G32*Calculation!I10/Calculation!K9</f>
        <v>0</v>
      </c>
      <c r="J32" s="13">
        <v>2.186660613626906</v>
      </c>
      <c r="K32" s="13">
        <v>4.7251526488846556E-2</v>
      </c>
      <c r="L32" s="13">
        <f>J32*Calculation!I10/Calculation!K9</f>
        <v>2.1882486024530694</v>
      </c>
      <c r="M32" s="13">
        <f>K32*Calculation!I10/Calculation!K9</f>
        <v>4.7285841322898009E-2</v>
      </c>
      <c r="N32" s="13">
        <v>0</v>
      </c>
      <c r="O32" s="13">
        <v>0</v>
      </c>
      <c r="P32" s="13">
        <f>N32*Calculation!I10/Calculation!K9</f>
        <v>0</v>
      </c>
      <c r="Q32" s="13">
        <f>O32*Calculation!I10/Calculation!K9</f>
        <v>0</v>
      </c>
    </row>
    <row r="33" spans="4:17">
      <c r="D33" s="16">
        <v>7</v>
      </c>
      <c r="E33" s="71">
        <v>10</v>
      </c>
      <c r="F33" s="13">
        <v>0</v>
      </c>
      <c r="G33" s="13">
        <v>0</v>
      </c>
      <c r="H33" s="13">
        <f>F33*Calculation!I11/Calculation!K10</f>
        <v>0</v>
      </c>
      <c r="I33" s="13">
        <f>G33*Calculation!I11/Calculation!K10</f>
        <v>0</v>
      </c>
      <c r="J33" s="13">
        <v>2.7692656906140054</v>
      </c>
      <c r="K33" s="13">
        <v>6.8096697310180518E-2</v>
      </c>
      <c r="L33" s="13">
        <f>J33*Calculation!I11/Calculation!K10</f>
        <v>2.7712767768090774</v>
      </c>
      <c r="M33" s="13">
        <f>K33*Calculation!I11/Calculation!K10</f>
        <v>6.8146150249403598E-2</v>
      </c>
      <c r="N33" s="13">
        <v>0</v>
      </c>
      <c r="O33" s="13">
        <v>0</v>
      </c>
      <c r="P33" s="13">
        <f>N33*Calculation!I11/Calculation!K10</f>
        <v>0</v>
      </c>
      <c r="Q33" s="13">
        <f>O33*Calculation!I11/Calculation!K10</f>
        <v>0</v>
      </c>
    </row>
    <row r="34" spans="4:17">
      <c r="D34" s="16">
        <v>8</v>
      </c>
      <c r="E34" s="71">
        <v>11.333333333333334</v>
      </c>
      <c r="F34" s="13">
        <v>0</v>
      </c>
      <c r="G34" s="13">
        <v>0</v>
      </c>
      <c r="H34" s="13">
        <f>F34*Calculation!I12/Calculation!K11</f>
        <v>0</v>
      </c>
      <c r="I34" s="13">
        <f>G34*Calculation!I12/Calculation!K11</f>
        <v>0</v>
      </c>
      <c r="J34" s="13">
        <v>3.4729315628192032</v>
      </c>
      <c r="K34" s="13">
        <v>4.5397798206787014E-2</v>
      </c>
      <c r="L34" s="13">
        <f>J34*Calculation!I12/Calculation!K11</f>
        <v>3.478534738661708</v>
      </c>
      <c r="M34" s="13">
        <f>K34*Calculation!I12/Calculation!K11</f>
        <v>4.5471042335447208E-2</v>
      </c>
      <c r="N34" s="13">
        <v>0</v>
      </c>
      <c r="O34" s="13">
        <v>0</v>
      </c>
      <c r="P34" s="13">
        <f>N34*Calculation!I12/Calculation!K11</f>
        <v>0</v>
      </c>
      <c r="Q34" s="13">
        <f>O34*Calculation!I12/Calculation!K11</f>
        <v>0</v>
      </c>
    </row>
    <row r="35" spans="4:17">
      <c r="D35" s="16">
        <v>9</v>
      </c>
      <c r="E35" s="71">
        <v>12.666666666666666</v>
      </c>
      <c r="F35" s="13">
        <v>0</v>
      </c>
      <c r="G35" s="13">
        <v>0</v>
      </c>
      <c r="H35" s="13">
        <f>F35*Calculation!I13/Calculation!K12</f>
        <v>0</v>
      </c>
      <c r="I35" s="13">
        <f>G35*Calculation!I13/Calculation!K12</f>
        <v>0</v>
      </c>
      <c r="J35" s="13">
        <v>4.5322135209775656</v>
      </c>
      <c r="K35" s="13">
        <v>3.4673141111155326E-2</v>
      </c>
      <c r="L35" s="13">
        <f>J35*Calculation!I13/Calculation!K12</f>
        <v>4.5437173476582338</v>
      </c>
      <c r="M35" s="13">
        <f>K35*Calculation!I13/Calculation!K12</f>
        <v>3.4761149719746004E-2</v>
      </c>
      <c r="N35" s="13">
        <v>0</v>
      </c>
      <c r="O35" s="13">
        <v>0</v>
      </c>
      <c r="P35" s="13">
        <f>N35*Calculation!I13/Calculation!K12</f>
        <v>0</v>
      </c>
      <c r="Q35" s="13">
        <f>O35*Calculation!I13/Calculation!K12</f>
        <v>0</v>
      </c>
    </row>
    <row r="36" spans="4:17">
      <c r="D36" s="16">
        <v>10</v>
      </c>
      <c r="E36" s="71">
        <v>14</v>
      </c>
      <c r="F36" s="13">
        <v>0</v>
      </c>
      <c r="G36" s="13">
        <v>0</v>
      </c>
      <c r="H36" s="13">
        <f>F36*Calculation!I14/Calculation!K13</f>
        <v>0</v>
      </c>
      <c r="I36" s="13">
        <f>G36*Calculation!I14/Calculation!K13</f>
        <v>0</v>
      </c>
      <c r="J36" s="13">
        <v>6.6432111375931591</v>
      </c>
      <c r="K36" s="13">
        <v>0.21090848355867842</v>
      </c>
      <c r="L36" s="13">
        <f>J36*Calculation!I14/Calculation!K13</f>
        <v>6.672918059611475</v>
      </c>
      <c r="M36" s="13">
        <f>K36*Calculation!I14/Calculation!K13</f>
        <v>0.2118516180977304</v>
      </c>
      <c r="N36" s="13">
        <v>0</v>
      </c>
      <c r="O36" s="13">
        <v>0</v>
      </c>
      <c r="P36" s="13">
        <f>N36*Calculation!I14/Calculation!K13</f>
        <v>0</v>
      </c>
      <c r="Q36" s="13">
        <f>O36*Calculation!I14/Calculation!K13</f>
        <v>0</v>
      </c>
    </row>
    <row r="37" spans="4:17">
      <c r="D37" s="16">
        <v>11</v>
      </c>
      <c r="E37" s="71">
        <v>15.333333333333334</v>
      </c>
      <c r="F37" s="13">
        <v>0</v>
      </c>
      <c r="G37" s="13">
        <v>0</v>
      </c>
      <c r="H37" s="13">
        <f>F37*Calculation!I15/Calculation!K14</f>
        <v>0</v>
      </c>
      <c r="I37" s="13">
        <f>G37*Calculation!I15/Calculation!K14</f>
        <v>0</v>
      </c>
      <c r="J37" s="13">
        <v>9.4427420270116897</v>
      </c>
      <c r="K37" s="13">
        <v>6.0055642062526227E-2</v>
      </c>
      <c r="L37" s="13">
        <f>J37*Calculation!I15/Calculation!K14</f>
        <v>9.5135944747986052</v>
      </c>
      <c r="M37" s="13">
        <f>K37*Calculation!I15/Calculation!K14</f>
        <v>6.0506262150565572E-2</v>
      </c>
      <c r="N37" s="13">
        <v>0</v>
      </c>
      <c r="O37" s="13">
        <v>0</v>
      </c>
      <c r="P37" s="13">
        <f>N37*Calculation!I15/Calculation!K14</f>
        <v>0</v>
      </c>
      <c r="Q37" s="13">
        <f>O37*Calculation!I15/Calculation!K14</f>
        <v>0</v>
      </c>
    </row>
    <row r="38" spans="4:17">
      <c r="D38" s="16">
        <v>12</v>
      </c>
      <c r="E38" s="71">
        <v>16.666666666666668</v>
      </c>
      <c r="F38" s="13">
        <v>0</v>
      </c>
      <c r="G38" s="13">
        <v>0</v>
      </c>
      <c r="H38" s="13">
        <f>F38*Calculation!I16/Calculation!K15</f>
        <v>0</v>
      </c>
      <c r="I38" s="13">
        <f>G38*Calculation!I16/Calculation!K15</f>
        <v>0</v>
      </c>
      <c r="J38" s="13">
        <v>11.198123557674121</v>
      </c>
      <c r="K38" s="13">
        <v>0.30818161925496645</v>
      </c>
      <c r="L38" s="13">
        <f>J38*Calculation!I16/Calculation!K15</f>
        <v>11.882136357424397</v>
      </c>
      <c r="M38" s="13">
        <f>K38*Calculation!I16/Calculation!K15</f>
        <v>0.32700621706659722</v>
      </c>
      <c r="N38" s="13">
        <v>0</v>
      </c>
      <c r="O38" s="13">
        <v>0</v>
      </c>
      <c r="P38" s="13">
        <f>N38*Calculation!I16/Calculation!K15</f>
        <v>0</v>
      </c>
      <c r="Q38" s="13">
        <f>O38*Calculation!I16/Calculation!K15</f>
        <v>0</v>
      </c>
    </row>
    <row r="39" spans="4:17">
      <c r="D39" s="16">
        <v>13</v>
      </c>
      <c r="E39" s="71">
        <v>18</v>
      </c>
      <c r="F39" s="13">
        <v>0</v>
      </c>
      <c r="G39" s="13">
        <v>0</v>
      </c>
      <c r="H39" s="13">
        <f>F39*Calculation!I17/Calculation!K16</f>
        <v>0</v>
      </c>
      <c r="I39" s="13">
        <f>G39*Calculation!I17/Calculation!K16</f>
        <v>0</v>
      </c>
      <c r="J39" s="13">
        <v>13.430181969507812</v>
      </c>
      <c r="K39" s="13">
        <v>0.88535406356055313</v>
      </c>
      <c r="L39" s="13">
        <f>J39*Calculation!I17/Calculation!K16</f>
        <v>14.279887445026539</v>
      </c>
      <c r="M39" s="13">
        <f>K39*Calculation!I17/Calculation!K16</f>
        <v>0.94136895578525825</v>
      </c>
      <c r="N39" s="13">
        <v>0</v>
      </c>
      <c r="O39" s="13">
        <v>0</v>
      </c>
      <c r="P39" s="13">
        <f>N39*Calculation!I17/Calculation!K16</f>
        <v>0</v>
      </c>
      <c r="Q39" s="13">
        <f>O39*Calculation!I17/Calculation!K16</f>
        <v>0</v>
      </c>
    </row>
    <row r="40" spans="4:17">
      <c r="D40" s="16">
        <v>14</v>
      </c>
      <c r="E40" s="71">
        <v>19.333333333333332</v>
      </c>
      <c r="F40" s="13">
        <v>0</v>
      </c>
      <c r="G40" s="13">
        <v>0</v>
      </c>
      <c r="H40" s="13">
        <f>F40*Calculation!I18/Calculation!K17</f>
        <v>0</v>
      </c>
      <c r="I40" s="13">
        <f>G40*Calculation!I18/Calculation!K17</f>
        <v>0</v>
      </c>
      <c r="J40" s="13">
        <v>15.457950289410963</v>
      </c>
      <c r="K40" s="13">
        <v>0.62905034436731355</v>
      </c>
      <c r="L40" s="13">
        <f>J40*Calculation!I18/Calculation!K17</f>
        <v>16.453509098969121</v>
      </c>
      <c r="M40" s="13">
        <f>K40*Calculation!I18/Calculation!K17</f>
        <v>0.6695639053676663</v>
      </c>
      <c r="N40" s="13">
        <v>0</v>
      </c>
      <c r="O40" s="13">
        <v>0</v>
      </c>
      <c r="P40" s="13">
        <f>N40*Calculation!I18/Calculation!K17</f>
        <v>0</v>
      </c>
      <c r="Q40" s="13">
        <f>O40*Calculation!I18/Calculation!K17</f>
        <v>0</v>
      </c>
    </row>
    <row r="41" spans="4:17">
      <c r="D41" s="16">
        <v>15</v>
      </c>
      <c r="E41" s="71">
        <v>24</v>
      </c>
      <c r="F41" s="13">
        <v>0</v>
      </c>
      <c r="G41" s="13">
        <v>0</v>
      </c>
      <c r="H41" s="13">
        <f>F41*Calculation!I19/Calculation!K18</f>
        <v>0</v>
      </c>
      <c r="I41" s="13">
        <f>G41*Calculation!I19/Calculation!K18</f>
        <v>0</v>
      </c>
      <c r="J41" s="13">
        <v>19.324329436688988</v>
      </c>
      <c r="K41" s="13">
        <v>0.34149083634537941</v>
      </c>
      <c r="L41" s="13">
        <f>J41*Calculation!I19/Calculation!K18</f>
        <v>20.63823314426298</v>
      </c>
      <c r="M41" s="13">
        <f>K41*Calculation!I19/Calculation!K18</f>
        <v>0.36470955021831036</v>
      </c>
      <c r="N41" s="13">
        <v>0</v>
      </c>
      <c r="O41" s="13">
        <v>0</v>
      </c>
      <c r="P41" s="13">
        <f>N41*Calculation!I19/Calculation!K18</f>
        <v>0</v>
      </c>
      <c r="Q41" s="13">
        <f>O41*Calculation!I19/Calculation!K18</f>
        <v>0</v>
      </c>
    </row>
    <row r="42" spans="4:17">
      <c r="D42" s="16">
        <v>16</v>
      </c>
      <c r="E42" s="71">
        <v>30</v>
      </c>
      <c r="F42" s="13">
        <v>0</v>
      </c>
      <c r="G42" s="13">
        <v>0</v>
      </c>
      <c r="H42" s="13">
        <f>F42*Calculation!I20/Calculation!K19</f>
        <v>0</v>
      </c>
      <c r="I42" s="13">
        <f>G42*Calculation!I20/Calculation!K19</f>
        <v>0</v>
      </c>
      <c r="J42" s="13">
        <v>20.75436008020278</v>
      </c>
      <c r="K42" s="13">
        <v>0.3022734363173033</v>
      </c>
      <c r="L42" s="13">
        <f>J42*Calculation!I20/Calculation!K19</f>
        <v>22.191419275162747</v>
      </c>
      <c r="M42" s="13">
        <f>K42*Calculation!I20/Calculation!K19</f>
        <v>0.32320324669802802</v>
      </c>
      <c r="N42" s="13">
        <v>0</v>
      </c>
      <c r="O42" s="13">
        <v>0</v>
      </c>
      <c r="P42" s="13">
        <f>N42*Calculation!I20/Calculation!K19</f>
        <v>0</v>
      </c>
      <c r="Q42" s="13">
        <f>O42*Calculation!I20/Calculation!K19</f>
        <v>0</v>
      </c>
    </row>
    <row r="43" spans="4:17">
      <c r="D43" s="16">
        <v>17</v>
      </c>
      <c r="E43" s="71">
        <v>48</v>
      </c>
      <c r="F43" s="13">
        <v>0</v>
      </c>
      <c r="G43" s="13">
        <v>0</v>
      </c>
      <c r="H43" s="13">
        <f>F43*Calculation!I21/Calculation!K20</f>
        <v>0</v>
      </c>
      <c r="I43" s="13">
        <f>G43*Calculation!I21/Calculation!K20</f>
        <v>0</v>
      </c>
      <c r="J43" s="13">
        <v>20.655998184088073</v>
      </c>
      <c r="K43" s="13">
        <v>1.1052755713485278</v>
      </c>
      <c r="L43" s="13">
        <f>J43*Calculation!I21/Calculation!K20</f>
        <v>22.113379653132409</v>
      </c>
      <c r="M43" s="13">
        <f>K43*Calculation!I21/Calculation!K20</f>
        <v>1.1832581564318083</v>
      </c>
      <c r="N43" s="13">
        <v>0</v>
      </c>
      <c r="O43" s="13">
        <v>0</v>
      </c>
      <c r="P43" s="13">
        <f>N43*Calculation!I21/Calculation!K20</f>
        <v>0</v>
      </c>
      <c r="Q43" s="13">
        <f>O43*Calculation!I21/Calculation!K20</f>
        <v>0</v>
      </c>
    </row>
  </sheetData>
  <mergeCells count="14">
    <mergeCell ref="R1:U1"/>
    <mergeCell ref="D1:D2"/>
    <mergeCell ref="E1:E2"/>
    <mergeCell ref="F1:I1"/>
    <mergeCell ref="J1:M1"/>
    <mergeCell ref="F23:I23"/>
    <mergeCell ref="J23:M23"/>
    <mergeCell ref="N23:Q23"/>
    <mergeCell ref="N1:Q1"/>
    <mergeCell ref="A1:B1"/>
    <mergeCell ref="A2:B2"/>
    <mergeCell ref="A3:A4"/>
    <mergeCell ref="D23:D24"/>
    <mergeCell ref="E23:E2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4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143</v>
      </c>
      <c r="B2" s="17">
        <v>180.16</v>
      </c>
    </row>
    <row r="4" spans="1:8">
      <c r="A4" s="140" t="s">
        <v>144</v>
      </c>
      <c r="B4" s="141"/>
      <c r="C4" s="141"/>
      <c r="D4" s="141"/>
      <c r="E4" s="141"/>
      <c r="F4" s="141"/>
      <c r="G4" s="141"/>
      <c r="H4" s="142"/>
    </row>
    <row r="5" spans="1:8">
      <c r="A5" s="143" t="s">
        <v>62</v>
      </c>
      <c r="B5" s="141"/>
      <c r="C5" s="142"/>
      <c r="D5" s="144" t="s">
        <v>45</v>
      </c>
      <c r="E5" s="144" t="s">
        <v>46</v>
      </c>
      <c r="F5" s="144" t="s">
        <v>47</v>
      </c>
      <c r="G5" s="146" t="s">
        <v>63</v>
      </c>
      <c r="H5" s="146" t="s">
        <v>64</v>
      </c>
    </row>
    <row r="6" spans="1:8">
      <c r="A6" s="29" t="s">
        <v>4</v>
      </c>
      <c r="B6" s="29" t="s">
        <v>5</v>
      </c>
      <c r="C6" s="29" t="s">
        <v>19</v>
      </c>
      <c r="D6" s="145"/>
      <c r="E6" s="145"/>
      <c r="F6" s="145"/>
      <c r="G6" s="147"/>
      <c r="H6" s="147"/>
    </row>
    <row r="7" spans="1:8">
      <c r="A7" s="16">
        <v>0</v>
      </c>
      <c r="B7" s="68">
        <v>-0.16666666666666666</v>
      </c>
      <c r="C7" s="16">
        <v>2</v>
      </c>
      <c r="D7" s="19">
        <v>4.4669999999999996</v>
      </c>
      <c r="E7" s="19">
        <v>4.51</v>
      </c>
      <c r="F7" s="19">
        <v>4.5030000000000001</v>
      </c>
      <c r="G7" s="19">
        <f>(C7*1000*AVERAGE(D7:F7)/$B$2)</f>
        <v>49.88158673771462</v>
      </c>
      <c r="H7" s="19">
        <f>(C7*1000*STDEV(D7:F7))/$B$2</f>
        <v>0.25613177147235533</v>
      </c>
    </row>
    <row r="8" spans="1:8">
      <c r="A8" s="16">
        <v>0</v>
      </c>
      <c r="B8" s="71">
        <v>0.16666666666666666</v>
      </c>
      <c r="C8" s="16">
        <v>2</v>
      </c>
      <c r="D8" s="19">
        <v>4.4340000000000002</v>
      </c>
      <c r="E8" s="19">
        <v>4.4880000000000004</v>
      </c>
      <c r="F8" s="19">
        <v>4.4790000000000001</v>
      </c>
      <c r="G8" s="19">
        <f t="shared" ref="G8:G17" si="0">(C8*1000*AVERAGE(D8:F8))/$B$2</f>
        <v>49.589253996447603</v>
      </c>
      <c r="H8" s="19">
        <f t="shared" ref="H8:H17" si="1">(C8*1000*STDEV(D8:F8))/$B$2</f>
        <v>0.32116954132969522</v>
      </c>
    </row>
    <row r="9" spans="1:8">
      <c r="A9" s="16">
        <v>1</v>
      </c>
      <c r="B9" s="71">
        <v>2</v>
      </c>
      <c r="C9" s="16">
        <v>2</v>
      </c>
      <c r="D9" s="19">
        <v>4.4640000000000004</v>
      </c>
      <c r="E9" s="19">
        <v>4.47</v>
      </c>
      <c r="F9" s="19">
        <v>4.516</v>
      </c>
      <c r="G9" s="19">
        <f t="shared" si="0"/>
        <v>49.770574304322082</v>
      </c>
      <c r="H9" s="19">
        <f t="shared" si="1"/>
        <v>0.3158168782319688</v>
      </c>
    </row>
    <row r="10" spans="1:8">
      <c r="A10" s="16">
        <v>2</v>
      </c>
      <c r="B10" s="71">
        <v>3.3333333333333335</v>
      </c>
      <c r="C10" s="16">
        <v>2</v>
      </c>
      <c r="D10" s="19">
        <v>4.4189999999999996</v>
      </c>
      <c r="E10" s="19">
        <v>4.5209999999999999</v>
      </c>
      <c r="F10" s="19">
        <v>4.4960000000000004</v>
      </c>
      <c r="G10" s="19">
        <f t="shared" si="0"/>
        <v>49.718768502072223</v>
      </c>
      <c r="H10" s="19">
        <f t="shared" si="1"/>
        <v>0.590178402852364</v>
      </c>
    </row>
    <row r="11" spans="1:8">
      <c r="A11" s="16">
        <v>3</v>
      </c>
      <c r="B11" s="71">
        <v>4.666666666666667</v>
      </c>
      <c r="C11" s="16">
        <v>2</v>
      </c>
      <c r="D11" s="19">
        <v>4.4610000000000003</v>
      </c>
      <c r="E11" s="19">
        <v>4.4829999999999997</v>
      </c>
      <c r="F11" s="19">
        <v>4.4960000000000004</v>
      </c>
      <c r="G11" s="19">
        <f t="shared" si="0"/>
        <v>49.733570159857898</v>
      </c>
      <c r="H11" s="19">
        <f t="shared" si="1"/>
        <v>0.19640104366068098</v>
      </c>
    </row>
    <row r="12" spans="1:8">
      <c r="A12" s="16">
        <v>4</v>
      </c>
      <c r="B12" s="71">
        <v>6</v>
      </c>
      <c r="C12" s="16">
        <v>2</v>
      </c>
      <c r="D12" s="19">
        <v>4.431</v>
      </c>
      <c r="E12" s="19">
        <v>4.5129999999999999</v>
      </c>
      <c r="F12" s="19">
        <v>4.484</v>
      </c>
      <c r="G12" s="19">
        <f t="shared" si="0"/>
        <v>49.689165186500887</v>
      </c>
      <c r="H12" s="19">
        <f t="shared" si="1"/>
        <v>0.46160352767077617</v>
      </c>
    </row>
    <row r="13" spans="1:8">
      <c r="A13" s="16">
        <v>5</v>
      </c>
      <c r="B13" s="71">
        <v>7.333333333333333</v>
      </c>
      <c r="C13" s="16">
        <v>2</v>
      </c>
      <c r="D13" s="19">
        <v>4.3959999999999999</v>
      </c>
      <c r="E13" s="19">
        <v>4.5030000000000001</v>
      </c>
      <c r="F13" s="19">
        <v>4.5060000000000002</v>
      </c>
      <c r="G13" s="19">
        <f t="shared" si="0"/>
        <v>49.604055654233285</v>
      </c>
      <c r="H13" s="19">
        <f t="shared" si="1"/>
        <v>0.69560902182075723</v>
      </c>
    </row>
    <row r="14" spans="1:8">
      <c r="A14" s="16">
        <v>6</v>
      </c>
      <c r="B14" s="71">
        <v>8.6666666666666661</v>
      </c>
      <c r="C14" s="16">
        <v>2</v>
      </c>
      <c r="D14" s="19">
        <v>4.4109999999999996</v>
      </c>
      <c r="E14" s="19">
        <v>4.4560000000000004</v>
      </c>
      <c r="F14" s="19">
        <v>4.4589999999999996</v>
      </c>
      <c r="G14" s="19">
        <f t="shared" si="0"/>
        <v>49.311722912966253</v>
      </c>
      <c r="H14" s="19">
        <f t="shared" si="1"/>
        <v>0.2984975501720441</v>
      </c>
    </row>
    <row r="15" spans="1:8">
      <c r="A15" s="16">
        <v>7</v>
      </c>
      <c r="B15" s="71">
        <v>10</v>
      </c>
      <c r="C15" s="16">
        <v>2</v>
      </c>
      <c r="D15" s="19">
        <v>4.3710000000000004</v>
      </c>
      <c r="E15" s="19">
        <v>4.4269999999999996</v>
      </c>
      <c r="F15" s="19">
        <v>4.4470000000000001</v>
      </c>
      <c r="G15" s="19">
        <f t="shared" si="0"/>
        <v>49.011989342806395</v>
      </c>
      <c r="H15" s="19">
        <f t="shared" si="1"/>
        <v>0.43733826828579198</v>
      </c>
    </row>
    <row r="16" spans="1:8">
      <c r="A16" s="16">
        <v>8</v>
      </c>
      <c r="B16" s="71">
        <v>11.333333333333334</v>
      </c>
      <c r="C16" s="16">
        <v>2</v>
      </c>
      <c r="D16" s="19">
        <v>4.327</v>
      </c>
      <c r="E16" s="19">
        <v>4.26</v>
      </c>
      <c r="F16" s="19">
        <v>4.4569999999999999</v>
      </c>
      <c r="G16" s="19">
        <f t="shared" si="0"/>
        <v>48.268206039076375</v>
      </c>
      <c r="H16" s="19">
        <f t="shared" si="1"/>
        <v>1.111954530407905</v>
      </c>
    </row>
    <row r="17" spans="1:8">
      <c r="A17" s="16">
        <v>9</v>
      </c>
      <c r="B17" s="71">
        <v>12.666666666666666</v>
      </c>
      <c r="C17" s="16">
        <v>2</v>
      </c>
      <c r="D17" s="19">
        <v>4.3890000000000002</v>
      </c>
      <c r="E17" s="19">
        <v>4.41</v>
      </c>
      <c r="F17" s="19">
        <v>4.3150000000000004</v>
      </c>
      <c r="G17" s="19">
        <f t="shared" si="0"/>
        <v>48.527235050325636</v>
      </c>
      <c r="H17" s="19">
        <f t="shared" si="1"/>
        <v>0.55398800741331844</v>
      </c>
    </row>
    <row r="18" spans="1:8">
      <c r="A18" s="16">
        <v>10</v>
      </c>
      <c r="B18" s="71">
        <v>14</v>
      </c>
      <c r="C18" s="16">
        <v>2</v>
      </c>
      <c r="D18" s="19">
        <v>3.9710000000000001</v>
      </c>
      <c r="E18" s="19">
        <v>4.2610000000000001</v>
      </c>
      <c r="F18" s="19">
        <v>4.2300000000000004</v>
      </c>
      <c r="G18" s="19">
        <f t="shared" ref="G18:G23" si="2">(C18*1000*AVERAGE(D18:F18))/$B$2</f>
        <v>46.114564831261099</v>
      </c>
      <c r="H18" s="19">
        <f t="shared" ref="H18:H23" si="3">(C18*1000*STDEV(D18:F18))/$B$2</f>
        <v>1.7677488273072313</v>
      </c>
    </row>
    <row r="19" spans="1:8">
      <c r="A19" s="16">
        <v>11</v>
      </c>
      <c r="B19" s="71">
        <v>15.333333333333334</v>
      </c>
      <c r="C19" s="16">
        <v>2</v>
      </c>
      <c r="D19" s="19">
        <v>4.0359999999999996</v>
      </c>
      <c r="E19" s="19">
        <v>4.07</v>
      </c>
      <c r="F19" s="19">
        <v>3.79</v>
      </c>
      <c r="G19" s="19">
        <f t="shared" si="2"/>
        <v>44.020130254588516</v>
      </c>
      <c r="H19" s="19">
        <f t="shared" si="3"/>
        <v>1.6961789224750208</v>
      </c>
    </row>
    <row r="20" spans="1:8">
      <c r="A20" s="16">
        <v>12</v>
      </c>
      <c r="B20" s="71">
        <v>16.666666666666668</v>
      </c>
      <c r="C20" s="16">
        <v>2</v>
      </c>
      <c r="D20" s="19">
        <v>3.5569999999999999</v>
      </c>
      <c r="E20" s="19">
        <v>3.4510000000000001</v>
      </c>
      <c r="F20" s="19">
        <v>3.6440000000000001</v>
      </c>
      <c r="G20" s="19">
        <f t="shared" si="2"/>
        <v>39.416814683244525</v>
      </c>
      <c r="H20" s="19">
        <f t="shared" si="3"/>
        <v>1.0729989621406233</v>
      </c>
    </row>
    <row r="21" spans="1:8">
      <c r="A21" s="16">
        <v>13</v>
      </c>
      <c r="B21" s="71">
        <v>18</v>
      </c>
      <c r="C21" s="16">
        <v>2</v>
      </c>
      <c r="D21" s="19">
        <v>3.4540000000000002</v>
      </c>
      <c r="E21" s="19">
        <v>3.496</v>
      </c>
      <c r="F21" s="19">
        <v>3.117</v>
      </c>
      <c r="G21" s="19">
        <f t="shared" si="2"/>
        <v>37.252072232089994</v>
      </c>
      <c r="H21" s="19">
        <f t="shared" si="3"/>
        <v>2.3063439745888297</v>
      </c>
    </row>
    <row r="22" spans="1:8">
      <c r="A22" s="16">
        <v>14</v>
      </c>
      <c r="B22" s="71">
        <v>19.333333333333332</v>
      </c>
      <c r="C22" s="16">
        <v>2</v>
      </c>
      <c r="D22" s="19">
        <v>3.3170000000000002</v>
      </c>
      <c r="E22" s="19">
        <v>3.0840000000000001</v>
      </c>
      <c r="F22" s="19">
        <v>3.3250000000000002</v>
      </c>
      <c r="G22" s="19">
        <f t="shared" si="2"/>
        <v>35.990230905861452</v>
      </c>
      <c r="H22" s="19">
        <f t="shared" si="3"/>
        <v>1.5196543867963899</v>
      </c>
    </row>
    <row r="23" spans="1:8">
      <c r="A23" s="16">
        <v>15</v>
      </c>
      <c r="B23" s="71">
        <v>24</v>
      </c>
      <c r="C23" s="16">
        <v>2</v>
      </c>
      <c r="D23" s="19">
        <v>3.0070000000000001</v>
      </c>
      <c r="E23" s="19">
        <v>2.9089999999999998</v>
      </c>
      <c r="F23" s="19">
        <v>3.016</v>
      </c>
      <c r="G23" s="19">
        <f t="shared" si="2"/>
        <v>33.052101835405566</v>
      </c>
      <c r="H23" s="19">
        <f t="shared" si="3"/>
        <v>0.65885045295027955</v>
      </c>
    </row>
    <row r="24" spans="1:8">
      <c r="A24" s="16">
        <v>16</v>
      </c>
      <c r="B24" s="71">
        <v>30</v>
      </c>
      <c r="C24" s="16">
        <v>2</v>
      </c>
      <c r="D24" s="19">
        <v>2.8319999999999999</v>
      </c>
      <c r="E24" s="19">
        <v>2.9079999999999999</v>
      </c>
      <c r="F24" s="19">
        <v>2.8860000000000001</v>
      </c>
      <c r="G24" s="19">
        <f t="shared" ref="G24:G25" si="4">(C24*1000*AVERAGE(D24:F24))/$B$2</f>
        <v>31.919775014801665</v>
      </c>
      <c r="H24" s="19">
        <f t="shared" ref="H24:H25" si="5">(C24*1000*STDEV(D24:F24))/$B$2</f>
        <v>0.43413290041629626</v>
      </c>
    </row>
    <row r="25" spans="1:8">
      <c r="A25" s="16">
        <v>17</v>
      </c>
      <c r="B25" s="71">
        <v>48</v>
      </c>
      <c r="C25" s="16">
        <v>2</v>
      </c>
      <c r="D25" s="19">
        <v>2.536</v>
      </c>
      <c r="E25" s="19">
        <v>2.7090000000000001</v>
      </c>
      <c r="F25" s="19">
        <v>2.8170000000000002</v>
      </c>
      <c r="G25" s="19">
        <f t="shared" si="4"/>
        <v>29.832741267021909</v>
      </c>
      <c r="H25" s="19">
        <f t="shared" si="5"/>
        <v>1.5735726904996055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2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65</v>
      </c>
      <c r="B2" s="17">
        <v>46.03</v>
      </c>
    </row>
    <row r="4" spans="1:8">
      <c r="A4" s="140" t="s">
        <v>65</v>
      </c>
      <c r="B4" s="141"/>
      <c r="C4" s="141"/>
      <c r="D4" s="141"/>
      <c r="E4" s="141"/>
      <c r="F4" s="141"/>
      <c r="G4" s="141"/>
      <c r="H4" s="142"/>
    </row>
    <row r="5" spans="1:8">
      <c r="A5" s="143" t="s">
        <v>62</v>
      </c>
      <c r="B5" s="141"/>
      <c r="C5" s="142"/>
      <c r="D5" s="144" t="s">
        <v>45</v>
      </c>
      <c r="E5" s="144" t="s">
        <v>46</v>
      </c>
      <c r="F5" s="144" t="s">
        <v>47</v>
      </c>
      <c r="G5" s="146" t="s">
        <v>63</v>
      </c>
      <c r="H5" s="146" t="s">
        <v>64</v>
      </c>
    </row>
    <row r="6" spans="1:8">
      <c r="A6" s="29" t="s">
        <v>4</v>
      </c>
      <c r="B6" s="29" t="s">
        <v>60</v>
      </c>
      <c r="C6" s="29" t="s">
        <v>19</v>
      </c>
      <c r="D6" s="145"/>
      <c r="E6" s="145"/>
      <c r="F6" s="145"/>
      <c r="G6" s="147"/>
      <c r="H6" s="147"/>
    </row>
    <row r="7" spans="1:8">
      <c r="A7" s="72">
        <v>0</v>
      </c>
      <c r="B7" s="68">
        <v>0</v>
      </c>
      <c r="C7" s="16">
        <v>2</v>
      </c>
      <c r="D7" s="56">
        <v>0</v>
      </c>
      <c r="E7" s="56">
        <v>0</v>
      </c>
      <c r="F7" s="56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73">
        <v>0</v>
      </c>
      <c r="B8" s="71">
        <v>0</v>
      </c>
      <c r="C8" s="16">
        <v>2</v>
      </c>
      <c r="D8" s="56">
        <v>0</v>
      </c>
      <c r="E8" s="56">
        <v>0</v>
      </c>
      <c r="F8" s="56">
        <v>0</v>
      </c>
      <c r="G8" s="16">
        <f t="shared" ref="G8:G10" si="1">(C8*1000*AVERAGE(D8:F8))/$B$2</f>
        <v>0</v>
      </c>
      <c r="H8" s="19">
        <f t="shared" si="0"/>
        <v>0</v>
      </c>
    </row>
    <row r="9" spans="1:8">
      <c r="A9" s="73">
        <v>1</v>
      </c>
      <c r="B9" s="71">
        <v>2</v>
      </c>
      <c r="C9" s="16">
        <v>2</v>
      </c>
      <c r="D9" s="56">
        <v>0</v>
      </c>
      <c r="E9" s="56">
        <v>0</v>
      </c>
      <c r="F9" s="56">
        <v>0</v>
      </c>
      <c r="G9" s="16">
        <f t="shared" si="1"/>
        <v>0</v>
      </c>
      <c r="H9" s="19">
        <f t="shared" si="0"/>
        <v>0</v>
      </c>
    </row>
    <row r="10" spans="1:8">
      <c r="A10" s="73">
        <v>2</v>
      </c>
      <c r="B10" s="71">
        <v>3</v>
      </c>
      <c r="C10" s="16">
        <v>2</v>
      </c>
      <c r="D10" s="56">
        <v>1E-3</v>
      </c>
      <c r="E10" s="56">
        <v>2E-3</v>
      </c>
      <c r="F10" s="56">
        <v>4.0000000000000001E-3</v>
      </c>
      <c r="G10" s="16">
        <f t="shared" si="1"/>
        <v>0.1013831559128105</v>
      </c>
      <c r="H10" s="19">
        <f t="shared" ref="H10:H23" si="2">(C10*1000*STDEV(D10:F10))/$B$2</f>
        <v>6.6370855166280537E-2</v>
      </c>
    </row>
    <row r="11" spans="1:8">
      <c r="A11" s="73">
        <v>3</v>
      </c>
      <c r="B11" s="71">
        <v>5</v>
      </c>
      <c r="C11" s="16">
        <v>2</v>
      </c>
      <c r="D11" s="56">
        <v>3.0000000000000001E-3</v>
      </c>
      <c r="E11" s="56">
        <v>0.01</v>
      </c>
      <c r="F11" s="56">
        <v>6.0000000000000001E-3</v>
      </c>
      <c r="G11" s="16">
        <f t="shared" ref="G11:G23" si="3">(C11*1000*AVERAGE(D11:F11))/$B$2</f>
        <v>0.27518285176334278</v>
      </c>
      <c r="H11" s="19">
        <f t="shared" si="2"/>
        <v>0.15259111815269363</v>
      </c>
    </row>
    <row r="12" spans="1:8">
      <c r="A12" s="73">
        <v>4</v>
      </c>
      <c r="B12" s="71">
        <v>6</v>
      </c>
      <c r="C12" s="16">
        <v>2</v>
      </c>
      <c r="D12" s="56">
        <v>6.0000000000000001E-3</v>
      </c>
      <c r="E12" s="56">
        <v>8.0000000000000002E-3</v>
      </c>
      <c r="F12" s="56">
        <v>4.0000000000000001E-3</v>
      </c>
      <c r="G12" s="16">
        <f t="shared" si="3"/>
        <v>0.2606995437757984</v>
      </c>
      <c r="H12" s="19">
        <f t="shared" si="2"/>
        <v>8.689984792526613E-2</v>
      </c>
    </row>
    <row r="13" spans="1:8">
      <c r="A13" s="73">
        <v>5</v>
      </c>
      <c r="B13" s="71">
        <v>7</v>
      </c>
      <c r="C13" s="16">
        <v>2</v>
      </c>
      <c r="D13" s="56">
        <v>6.0000000000000001E-3</v>
      </c>
      <c r="E13" s="56">
        <v>7.0000000000000001E-3</v>
      </c>
      <c r="F13" s="56">
        <v>6.0000000000000001E-3</v>
      </c>
      <c r="G13" s="16">
        <f t="shared" si="3"/>
        <v>0.27518285176334278</v>
      </c>
      <c r="H13" s="19">
        <f t="shared" si="2"/>
        <v>2.5085825296094974E-2</v>
      </c>
    </row>
    <row r="14" spans="1:8">
      <c r="A14" s="73">
        <v>6</v>
      </c>
      <c r="B14" s="71">
        <v>9</v>
      </c>
      <c r="C14" s="16">
        <v>2</v>
      </c>
      <c r="D14" s="56">
        <v>7.0000000000000001E-3</v>
      </c>
      <c r="E14" s="56">
        <v>7.0000000000000001E-3</v>
      </c>
      <c r="F14" s="56">
        <v>8.0000000000000002E-3</v>
      </c>
      <c r="G14" s="16">
        <f t="shared" si="3"/>
        <v>0.31863277572597581</v>
      </c>
      <c r="H14" s="19">
        <f t="shared" si="2"/>
        <v>2.5085825296094974E-2</v>
      </c>
    </row>
    <row r="15" spans="1:8">
      <c r="A15" s="73">
        <v>7</v>
      </c>
      <c r="B15" s="71">
        <v>10</v>
      </c>
      <c r="C15" s="16">
        <v>2</v>
      </c>
      <c r="D15" s="56">
        <v>1.0999999999999999E-2</v>
      </c>
      <c r="E15" s="56">
        <v>1.2E-2</v>
      </c>
      <c r="F15" s="56">
        <v>1.2999999999999999E-2</v>
      </c>
      <c r="G15" s="16">
        <f t="shared" si="3"/>
        <v>0.5213990875515967</v>
      </c>
      <c r="H15" s="19">
        <f t="shared" si="2"/>
        <v>4.3449923962633065E-2</v>
      </c>
    </row>
    <row r="16" spans="1:8">
      <c r="A16" s="73">
        <v>8</v>
      </c>
      <c r="B16" s="71">
        <v>11</v>
      </c>
      <c r="C16" s="16">
        <v>2</v>
      </c>
      <c r="D16" s="56">
        <v>1.6E-2</v>
      </c>
      <c r="E16" s="56">
        <v>2.4E-2</v>
      </c>
      <c r="F16" s="56">
        <v>2.1000000000000001E-2</v>
      </c>
      <c r="G16" s="16">
        <f t="shared" si="3"/>
        <v>0.88348178724020554</v>
      </c>
      <c r="H16" s="19">
        <f t="shared" si="2"/>
        <v>0.1756007770726648</v>
      </c>
    </row>
    <row r="17" spans="1:8">
      <c r="A17" s="73">
        <v>9</v>
      </c>
      <c r="B17" s="71">
        <v>13</v>
      </c>
      <c r="C17" s="16">
        <v>2</v>
      </c>
      <c r="D17" s="56">
        <v>3.5000000000000003E-2</v>
      </c>
      <c r="E17" s="56">
        <v>3.5000000000000003E-2</v>
      </c>
      <c r="F17" s="56">
        <v>3.9E-2</v>
      </c>
      <c r="G17" s="16">
        <f t="shared" si="3"/>
        <v>1.5786805706423348</v>
      </c>
      <c r="H17" s="19">
        <f t="shared" si="2"/>
        <v>0.1003433011843798</v>
      </c>
    </row>
    <row r="18" spans="1:8">
      <c r="A18" s="73">
        <v>10</v>
      </c>
      <c r="B18" s="71">
        <v>14</v>
      </c>
      <c r="C18" s="16">
        <v>2</v>
      </c>
      <c r="D18" s="56">
        <v>6.4000000000000001E-2</v>
      </c>
      <c r="E18" s="56">
        <v>8.1000000000000003E-2</v>
      </c>
      <c r="F18" s="56">
        <v>7.5999999999999998E-2</v>
      </c>
      <c r="G18" s="16">
        <f t="shared" si="3"/>
        <v>3.2008110652473025</v>
      </c>
      <c r="H18" s="19">
        <f t="shared" si="2"/>
        <v>0.37961742116246378</v>
      </c>
    </row>
    <row r="19" spans="1:8">
      <c r="A19" s="73">
        <v>11</v>
      </c>
      <c r="B19" s="71">
        <v>15</v>
      </c>
      <c r="C19" s="16">
        <v>2</v>
      </c>
      <c r="D19" s="56">
        <v>0.11</v>
      </c>
      <c r="E19" s="56">
        <v>0.11</v>
      </c>
      <c r="F19" s="56">
        <v>0.11700000000000001</v>
      </c>
      <c r="G19" s="16">
        <f t="shared" si="3"/>
        <v>4.880874791802448</v>
      </c>
      <c r="H19" s="19">
        <f t="shared" si="2"/>
        <v>0.17560077707266492</v>
      </c>
    </row>
    <row r="20" spans="1:8">
      <c r="A20" s="73">
        <v>12</v>
      </c>
      <c r="B20" s="71">
        <v>17</v>
      </c>
      <c r="C20" s="16">
        <v>2</v>
      </c>
      <c r="D20" s="56">
        <v>0.128</v>
      </c>
      <c r="E20" s="56">
        <v>0.127</v>
      </c>
      <c r="F20" s="56">
        <v>0.14000000000000001</v>
      </c>
      <c r="G20" s="16">
        <f t="shared" si="3"/>
        <v>5.7209066550800207</v>
      </c>
      <c r="H20" s="19">
        <f t="shared" si="2"/>
        <v>0.31432449003129442</v>
      </c>
    </row>
    <row r="21" spans="1:8">
      <c r="A21" s="73">
        <v>13</v>
      </c>
      <c r="B21" s="71">
        <v>18</v>
      </c>
      <c r="C21" s="16">
        <v>2</v>
      </c>
      <c r="D21" s="56">
        <v>0.16500000000000001</v>
      </c>
      <c r="E21" s="56">
        <v>0.159</v>
      </c>
      <c r="F21" s="56">
        <v>0.15</v>
      </c>
      <c r="G21" s="16">
        <f t="shared" si="3"/>
        <v>6.8650879860960243</v>
      </c>
      <c r="H21" s="19">
        <f t="shared" si="2"/>
        <v>0.32803973214298315</v>
      </c>
    </row>
    <row r="22" spans="1:8">
      <c r="A22" s="73">
        <v>14</v>
      </c>
      <c r="B22" s="71">
        <v>19</v>
      </c>
      <c r="C22" s="16">
        <v>2</v>
      </c>
      <c r="D22" s="56">
        <v>0.20200000000000001</v>
      </c>
      <c r="E22" s="56">
        <v>0.183</v>
      </c>
      <c r="F22" s="56">
        <v>0.2</v>
      </c>
      <c r="G22" s="16">
        <f t="shared" si="3"/>
        <v>8.4727351727134455</v>
      </c>
      <c r="H22" s="19">
        <f t="shared" si="2"/>
        <v>0.45363052395874687</v>
      </c>
    </row>
    <row r="23" spans="1:8">
      <c r="A23" s="73">
        <v>15</v>
      </c>
      <c r="B23" s="71">
        <v>24</v>
      </c>
      <c r="C23" s="16">
        <v>2</v>
      </c>
      <c r="D23" s="56">
        <v>0.30199999999999999</v>
      </c>
      <c r="E23" s="56">
        <v>0.29299999999999998</v>
      </c>
      <c r="F23" s="56">
        <v>0.30399999999999999</v>
      </c>
      <c r="G23" s="16">
        <f t="shared" si="3"/>
        <v>13.020493880802375</v>
      </c>
      <c r="H23" s="19">
        <f t="shared" si="2"/>
        <v>0.25459332075091545</v>
      </c>
    </row>
    <row r="24" spans="1:8">
      <c r="A24" s="73">
        <v>16</v>
      </c>
      <c r="B24" s="71">
        <v>30</v>
      </c>
      <c r="C24" s="16">
        <v>2</v>
      </c>
      <c r="D24" s="56">
        <v>0.318</v>
      </c>
      <c r="E24" s="56">
        <v>0.32500000000000001</v>
      </c>
      <c r="F24" s="56">
        <v>0.32300000000000001</v>
      </c>
      <c r="G24" s="16">
        <f t="shared" ref="G24:G25" si="4">(C24*1000*AVERAGE(D24:F24))/$B$2</f>
        <v>13.990875515967847</v>
      </c>
      <c r="H24" s="19">
        <f t="shared" ref="H24:H25" si="5">(C24*1000*STDEV(D24:F24))/$B$2</f>
        <v>0.15666092876228516</v>
      </c>
    </row>
    <row r="25" spans="1:8">
      <c r="A25" s="73">
        <v>17</v>
      </c>
      <c r="B25" s="71">
        <v>48</v>
      </c>
      <c r="C25" s="16">
        <v>2</v>
      </c>
      <c r="D25" s="56">
        <v>0.29399999999999998</v>
      </c>
      <c r="E25" s="56">
        <v>0.315</v>
      </c>
      <c r="F25" s="56">
        <v>0.32500000000000001</v>
      </c>
      <c r="G25" s="16">
        <f t="shared" si="4"/>
        <v>13.527409660366427</v>
      </c>
      <c r="H25" s="19">
        <f t="shared" si="5"/>
        <v>0.68746146926241303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40" t="s">
        <v>43</v>
      </c>
      <c r="B4" s="141"/>
      <c r="C4" s="141"/>
      <c r="D4" s="141"/>
      <c r="E4" s="141"/>
      <c r="F4" s="141"/>
      <c r="G4" s="141"/>
      <c r="H4" s="142"/>
    </row>
    <row r="5" spans="1:8">
      <c r="A5" s="143" t="s">
        <v>62</v>
      </c>
      <c r="B5" s="141"/>
      <c r="C5" s="142"/>
      <c r="D5" s="144" t="s">
        <v>45</v>
      </c>
      <c r="E5" s="144" t="s">
        <v>46</v>
      </c>
      <c r="F5" s="144" t="s">
        <v>47</v>
      </c>
      <c r="G5" s="146" t="s">
        <v>63</v>
      </c>
      <c r="H5" s="146" t="s">
        <v>64</v>
      </c>
    </row>
    <row r="6" spans="1:8">
      <c r="A6" s="22" t="s">
        <v>4</v>
      </c>
      <c r="B6" s="22" t="s">
        <v>60</v>
      </c>
      <c r="C6" s="22" t="s">
        <v>19</v>
      </c>
      <c r="D6" s="145"/>
      <c r="E6" s="145"/>
      <c r="F6" s="145"/>
      <c r="G6" s="147"/>
      <c r="H6" s="147"/>
    </row>
    <row r="7" spans="1:8">
      <c r="A7" s="72">
        <v>0</v>
      </c>
      <c r="B7" s="68">
        <v>0</v>
      </c>
      <c r="C7" s="16">
        <v>2</v>
      </c>
      <c r="D7" s="19">
        <v>1.4350000000000001</v>
      </c>
      <c r="E7" s="19">
        <v>1.4359999999999999</v>
      </c>
      <c r="F7" s="19">
        <v>1.4319999999999999</v>
      </c>
      <c r="G7" s="16">
        <f>(C7*1000*AVERAGE(D7:F7))/$B$2</f>
        <v>47.771301693033585</v>
      </c>
      <c r="H7" s="19">
        <f>(C7*1000*STDEV(D7:F7))/$B$2</f>
        <v>6.9331090739921816E-2</v>
      </c>
    </row>
    <row r="8" spans="1:8">
      <c r="A8" s="73">
        <v>0</v>
      </c>
      <c r="B8" s="71">
        <v>0</v>
      </c>
      <c r="C8" s="16">
        <v>2</v>
      </c>
      <c r="D8" s="19">
        <v>1.4379999999999999</v>
      </c>
      <c r="E8" s="19">
        <v>1.4490000000000001</v>
      </c>
      <c r="F8" s="19">
        <v>1.456</v>
      </c>
      <c r="G8" s="16">
        <f t="shared" ref="G8:G17" si="0">(C8*1000*AVERAGE(D8:F8))/$B$2</f>
        <v>48.215376075492649</v>
      </c>
      <c r="H8" s="19">
        <f t="shared" ref="H8:H17" si="1">(C8*1000*STDEV(D8:F8))/$B$2</f>
        <v>0.30220721818076546</v>
      </c>
    </row>
    <row r="9" spans="1:8">
      <c r="A9" s="73">
        <v>1</v>
      </c>
      <c r="B9" s="71">
        <v>2</v>
      </c>
      <c r="C9" s="16">
        <v>2</v>
      </c>
      <c r="D9" s="19">
        <v>1.452</v>
      </c>
      <c r="E9" s="19">
        <v>1.448</v>
      </c>
      <c r="F9" s="19">
        <v>1.4590000000000001</v>
      </c>
      <c r="G9" s="16">
        <f t="shared" si="0"/>
        <v>48.393005828476269</v>
      </c>
      <c r="H9" s="19">
        <f t="shared" si="1"/>
        <v>0.18543761408260073</v>
      </c>
    </row>
    <row r="10" spans="1:8">
      <c r="A10" s="73">
        <v>2</v>
      </c>
      <c r="B10" s="71">
        <v>3</v>
      </c>
      <c r="C10" s="16">
        <v>2</v>
      </c>
      <c r="D10" s="19">
        <v>1.425</v>
      </c>
      <c r="E10" s="19">
        <v>1.4590000000000001</v>
      </c>
      <c r="F10" s="19">
        <v>1.4490000000000001</v>
      </c>
      <c r="G10" s="16">
        <f t="shared" si="0"/>
        <v>48.104357479877883</v>
      </c>
      <c r="H10" s="19">
        <f t="shared" si="1"/>
        <v>0.58197468430002419</v>
      </c>
    </row>
    <row r="11" spans="1:8">
      <c r="A11" s="73">
        <v>3</v>
      </c>
      <c r="B11" s="71">
        <v>5</v>
      </c>
      <c r="C11" s="16">
        <v>2</v>
      </c>
      <c r="D11" s="19">
        <v>1.4330000000000001</v>
      </c>
      <c r="E11" s="19">
        <v>1.4370000000000001</v>
      </c>
      <c r="F11" s="19">
        <v>1.4419999999999999</v>
      </c>
      <c r="G11" s="16">
        <f t="shared" si="0"/>
        <v>47.871218429086873</v>
      </c>
      <c r="H11" s="19">
        <f t="shared" si="1"/>
        <v>0.15018317245038601</v>
      </c>
    </row>
    <row r="12" spans="1:8">
      <c r="A12" s="73">
        <v>4</v>
      </c>
      <c r="B12" s="71">
        <v>6</v>
      </c>
      <c r="C12" s="16">
        <v>2</v>
      </c>
      <c r="D12" s="19">
        <v>1.43</v>
      </c>
      <c r="E12" s="19">
        <v>1.4430000000000001</v>
      </c>
      <c r="F12" s="19">
        <v>1.4330000000000001</v>
      </c>
      <c r="G12" s="16">
        <f t="shared" si="0"/>
        <v>47.804607271718012</v>
      </c>
      <c r="H12" s="19">
        <f t="shared" si="1"/>
        <v>0.22670638752886246</v>
      </c>
    </row>
    <row r="13" spans="1:8">
      <c r="A13" s="73">
        <v>5</v>
      </c>
      <c r="B13" s="71">
        <v>7</v>
      </c>
      <c r="C13" s="16">
        <v>2</v>
      </c>
      <c r="D13" s="19">
        <v>1.4079999999999999</v>
      </c>
      <c r="E13" s="19">
        <v>1.4350000000000001</v>
      </c>
      <c r="F13" s="19">
        <v>1.4379999999999999</v>
      </c>
      <c r="G13" s="16">
        <f t="shared" si="0"/>
        <v>47.52706078268109</v>
      </c>
      <c r="H13" s="19">
        <f t="shared" si="1"/>
        <v>0.55029847266805487</v>
      </c>
    </row>
    <row r="14" spans="1:8">
      <c r="A14" s="73">
        <v>6</v>
      </c>
      <c r="B14" s="71">
        <v>9</v>
      </c>
      <c r="C14" s="16">
        <v>2</v>
      </c>
      <c r="D14" s="19">
        <v>1.411</v>
      </c>
      <c r="E14" s="19">
        <v>1.4159999999999999</v>
      </c>
      <c r="F14" s="19">
        <v>1.427</v>
      </c>
      <c r="G14" s="16">
        <f t="shared" si="0"/>
        <v>47.227310574521233</v>
      </c>
      <c r="H14" s="19">
        <f t="shared" si="1"/>
        <v>0.27261791080341286</v>
      </c>
    </row>
    <row r="15" spans="1:8">
      <c r="A15" s="73">
        <v>7</v>
      </c>
      <c r="B15" s="71">
        <v>10</v>
      </c>
      <c r="C15" s="16">
        <v>2</v>
      </c>
      <c r="D15" s="19">
        <v>1.391</v>
      </c>
      <c r="E15" s="19">
        <v>1.4059999999999999</v>
      </c>
      <c r="F15" s="19">
        <v>1.419</v>
      </c>
      <c r="G15" s="16">
        <f t="shared" si="0"/>
        <v>46.805439911185118</v>
      </c>
      <c r="H15" s="19">
        <f t="shared" si="1"/>
        <v>0.46667442813175064</v>
      </c>
    </row>
    <row r="16" spans="1:8">
      <c r="A16" s="73">
        <v>8</v>
      </c>
      <c r="B16" s="71">
        <v>11</v>
      </c>
      <c r="C16" s="16">
        <v>2</v>
      </c>
      <c r="D16" s="19">
        <v>1.375</v>
      </c>
      <c r="E16" s="19">
        <v>1.3819999999999999</v>
      </c>
      <c r="F16" s="19">
        <v>1.363</v>
      </c>
      <c r="G16" s="16">
        <f t="shared" si="0"/>
        <v>45.73966139328337</v>
      </c>
      <c r="H16" s="19">
        <f t="shared" si="1"/>
        <v>0.32003408948985879</v>
      </c>
    </row>
    <row r="17" spans="1:8">
      <c r="A17" s="73">
        <v>9</v>
      </c>
      <c r="B17" s="71">
        <v>13</v>
      </c>
      <c r="C17" s="16">
        <v>2</v>
      </c>
      <c r="D17" s="19">
        <v>1.399</v>
      </c>
      <c r="E17" s="19">
        <v>1.411</v>
      </c>
      <c r="F17" s="19">
        <v>1.3740000000000001</v>
      </c>
      <c r="G17" s="16">
        <f t="shared" si="0"/>
        <v>46.450180405217878</v>
      </c>
      <c r="H17" s="19">
        <f t="shared" si="1"/>
        <v>0.62870253165774015</v>
      </c>
    </row>
    <row r="18" spans="1:8">
      <c r="A18" s="73">
        <v>10</v>
      </c>
      <c r="B18" s="71">
        <v>14</v>
      </c>
      <c r="C18" s="16">
        <v>2</v>
      </c>
      <c r="D18" s="19">
        <v>1.2829999999999999</v>
      </c>
      <c r="E18" s="19">
        <v>1.367</v>
      </c>
      <c r="F18" s="19">
        <v>1.3520000000000001</v>
      </c>
      <c r="G18" s="16">
        <f t="shared" ref="G18:G23" si="2">(C18*1000*AVERAGE(D18:F18))/$B$2</f>
        <v>44.429641965029134</v>
      </c>
      <c r="H18" s="19">
        <f t="shared" ref="H18:H23" si="3">(C18*1000*STDEV(D18:F18))/$B$2</f>
        <v>1.4920750564264547</v>
      </c>
    </row>
    <row r="19" spans="1:8">
      <c r="A19" s="73">
        <v>11</v>
      </c>
      <c r="B19" s="71">
        <v>15</v>
      </c>
      <c r="C19" s="16">
        <v>2</v>
      </c>
      <c r="D19" s="19">
        <v>1.302</v>
      </c>
      <c r="E19" s="19">
        <v>1.3</v>
      </c>
      <c r="F19" s="19">
        <v>1.2410000000000001</v>
      </c>
      <c r="G19" s="16">
        <f t="shared" si="2"/>
        <v>42.664446294754384</v>
      </c>
      <c r="H19" s="19">
        <f t="shared" si="3"/>
        <v>1.1542197136495214</v>
      </c>
    </row>
    <row r="20" spans="1:8">
      <c r="A20" s="73">
        <v>12</v>
      </c>
      <c r="B20" s="71">
        <v>17</v>
      </c>
      <c r="C20" s="16">
        <v>2</v>
      </c>
      <c r="D20" s="19">
        <v>1.145</v>
      </c>
      <c r="E20" s="19">
        <v>1.109</v>
      </c>
      <c r="F20" s="19">
        <v>1.1679999999999999</v>
      </c>
      <c r="G20" s="16">
        <f t="shared" si="2"/>
        <v>37.990563419372741</v>
      </c>
      <c r="H20" s="19">
        <f t="shared" si="3"/>
        <v>0.99043272515974123</v>
      </c>
    </row>
    <row r="21" spans="1:8">
      <c r="A21" s="73">
        <v>13</v>
      </c>
      <c r="B21" s="71">
        <v>18</v>
      </c>
      <c r="C21" s="16">
        <v>2</v>
      </c>
      <c r="D21" s="19">
        <v>1.1339999999999999</v>
      </c>
      <c r="E21" s="19">
        <v>1.1439999999999999</v>
      </c>
      <c r="F21" s="19">
        <v>1.0109999999999999</v>
      </c>
      <c r="G21" s="16">
        <f t="shared" si="2"/>
        <v>36.514016097696363</v>
      </c>
      <c r="H21" s="19">
        <f t="shared" si="3"/>
        <v>2.4669371161689835</v>
      </c>
    </row>
    <row r="22" spans="1:8">
      <c r="A22" s="73">
        <v>14</v>
      </c>
      <c r="B22" s="71">
        <v>19</v>
      </c>
      <c r="C22" s="16">
        <v>2</v>
      </c>
      <c r="D22" s="19">
        <v>1.089</v>
      </c>
      <c r="E22" s="19">
        <v>1.0089999999999999</v>
      </c>
      <c r="F22" s="19">
        <v>1.095</v>
      </c>
      <c r="G22" s="16">
        <f t="shared" si="2"/>
        <v>35.448237579794608</v>
      </c>
      <c r="H22" s="19">
        <f t="shared" si="3"/>
        <v>1.5991302874298845</v>
      </c>
    </row>
    <row r="23" spans="1:8">
      <c r="A23" s="73">
        <v>15</v>
      </c>
      <c r="B23" s="71">
        <v>24</v>
      </c>
      <c r="C23" s="16">
        <v>2</v>
      </c>
      <c r="D23" s="19">
        <v>1.0649999999999999</v>
      </c>
      <c r="E23" s="19">
        <v>1.0329999999999999</v>
      </c>
      <c r="F23" s="19">
        <v>1.07</v>
      </c>
      <c r="G23" s="16">
        <f t="shared" si="2"/>
        <v>35.170691090757707</v>
      </c>
      <c r="H23" s="19">
        <f t="shared" si="3"/>
        <v>0.66860482597451421</v>
      </c>
    </row>
    <row r="24" spans="1:8">
      <c r="A24" s="73">
        <v>16</v>
      </c>
      <c r="B24" s="71">
        <v>30</v>
      </c>
      <c r="C24" s="16">
        <v>2</v>
      </c>
      <c r="D24" s="19">
        <v>1.0409999999999999</v>
      </c>
      <c r="E24" s="19">
        <v>1.079</v>
      </c>
      <c r="F24" s="19">
        <v>1.069</v>
      </c>
      <c r="G24" s="16">
        <f t="shared" ref="G24:G25" si="4">(C24*1000*AVERAGE(D24:F24))/$B$2</f>
        <v>35.40383014154871</v>
      </c>
      <c r="H24" s="19">
        <f t="shared" ref="H24:H25" si="5">(C24*1000*STDEV(D24:F24))/$B$2</f>
        <v>0.65604381693895841</v>
      </c>
    </row>
    <row r="25" spans="1:8">
      <c r="A25" s="73">
        <v>17</v>
      </c>
      <c r="B25" s="71">
        <v>48</v>
      </c>
      <c r="C25" s="16">
        <v>2</v>
      </c>
      <c r="D25" s="19">
        <v>0.97199999999999998</v>
      </c>
      <c r="E25" s="19">
        <v>1.0209999999999999</v>
      </c>
      <c r="F25" s="19">
        <v>1.0680000000000001</v>
      </c>
      <c r="G25" s="16">
        <f t="shared" si="4"/>
        <v>33.982792117679708</v>
      </c>
      <c r="H25" s="19">
        <f t="shared" si="5"/>
        <v>1.5987834170406199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D7" sqref="D7:F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67</v>
      </c>
      <c r="B2" s="17">
        <v>74.08</v>
      </c>
    </row>
    <row r="4" spans="1:8">
      <c r="A4" s="140" t="s">
        <v>67</v>
      </c>
      <c r="B4" s="141"/>
      <c r="C4" s="141"/>
      <c r="D4" s="141"/>
      <c r="E4" s="141"/>
      <c r="F4" s="141"/>
      <c r="G4" s="141"/>
      <c r="H4" s="142"/>
    </row>
    <row r="5" spans="1:8">
      <c r="A5" s="143" t="s">
        <v>62</v>
      </c>
      <c r="B5" s="141"/>
      <c r="C5" s="142"/>
      <c r="D5" s="144" t="s">
        <v>45</v>
      </c>
      <c r="E5" s="144" t="s">
        <v>46</v>
      </c>
      <c r="F5" s="144" t="s">
        <v>47</v>
      </c>
      <c r="G5" s="146" t="s">
        <v>63</v>
      </c>
      <c r="H5" s="146" t="s">
        <v>64</v>
      </c>
    </row>
    <row r="6" spans="1:8">
      <c r="A6" s="29" t="s">
        <v>4</v>
      </c>
      <c r="B6" s="29" t="s">
        <v>60</v>
      </c>
      <c r="C6" s="29" t="s">
        <v>19</v>
      </c>
      <c r="D6" s="145"/>
      <c r="E6" s="145"/>
      <c r="F6" s="145"/>
      <c r="G6" s="147"/>
      <c r="H6" s="147"/>
    </row>
    <row r="7" spans="1:8">
      <c r="A7" s="72">
        <v>0</v>
      </c>
      <c r="B7" s="68">
        <v>0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73">
        <v>0</v>
      </c>
      <c r="B8" s="71">
        <v>0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3">
        <v>1</v>
      </c>
      <c r="B9" s="71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3">
        <v>2</v>
      </c>
      <c r="B10" s="71">
        <v>3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3">
        <v>3</v>
      </c>
      <c r="B11" s="71">
        <v>5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73">
        <v>4</v>
      </c>
      <c r="B12" s="71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73">
        <v>5</v>
      </c>
      <c r="B13" s="71">
        <v>7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73">
        <v>6</v>
      </c>
      <c r="B14" s="71">
        <v>9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73">
        <v>7</v>
      </c>
      <c r="B15" s="71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73">
        <v>8</v>
      </c>
      <c r="B16" s="71">
        <v>11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73">
        <v>9</v>
      </c>
      <c r="B17" s="71">
        <v>13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73">
        <v>10</v>
      </c>
      <c r="B18" s="71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3">
        <v>11</v>
      </c>
      <c r="B19" s="71">
        <v>15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73">
        <v>12</v>
      </c>
      <c r="B20" s="71">
        <v>17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73">
        <v>13</v>
      </c>
      <c r="B21" s="71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73">
        <v>14</v>
      </c>
      <c r="B22" s="71">
        <v>19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73">
        <v>15</v>
      </c>
      <c r="B23" s="71">
        <v>24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73">
        <v>16</v>
      </c>
      <c r="B24" s="71">
        <v>30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73">
        <v>17</v>
      </c>
      <c r="B25" s="71">
        <v>48</v>
      </c>
      <c r="C25" s="16">
        <v>4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3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66</v>
      </c>
      <c r="B2" s="17">
        <v>88.11</v>
      </c>
    </row>
    <row r="4" spans="1:8">
      <c r="A4" s="140" t="s">
        <v>66</v>
      </c>
      <c r="B4" s="141"/>
      <c r="C4" s="141"/>
      <c r="D4" s="141"/>
      <c r="E4" s="141"/>
      <c r="F4" s="141"/>
      <c r="G4" s="141"/>
      <c r="H4" s="142"/>
    </row>
    <row r="5" spans="1:8">
      <c r="A5" s="143" t="s">
        <v>62</v>
      </c>
      <c r="B5" s="141"/>
      <c r="C5" s="142"/>
      <c r="D5" s="144" t="s">
        <v>45</v>
      </c>
      <c r="E5" s="144" t="s">
        <v>46</v>
      </c>
      <c r="F5" s="144" t="s">
        <v>47</v>
      </c>
      <c r="G5" s="146" t="s">
        <v>63</v>
      </c>
      <c r="H5" s="146" t="s">
        <v>64</v>
      </c>
    </row>
    <row r="6" spans="1:8">
      <c r="A6" s="29" t="s">
        <v>4</v>
      </c>
      <c r="B6" s="29" t="s">
        <v>60</v>
      </c>
      <c r="C6" s="29" t="s">
        <v>19</v>
      </c>
      <c r="D6" s="145"/>
      <c r="E6" s="145"/>
      <c r="F6" s="145"/>
      <c r="G6" s="147"/>
      <c r="H6" s="147"/>
    </row>
    <row r="7" spans="1:8">
      <c r="A7" s="72">
        <v>0</v>
      </c>
      <c r="B7" s="68">
        <v>0</v>
      </c>
      <c r="C7" s="16">
        <v>2</v>
      </c>
      <c r="D7" s="78">
        <v>1.7999999999999999E-2</v>
      </c>
      <c r="E7" s="79">
        <v>1.7999999999999999E-2</v>
      </c>
      <c r="F7" s="79">
        <v>1.6E-2</v>
      </c>
      <c r="G7" s="16">
        <f>(C7*1000*AVERAGE(D7:F7))/$B$2</f>
        <v>0.39344758445882039</v>
      </c>
      <c r="H7" s="19">
        <f>(C7*1000*STDEV(D7:F7))/$B$2</f>
        <v>2.6210431015304746E-2</v>
      </c>
    </row>
    <row r="8" spans="1:8">
      <c r="A8" s="73">
        <v>0</v>
      </c>
      <c r="B8" s="71">
        <v>0</v>
      </c>
      <c r="C8" s="16">
        <v>2</v>
      </c>
      <c r="D8" s="59">
        <v>2.4E-2</v>
      </c>
      <c r="E8" s="60">
        <v>2.1000000000000001E-2</v>
      </c>
      <c r="F8" s="60">
        <v>2.1000000000000001E-2</v>
      </c>
      <c r="G8" s="16">
        <f>(C8*1000*AVERAGE(D8:F8))/$B$2</f>
        <v>0.49937578027465679</v>
      </c>
      <c r="H8" s="19">
        <f t="shared" ref="H8:H17" si="0">(C8*1000*STDEV(D8:F8))/$B$2</f>
        <v>3.9315646522957139E-2</v>
      </c>
    </row>
    <row r="9" spans="1:8">
      <c r="A9" s="73">
        <v>1</v>
      </c>
      <c r="B9" s="71">
        <v>2</v>
      </c>
      <c r="C9" s="16">
        <v>2</v>
      </c>
      <c r="D9" s="59">
        <v>3.5000000000000003E-2</v>
      </c>
      <c r="E9" s="60">
        <v>3.3000000000000002E-2</v>
      </c>
      <c r="F9" s="60">
        <v>3.5999999999999997E-2</v>
      </c>
      <c r="G9" s="16">
        <f t="shared" ref="G9:G17" si="1">(C9*1000*AVERAGE(D9:F9))/$B$2</f>
        <v>0.78689516891764089</v>
      </c>
      <c r="H9" s="19">
        <f t="shared" si="0"/>
        <v>3.4673141111155263E-2</v>
      </c>
    </row>
    <row r="10" spans="1:8">
      <c r="A10" s="73">
        <v>2</v>
      </c>
      <c r="B10" s="71">
        <v>3</v>
      </c>
      <c r="C10" s="16">
        <v>2</v>
      </c>
      <c r="D10" s="56">
        <v>4.4999999999999998E-2</v>
      </c>
      <c r="E10" s="56">
        <v>4.2000000000000003E-2</v>
      </c>
      <c r="F10" s="56">
        <v>3.5000000000000003E-2</v>
      </c>
      <c r="G10" s="16">
        <f t="shared" si="1"/>
        <v>0.92308856353800173</v>
      </c>
      <c r="H10" s="19">
        <f t="shared" si="0"/>
        <v>0.11648170331283356</v>
      </c>
    </row>
    <row r="11" spans="1:8">
      <c r="A11" s="73">
        <v>3</v>
      </c>
      <c r="B11" s="71">
        <v>5</v>
      </c>
      <c r="C11" s="16">
        <v>2</v>
      </c>
      <c r="D11" s="56">
        <v>5.2999999999999999E-2</v>
      </c>
      <c r="E11" s="56">
        <v>5.5E-2</v>
      </c>
      <c r="F11" s="56">
        <v>5.5E-2</v>
      </c>
      <c r="G11" s="16">
        <f t="shared" si="1"/>
        <v>1.2333068512843794</v>
      </c>
      <c r="H11" s="19">
        <f t="shared" si="0"/>
        <v>2.6210431015304791E-2</v>
      </c>
    </row>
    <row r="12" spans="1:8">
      <c r="A12" s="73">
        <v>4</v>
      </c>
      <c r="B12" s="71">
        <v>6</v>
      </c>
      <c r="C12" s="16">
        <v>2</v>
      </c>
      <c r="D12" s="56">
        <v>6.7000000000000004E-2</v>
      </c>
      <c r="E12" s="56">
        <v>7.0999999999999994E-2</v>
      </c>
      <c r="F12" s="56">
        <v>7.2999999999999995E-2</v>
      </c>
      <c r="G12" s="16">
        <f t="shared" si="1"/>
        <v>1.5964892369386754</v>
      </c>
      <c r="H12" s="19">
        <f t="shared" si="0"/>
        <v>6.9346282222310485E-2</v>
      </c>
    </row>
    <row r="13" spans="1:8">
      <c r="A13" s="73">
        <v>5</v>
      </c>
      <c r="B13" s="71">
        <v>7</v>
      </c>
      <c r="C13" s="16">
        <v>2</v>
      </c>
      <c r="D13" s="56">
        <v>8.7999999999999995E-2</v>
      </c>
      <c r="E13" s="56">
        <v>8.6999999999999994E-2</v>
      </c>
      <c r="F13" s="56">
        <v>8.4000000000000005E-2</v>
      </c>
      <c r="G13" s="16">
        <f t="shared" si="1"/>
        <v>1.9596716225929709</v>
      </c>
      <c r="H13" s="19">
        <f t="shared" si="0"/>
        <v>4.7251526488846368E-2</v>
      </c>
    </row>
    <row r="14" spans="1:8">
      <c r="A14" s="73">
        <v>6</v>
      </c>
      <c r="B14" s="71">
        <v>9</v>
      </c>
      <c r="C14" s="16">
        <v>2</v>
      </c>
      <c r="D14" s="56">
        <v>9.4E-2</v>
      </c>
      <c r="E14" s="56">
        <v>9.8000000000000004E-2</v>
      </c>
      <c r="F14" s="56">
        <v>9.7000000000000003E-2</v>
      </c>
      <c r="G14" s="16">
        <f t="shared" si="1"/>
        <v>2.186660613626906</v>
      </c>
      <c r="H14" s="19">
        <f t="shared" si="0"/>
        <v>4.7251526488846556E-2</v>
      </c>
    </row>
    <row r="15" spans="1:8">
      <c r="A15" s="73">
        <v>7</v>
      </c>
      <c r="B15" s="71">
        <v>10</v>
      </c>
      <c r="C15" s="16">
        <v>2</v>
      </c>
      <c r="D15" s="56">
        <v>0.11899999999999999</v>
      </c>
      <c r="E15" s="56">
        <v>0.125</v>
      </c>
      <c r="F15" s="56">
        <v>0.122</v>
      </c>
      <c r="G15" s="16">
        <f t="shared" si="1"/>
        <v>2.7692656906140054</v>
      </c>
      <c r="H15" s="19">
        <f t="shared" si="0"/>
        <v>6.8096697310180518E-2</v>
      </c>
    </row>
    <row r="16" spans="1:8">
      <c r="A16" s="73">
        <v>8</v>
      </c>
      <c r="B16" s="71">
        <v>11</v>
      </c>
      <c r="C16" s="16">
        <v>2</v>
      </c>
      <c r="D16" s="56">
        <v>0.155</v>
      </c>
      <c r="E16" s="56">
        <v>0.151</v>
      </c>
      <c r="F16" s="56">
        <v>0.153</v>
      </c>
      <c r="G16" s="16">
        <f t="shared" si="1"/>
        <v>3.4729315628192032</v>
      </c>
      <c r="H16" s="19">
        <f t="shared" si="0"/>
        <v>4.5397798206787014E-2</v>
      </c>
    </row>
    <row r="17" spans="1:8">
      <c r="A17" s="73">
        <v>9</v>
      </c>
      <c r="B17" s="71">
        <v>13</v>
      </c>
      <c r="C17" s="16">
        <v>2</v>
      </c>
      <c r="D17" s="56">
        <v>0.20100000000000001</v>
      </c>
      <c r="E17" s="56">
        <v>0.2</v>
      </c>
      <c r="F17" s="56">
        <v>0.19800000000000001</v>
      </c>
      <c r="G17" s="16">
        <f t="shared" si="1"/>
        <v>4.5322135209775656</v>
      </c>
      <c r="H17" s="19">
        <f t="shared" si="0"/>
        <v>3.4673141111155326E-2</v>
      </c>
    </row>
    <row r="18" spans="1:8">
      <c r="A18" s="73">
        <v>10</v>
      </c>
      <c r="B18" s="71">
        <v>14</v>
      </c>
      <c r="C18" s="16">
        <v>2</v>
      </c>
      <c r="D18" s="56">
        <v>0.28199999999999997</v>
      </c>
      <c r="E18" s="56">
        <v>0.29899999999999999</v>
      </c>
      <c r="F18" s="56">
        <v>0.29699999999999999</v>
      </c>
      <c r="G18" s="16">
        <f t="shared" ref="G18:G23" si="2">(C18*1000*AVERAGE(D18:F18))/$B$2</f>
        <v>6.6432111375931591</v>
      </c>
      <c r="H18" s="19">
        <f t="shared" ref="H18:H23" si="3">(C18*1000*STDEV(D18:F18))/$B$2</f>
        <v>0.21090848355867842</v>
      </c>
    </row>
    <row r="19" spans="1:8">
      <c r="A19" s="73">
        <v>11</v>
      </c>
      <c r="B19" s="71">
        <v>15</v>
      </c>
      <c r="C19" s="16">
        <v>2</v>
      </c>
      <c r="D19" s="56">
        <v>0.41299999999999998</v>
      </c>
      <c r="E19" s="56">
        <v>0.41799999999999998</v>
      </c>
      <c r="F19" s="56">
        <v>0.41699999999999998</v>
      </c>
      <c r="G19" s="16">
        <f t="shared" si="2"/>
        <v>9.4427420270116897</v>
      </c>
      <c r="H19" s="19">
        <f t="shared" si="3"/>
        <v>6.0055642062526227E-2</v>
      </c>
    </row>
    <row r="20" spans="1:8">
      <c r="A20" s="73">
        <v>12</v>
      </c>
      <c r="B20" s="71">
        <v>17</v>
      </c>
      <c r="C20" s="16">
        <v>2</v>
      </c>
      <c r="D20" s="61">
        <v>0.495</v>
      </c>
      <c r="E20" s="61">
        <v>0.47899999999999998</v>
      </c>
      <c r="F20" s="61">
        <v>0.50600000000000001</v>
      </c>
      <c r="G20" s="16">
        <f t="shared" si="2"/>
        <v>11.198123557674121</v>
      </c>
      <c r="H20" s="19">
        <f t="shared" si="3"/>
        <v>0.30818161925496645</v>
      </c>
    </row>
    <row r="21" spans="1:8">
      <c r="A21" s="73">
        <v>13</v>
      </c>
      <c r="B21" s="71">
        <v>18</v>
      </c>
      <c r="C21" s="16">
        <v>2</v>
      </c>
      <c r="D21" s="61">
        <v>0.60899999999999999</v>
      </c>
      <c r="E21" s="61">
        <v>0.61899999999999999</v>
      </c>
      <c r="F21" s="61">
        <v>0.54700000000000004</v>
      </c>
      <c r="G21" s="16">
        <f t="shared" si="2"/>
        <v>13.430181969507812</v>
      </c>
      <c r="H21" s="19">
        <f t="shared" si="3"/>
        <v>0.88535406356055313</v>
      </c>
    </row>
    <row r="22" spans="1:8">
      <c r="A22" s="73">
        <v>14</v>
      </c>
      <c r="B22" s="71">
        <v>19</v>
      </c>
      <c r="C22" s="16">
        <v>2</v>
      </c>
      <c r="D22" s="61">
        <v>0.69699999999999995</v>
      </c>
      <c r="E22" s="61">
        <v>0.64900000000000002</v>
      </c>
      <c r="F22" s="61">
        <v>0.69699999999999995</v>
      </c>
      <c r="G22" s="16">
        <f t="shared" si="2"/>
        <v>15.457950289410963</v>
      </c>
      <c r="H22" s="19">
        <f t="shared" si="3"/>
        <v>0.62905034436731355</v>
      </c>
    </row>
    <row r="23" spans="1:8">
      <c r="A23" s="73">
        <v>15</v>
      </c>
      <c r="B23" s="71">
        <v>24</v>
      </c>
      <c r="C23" s="16">
        <v>2</v>
      </c>
      <c r="D23" s="61">
        <v>0.85899999999999999</v>
      </c>
      <c r="E23" s="61">
        <v>0.83399999999999996</v>
      </c>
      <c r="F23" s="61">
        <v>0.86099999999999999</v>
      </c>
      <c r="G23" s="16">
        <f t="shared" si="2"/>
        <v>19.324329436688988</v>
      </c>
      <c r="H23" s="19">
        <f t="shared" si="3"/>
        <v>0.34149083634537941</v>
      </c>
    </row>
    <row r="24" spans="1:8">
      <c r="A24" s="73">
        <v>16</v>
      </c>
      <c r="B24" s="71">
        <v>30</v>
      </c>
      <c r="C24" s="16">
        <v>2</v>
      </c>
      <c r="D24" s="61">
        <v>0.89900000000000002</v>
      </c>
      <c r="E24" s="61">
        <v>0.92300000000000004</v>
      </c>
      <c r="F24" s="61">
        <v>0.92100000000000004</v>
      </c>
      <c r="G24" s="16">
        <f t="shared" ref="G24:G25" si="4">(C24*1000*AVERAGE(D24:F24))/$B$2</f>
        <v>20.75436008020278</v>
      </c>
      <c r="H24" s="19">
        <f t="shared" ref="H24:H25" si="5">(C24*1000*STDEV(D24:F24))/$B$2</f>
        <v>0.3022734363173033</v>
      </c>
    </row>
    <row r="25" spans="1:8">
      <c r="A25" s="73">
        <v>17</v>
      </c>
      <c r="B25" s="71">
        <v>48</v>
      </c>
      <c r="C25" s="16">
        <v>2</v>
      </c>
      <c r="D25" s="61">
        <v>0.85899999999999999</v>
      </c>
      <c r="E25" s="61">
        <v>0.91500000000000004</v>
      </c>
      <c r="F25" s="61">
        <v>0.95599999999999996</v>
      </c>
      <c r="G25" s="16">
        <f t="shared" si="4"/>
        <v>20.655998184088073</v>
      </c>
      <c r="H25" s="19">
        <f t="shared" si="5"/>
        <v>1.1052755713485278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E1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40" t="s">
        <v>42</v>
      </c>
      <c r="B4" s="141"/>
      <c r="C4" s="141"/>
      <c r="D4" s="141"/>
      <c r="E4" s="141"/>
      <c r="F4" s="141"/>
      <c r="G4" s="141"/>
      <c r="H4" s="142"/>
    </row>
    <row r="5" spans="1:8">
      <c r="A5" s="143" t="s">
        <v>62</v>
      </c>
      <c r="B5" s="141"/>
      <c r="C5" s="142"/>
      <c r="D5" s="144" t="s">
        <v>45</v>
      </c>
      <c r="E5" s="144" t="s">
        <v>46</v>
      </c>
      <c r="F5" s="144" t="s">
        <v>47</v>
      </c>
      <c r="G5" s="146" t="s">
        <v>63</v>
      </c>
      <c r="H5" s="146" t="s">
        <v>64</v>
      </c>
    </row>
    <row r="6" spans="1:8">
      <c r="A6" s="22" t="s">
        <v>4</v>
      </c>
      <c r="B6" s="22" t="s">
        <v>60</v>
      </c>
      <c r="C6" s="22" t="s">
        <v>19</v>
      </c>
      <c r="D6" s="145"/>
      <c r="E6" s="145"/>
      <c r="F6" s="145"/>
      <c r="G6" s="147"/>
      <c r="H6" s="147"/>
    </row>
    <row r="7" spans="1:8">
      <c r="A7" s="72">
        <v>0</v>
      </c>
      <c r="B7" s="68">
        <v>0</v>
      </c>
      <c r="C7" s="16">
        <v>2</v>
      </c>
      <c r="D7" s="43">
        <v>1.7000000000000001E-2</v>
      </c>
      <c r="E7" s="43">
        <v>1.7999999999999999E-2</v>
      </c>
      <c r="F7" s="43">
        <v>1.7000000000000001E-2</v>
      </c>
      <c r="G7" s="16">
        <f>(C7*1000*AVERAGE(D7:F7))/$B$2</f>
        <v>0.38484310242747194</v>
      </c>
      <c r="H7" s="19">
        <f>(C7*1000*STDEV(D7:F7))/$B$2</f>
        <v>1.2818611660515638E-2</v>
      </c>
    </row>
    <row r="8" spans="1:8">
      <c r="A8" s="73">
        <v>0</v>
      </c>
      <c r="B8" s="71">
        <v>0</v>
      </c>
      <c r="C8" s="16">
        <v>2</v>
      </c>
      <c r="D8" s="43">
        <v>1.7000000000000001E-2</v>
      </c>
      <c r="E8" s="43">
        <v>2.3E-2</v>
      </c>
      <c r="F8" s="43">
        <v>1.7000000000000001E-2</v>
      </c>
      <c r="G8" s="16">
        <f t="shared" ref="G8:G23" si="0">(C8*1000*AVERAGE(D8:F8))/$B$2</f>
        <v>0.42184724689165187</v>
      </c>
      <c r="H8" s="19">
        <f t="shared" ref="H8:H23" si="1">(C8*1000*STDEV(D8:F8))/$B$2</f>
        <v>7.6911669963093995E-2</v>
      </c>
    </row>
    <row r="9" spans="1:8">
      <c r="A9" s="73">
        <v>1</v>
      </c>
      <c r="B9" s="71">
        <v>2</v>
      </c>
      <c r="C9" s="16">
        <v>2</v>
      </c>
      <c r="D9" s="43">
        <v>0.02</v>
      </c>
      <c r="E9" s="43">
        <v>1.9E-2</v>
      </c>
      <c r="F9" s="43">
        <v>1.9E-2</v>
      </c>
      <c r="G9" s="16">
        <f t="shared" si="0"/>
        <v>0.42924807578448787</v>
      </c>
      <c r="H9" s="19">
        <f t="shared" si="1"/>
        <v>1.2818611660515681E-2</v>
      </c>
    </row>
    <row r="10" spans="1:8">
      <c r="A10" s="73">
        <v>2</v>
      </c>
      <c r="B10" s="71">
        <v>3</v>
      </c>
      <c r="C10" s="16">
        <v>2</v>
      </c>
      <c r="D10" s="56">
        <v>1.7999999999999999E-2</v>
      </c>
      <c r="E10" s="56">
        <v>0.02</v>
      </c>
      <c r="F10" s="56">
        <v>1.7999999999999999E-2</v>
      </c>
      <c r="G10" s="16">
        <f t="shared" si="0"/>
        <v>0.41444641799881582</v>
      </c>
      <c r="H10" s="19">
        <f t="shared" si="1"/>
        <v>2.5637223321031358E-2</v>
      </c>
    </row>
    <row r="11" spans="1:8">
      <c r="A11" s="73">
        <v>3</v>
      </c>
      <c r="B11" s="71">
        <v>5</v>
      </c>
      <c r="C11" s="16">
        <v>2</v>
      </c>
      <c r="D11" s="56">
        <v>0.02</v>
      </c>
      <c r="E11" s="56">
        <v>2.1000000000000001E-2</v>
      </c>
      <c r="F11" s="56">
        <v>0.02</v>
      </c>
      <c r="G11" s="16">
        <f t="shared" si="0"/>
        <v>0.45145056246299586</v>
      </c>
      <c r="H11" s="19">
        <f t="shared" si="1"/>
        <v>1.2818611660515681E-2</v>
      </c>
    </row>
    <row r="12" spans="1:8">
      <c r="A12" s="73">
        <v>4</v>
      </c>
      <c r="B12" s="71">
        <v>6</v>
      </c>
      <c r="C12" s="16">
        <v>2</v>
      </c>
      <c r="D12" s="56">
        <v>2.3E-2</v>
      </c>
      <c r="E12" s="56">
        <v>2.1999999999999999E-2</v>
      </c>
      <c r="F12" s="56">
        <v>2.1999999999999999E-2</v>
      </c>
      <c r="G12" s="16">
        <f t="shared" si="0"/>
        <v>0.49585553582001185</v>
      </c>
      <c r="H12" s="19">
        <f t="shared" si="1"/>
        <v>1.2818611660515679E-2</v>
      </c>
    </row>
    <row r="13" spans="1:8">
      <c r="A13" s="73">
        <v>5</v>
      </c>
      <c r="B13" s="71">
        <v>7</v>
      </c>
      <c r="C13" s="16">
        <v>2</v>
      </c>
      <c r="D13" s="56">
        <v>2.1999999999999999E-2</v>
      </c>
      <c r="E13" s="56">
        <v>2.1000000000000001E-2</v>
      </c>
      <c r="F13" s="56">
        <v>2.1999999999999999E-2</v>
      </c>
      <c r="G13" s="16">
        <f t="shared" si="0"/>
        <v>0.48105387803433985</v>
      </c>
      <c r="H13" s="19">
        <f t="shared" si="1"/>
        <v>1.2818611660515638E-2</v>
      </c>
    </row>
    <row r="14" spans="1:8">
      <c r="A14" s="73">
        <v>6</v>
      </c>
      <c r="B14" s="71">
        <v>9</v>
      </c>
      <c r="C14" s="16">
        <v>2</v>
      </c>
      <c r="D14" s="56">
        <v>2.3E-2</v>
      </c>
      <c r="E14" s="56">
        <v>2.3E-2</v>
      </c>
      <c r="F14" s="56">
        <v>2.1999999999999999E-2</v>
      </c>
      <c r="G14" s="16">
        <f t="shared" si="0"/>
        <v>0.50325636471284785</v>
      </c>
      <c r="H14" s="19">
        <f t="shared" si="1"/>
        <v>1.2818611660515681E-2</v>
      </c>
    </row>
    <row r="15" spans="1:8">
      <c r="A15" s="73">
        <v>7</v>
      </c>
      <c r="B15" s="71">
        <v>10</v>
      </c>
      <c r="C15" s="16">
        <v>2</v>
      </c>
      <c r="D15" s="56">
        <v>2.5000000000000001E-2</v>
      </c>
      <c r="E15" s="56">
        <v>2.4E-2</v>
      </c>
      <c r="F15" s="56">
        <v>2.4E-2</v>
      </c>
      <c r="G15" s="16">
        <f t="shared" si="0"/>
        <v>0.54026050917702784</v>
      </c>
      <c r="H15" s="19">
        <f t="shared" si="1"/>
        <v>1.2818611660515679E-2</v>
      </c>
    </row>
    <row r="16" spans="1:8">
      <c r="A16" s="73">
        <v>8</v>
      </c>
      <c r="B16" s="71">
        <v>11</v>
      </c>
      <c r="C16" s="16">
        <v>2</v>
      </c>
      <c r="D16" s="56">
        <v>2.4E-2</v>
      </c>
      <c r="E16" s="56">
        <v>2.4E-2</v>
      </c>
      <c r="F16" s="56">
        <v>2.4E-2</v>
      </c>
      <c r="G16" s="16">
        <f t="shared" si="0"/>
        <v>0.53285968028419195</v>
      </c>
      <c r="H16" s="19">
        <f t="shared" si="1"/>
        <v>9.4342525776429169E-17</v>
      </c>
    </row>
    <row r="17" spans="1:8">
      <c r="A17" s="73">
        <v>9</v>
      </c>
      <c r="B17" s="71">
        <v>13</v>
      </c>
      <c r="C17" s="16">
        <v>2</v>
      </c>
      <c r="D17" s="56">
        <v>2.3E-2</v>
      </c>
      <c r="E17" s="56" t="s">
        <v>151</v>
      </c>
      <c r="F17" s="56">
        <v>2.1999999999999999E-2</v>
      </c>
      <c r="G17" s="16">
        <f t="shared" si="0"/>
        <v>0.49955595026642985</v>
      </c>
      <c r="H17" s="19">
        <f t="shared" si="1"/>
        <v>1.5699528889577E-2</v>
      </c>
    </row>
    <row r="18" spans="1:8">
      <c r="A18" s="73">
        <v>10</v>
      </c>
      <c r="B18" s="71">
        <v>14</v>
      </c>
      <c r="C18" s="16">
        <v>2</v>
      </c>
      <c r="D18" s="43">
        <v>0.02</v>
      </c>
      <c r="E18" s="43">
        <v>2.1999999999999999E-2</v>
      </c>
      <c r="F18" s="43">
        <v>2.3E-2</v>
      </c>
      <c r="G18" s="16">
        <f t="shared" si="0"/>
        <v>0.48105387803433985</v>
      </c>
      <c r="H18" s="19">
        <f t="shared" si="1"/>
        <v>3.391485860683717E-2</v>
      </c>
    </row>
    <row r="19" spans="1:8">
      <c r="A19" s="73">
        <v>11</v>
      </c>
      <c r="B19" s="71">
        <v>15</v>
      </c>
      <c r="C19" s="16">
        <v>2</v>
      </c>
      <c r="D19" s="56">
        <v>2.1000000000000001E-2</v>
      </c>
      <c r="E19" s="56">
        <v>2.1000000000000001E-2</v>
      </c>
      <c r="F19" s="56">
        <v>1.7999999999999999E-2</v>
      </c>
      <c r="G19" s="16">
        <f t="shared" si="0"/>
        <v>0.44404973357015987</v>
      </c>
      <c r="H19" s="19">
        <f t="shared" si="1"/>
        <v>3.8455834981547046E-2</v>
      </c>
    </row>
    <row r="20" spans="1:8">
      <c r="A20" s="73">
        <v>12</v>
      </c>
      <c r="B20" s="71">
        <v>17</v>
      </c>
      <c r="C20" s="16">
        <v>2</v>
      </c>
      <c r="D20" s="56">
        <v>1.7000000000000001E-2</v>
      </c>
      <c r="E20" s="56">
        <v>1.7000000000000001E-2</v>
      </c>
      <c r="F20" s="56">
        <v>1.9E-2</v>
      </c>
      <c r="G20" s="16">
        <f t="shared" si="0"/>
        <v>0.39224393132030788</v>
      </c>
      <c r="H20" s="19">
        <f t="shared" si="1"/>
        <v>2.563722332103132E-2</v>
      </c>
    </row>
    <row r="21" spans="1:8">
      <c r="A21" s="73">
        <v>13</v>
      </c>
      <c r="B21" s="71">
        <v>18</v>
      </c>
      <c r="C21" s="16">
        <v>2</v>
      </c>
      <c r="D21" s="56">
        <v>0.02</v>
      </c>
      <c r="E21" s="56">
        <v>2.1000000000000001E-2</v>
      </c>
      <c r="F21" s="56">
        <v>1.6E-2</v>
      </c>
      <c r="G21" s="16">
        <f t="shared" si="0"/>
        <v>0.42184724689165187</v>
      </c>
      <c r="H21" s="19">
        <f t="shared" si="1"/>
        <v>5.8742258238556645E-2</v>
      </c>
    </row>
    <row r="22" spans="1:8">
      <c r="A22" s="73">
        <v>14</v>
      </c>
      <c r="B22" s="71">
        <v>19</v>
      </c>
      <c r="C22" s="16">
        <v>2</v>
      </c>
      <c r="D22" s="56">
        <v>2.1999999999999999E-2</v>
      </c>
      <c r="E22" s="56">
        <v>1.9E-2</v>
      </c>
      <c r="F22" s="56">
        <v>2.1000000000000001E-2</v>
      </c>
      <c r="G22" s="16">
        <f t="shared" si="0"/>
        <v>0.45885139135583186</v>
      </c>
      <c r="H22" s="19">
        <f t="shared" si="1"/>
        <v>3.3914858606837177E-2</v>
      </c>
    </row>
    <row r="23" spans="1:8">
      <c r="A23" s="73">
        <v>15</v>
      </c>
      <c r="B23" s="71">
        <v>24</v>
      </c>
      <c r="C23" s="16">
        <v>2</v>
      </c>
      <c r="D23" s="56">
        <v>3.1E-2</v>
      </c>
      <c r="E23" s="56">
        <v>2.9000000000000001E-2</v>
      </c>
      <c r="F23" s="56">
        <v>0.03</v>
      </c>
      <c r="G23" s="16">
        <f t="shared" si="0"/>
        <v>0.6660746003552398</v>
      </c>
      <c r="H23" s="19">
        <f t="shared" si="1"/>
        <v>2.2202486678507972E-2</v>
      </c>
    </row>
    <row r="24" spans="1:8">
      <c r="A24" s="73">
        <v>16</v>
      </c>
      <c r="B24" s="71">
        <v>30</v>
      </c>
      <c r="C24" s="16">
        <v>2</v>
      </c>
      <c r="D24" s="56">
        <v>4.2000000000000003E-2</v>
      </c>
      <c r="E24" s="56">
        <v>4.2999999999999997E-2</v>
      </c>
      <c r="F24" s="56">
        <v>4.2999999999999997E-2</v>
      </c>
      <c r="G24" s="16">
        <f t="shared" ref="G24:G25" si="2">(C24*1000*AVERAGE(D24:F24))/$B$2</f>
        <v>0.94730609828300771</v>
      </c>
      <c r="H24" s="19">
        <f t="shared" ref="H24:H25" si="3">(C24*1000*STDEV(D24:F24))/$B$2</f>
        <v>1.2818611660515592E-2</v>
      </c>
    </row>
    <row r="25" spans="1:8">
      <c r="A25" s="73">
        <v>17</v>
      </c>
      <c r="B25" s="71">
        <v>48</v>
      </c>
      <c r="C25" s="16">
        <v>2</v>
      </c>
      <c r="D25" s="56">
        <v>6.2E-2</v>
      </c>
      <c r="E25" s="56">
        <v>6.7000000000000004E-2</v>
      </c>
      <c r="F25" s="56">
        <v>6.9000000000000006E-2</v>
      </c>
      <c r="G25" s="16">
        <f t="shared" si="2"/>
        <v>1.4653641207815276</v>
      </c>
      <c r="H25" s="19">
        <f t="shared" si="3"/>
        <v>8.0052204162166796E-2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40" t="s">
        <v>44</v>
      </c>
      <c r="B4" s="141"/>
      <c r="C4" s="141"/>
      <c r="D4" s="141"/>
      <c r="E4" s="141"/>
      <c r="F4" s="141"/>
      <c r="G4" s="141"/>
      <c r="H4" s="142"/>
    </row>
    <row r="5" spans="1:8">
      <c r="A5" s="143" t="s">
        <v>62</v>
      </c>
      <c r="B5" s="141"/>
      <c r="C5" s="142"/>
      <c r="D5" s="144" t="s">
        <v>45</v>
      </c>
      <c r="E5" s="144" t="s">
        <v>46</v>
      </c>
      <c r="F5" s="144" t="s">
        <v>47</v>
      </c>
      <c r="G5" s="146" t="s">
        <v>63</v>
      </c>
      <c r="H5" s="146" t="s">
        <v>64</v>
      </c>
    </row>
    <row r="6" spans="1:8">
      <c r="A6" s="22" t="s">
        <v>4</v>
      </c>
      <c r="B6" s="22" t="s">
        <v>60</v>
      </c>
      <c r="C6" s="22" t="s">
        <v>19</v>
      </c>
      <c r="D6" s="145"/>
      <c r="E6" s="145"/>
      <c r="F6" s="145"/>
      <c r="G6" s="147"/>
      <c r="H6" s="147"/>
    </row>
    <row r="7" spans="1:8">
      <c r="A7" s="72">
        <v>0</v>
      </c>
      <c r="B7" s="68">
        <v>0</v>
      </c>
      <c r="C7" s="16">
        <v>2</v>
      </c>
      <c r="D7" s="57">
        <v>0</v>
      </c>
      <c r="E7" s="58">
        <v>0</v>
      </c>
      <c r="F7" s="5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3">
        <v>0</v>
      </c>
      <c r="B8" s="71">
        <v>0</v>
      </c>
      <c r="C8" s="16">
        <v>2</v>
      </c>
      <c r="D8" s="74">
        <v>0</v>
      </c>
      <c r="E8" s="75">
        <v>0</v>
      </c>
      <c r="F8" s="75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3">
        <v>1</v>
      </c>
      <c r="B9" s="71">
        <v>2</v>
      </c>
      <c r="C9" s="16">
        <v>2</v>
      </c>
      <c r="D9" s="74">
        <v>0</v>
      </c>
      <c r="E9" s="75">
        <v>0</v>
      </c>
      <c r="F9" s="75">
        <v>0</v>
      </c>
      <c r="G9" s="16">
        <f t="shared" si="0"/>
        <v>0</v>
      </c>
      <c r="H9" s="19">
        <f t="shared" si="1"/>
        <v>0</v>
      </c>
    </row>
    <row r="10" spans="1:8">
      <c r="A10" s="73">
        <v>2</v>
      </c>
      <c r="B10" s="71">
        <v>3</v>
      </c>
      <c r="C10" s="16">
        <v>2</v>
      </c>
      <c r="D10" s="74">
        <v>0</v>
      </c>
      <c r="E10" s="75">
        <v>0</v>
      </c>
      <c r="F10" s="75">
        <v>0</v>
      </c>
      <c r="G10" s="16">
        <f t="shared" si="0"/>
        <v>0</v>
      </c>
      <c r="H10" s="19">
        <f t="shared" si="1"/>
        <v>0</v>
      </c>
    </row>
    <row r="11" spans="1:8">
      <c r="A11" s="73">
        <v>3</v>
      </c>
      <c r="B11" s="71">
        <v>5</v>
      </c>
      <c r="C11" s="16">
        <v>2</v>
      </c>
      <c r="D11" s="74">
        <v>0</v>
      </c>
      <c r="E11" s="75">
        <v>0</v>
      </c>
      <c r="F11" s="75">
        <v>0</v>
      </c>
      <c r="G11" s="16">
        <f t="shared" si="0"/>
        <v>0</v>
      </c>
      <c r="H11" s="19">
        <f t="shared" si="1"/>
        <v>0</v>
      </c>
    </row>
    <row r="12" spans="1:8">
      <c r="A12" s="73">
        <v>4</v>
      </c>
      <c r="B12" s="71">
        <v>6</v>
      </c>
      <c r="C12" s="16">
        <v>2</v>
      </c>
      <c r="D12" s="74">
        <v>0</v>
      </c>
      <c r="E12" s="75">
        <v>0</v>
      </c>
      <c r="F12" s="75">
        <v>0</v>
      </c>
      <c r="G12" s="16">
        <f t="shared" si="0"/>
        <v>0</v>
      </c>
      <c r="H12" s="19">
        <f t="shared" si="1"/>
        <v>0</v>
      </c>
    </row>
    <row r="13" spans="1:8">
      <c r="A13" s="73">
        <v>5</v>
      </c>
      <c r="B13" s="71">
        <v>7</v>
      </c>
      <c r="C13" s="16">
        <v>2</v>
      </c>
      <c r="D13" s="74">
        <v>0</v>
      </c>
      <c r="E13" s="75">
        <v>0</v>
      </c>
      <c r="F13" s="75">
        <v>0</v>
      </c>
      <c r="G13" s="16">
        <f t="shared" si="0"/>
        <v>0</v>
      </c>
      <c r="H13" s="19">
        <f t="shared" si="1"/>
        <v>0</v>
      </c>
    </row>
    <row r="14" spans="1:8">
      <c r="A14" s="73">
        <v>6</v>
      </c>
      <c r="B14" s="71">
        <v>9</v>
      </c>
      <c r="C14" s="16">
        <v>2</v>
      </c>
      <c r="D14" s="74">
        <v>0</v>
      </c>
      <c r="E14" s="75">
        <v>0</v>
      </c>
      <c r="F14" s="75">
        <v>0</v>
      </c>
      <c r="G14" s="16">
        <f t="shared" si="0"/>
        <v>0</v>
      </c>
      <c r="H14" s="19">
        <f t="shared" si="1"/>
        <v>0</v>
      </c>
    </row>
    <row r="15" spans="1:8">
      <c r="A15" s="73">
        <v>7</v>
      </c>
      <c r="B15" s="71">
        <v>10</v>
      </c>
      <c r="C15" s="16">
        <v>2</v>
      </c>
      <c r="D15" s="74">
        <v>0</v>
      </c>
      <c r="E15" s="75">
        <v>0</v>
      </c>
      <c r="F15" s="75">
        <v>0</v>
      </c>
      <c r="G15" s="16">
        <f t="shared" si="0"/>
        <v>0</v>
      </c>
      <c r="H15" s="19">
        <f t="shared" si="1"/>
        <v>0</v>
      </c>
    </row>
    <row r="16" spans="1:8">
      <c r="A16" s="73">
        <v>8</v>
      </c>
      <c r="B16" s="71">
        <v>11</v>
      </c>
      <c r="C16" s="16">
        <v>2</v>
      </c>
      <c r="D16" s="74">
        <v>0</v>
      </c>
      <c r="E16" s="75">
        <v>0</v>
      </c>
      <c r="F16" s="75">
        <v>0</v>
      </c>
      <c r="G16" s="16">
        <f t="shared" si="0"/>
        <v>0</v>
      </c>
      <c r="H16" s="19">
        <f t="shared" si="1"/>
        <v>0</v>
      </c>
    </row>
    <row r="17" spans="1:8">
      <c r="A17" s="73">
        <v>9</v>
      </c>
      <c r="B17" s="71">
        <v>13</v>
      </c>
      <c r="C17" s="16">
        <v>2</v>
      </c>
      <c r="D17" s="74">
        <v>0</v>
      </c>
      <c r="E17" s="75">
        <v>0</v>
      </c>
      <c r="F17" s="75">
        <v>0</v>
      </c>
      <c r="G17" s="16">
        <f t="shared" si="0"/>
        <v>0</v>
      </c>
      <c r="H17" s="19">
        <f t="shared" si="1"/>
        <v>0</v>
      </c>
    </row>
    <row r="18" spans="1:8">
      <c r="A18" s="73">
        <v>10</v>
      </c>
      <c r="B18" s="71">
        <v>14</v>
      </c>
      <c r="C18" s="16">
        <v>2</v>
      </c>
      <c r="D18" s="74">
        <v>0</v>
      </c>
      <c r="E18" s="75">
        <v>0</v>
      </c>
      <c r="F18" s="75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3">
        <v>11</v>
      </c>
      <c r="B19" s="71">
        <v>15</v>
      </c>
      <c r="C19" s="16">
        <v>2</v>
      </c>
      <c r="D19" s="74">
        <v>0</v>
      </c>
      <c r="E19" s="75">
        <v>0</v>
      </c>
      <c r="F19" s="75">
        <v>0</v>
      </c>
      <c r="G19" s="16">
        <f t="shared" si="2"/>
        <v>0</v>
      </c>
      <c r="H19" s="19">
        <f t="shared" si="3"/>
        <v>0</v>
      </c>
    </row>
    <row r="20" spans="1:8">
      <c r="A20" s="73">
        <v>12</v>
      </c>
      <c r="B20" s="71">
        <v>17</v>
      </c>
      <c r="C20" s="16">
        <v>2</v>
      </c>
      <c r="D20" s="74">
        <v>0</v>
      </c>
      <c r="E20" s="75">
        <v>0</v>
      </c>
      <c r="F20" s="75">
        <v>0</v>
      </c>
      <c r="G20" s="16">
        <f t="shared" si="2"/>
        <v>0</v>
      </c>
      <c r="H20" s="19">
        <f t="shared" si="3"/>
        <v>0</v>
      </c>
    </row>
    <row r="21" spans="1:8">
      <c r="A21" s="73">
        <v>13</v>
      </c>
      <c r="B21" s="71">
        <v>18</v>
      </c>
      <c r="C21" s="16">
        <v>2</v>
      </c>
      <c r="D21" s="74">
        <v>0</v>
      </c>
      <c r="E21" s="75">
        <v>0</v>
      </c>
      <c r="F21" s="75">
        <v>0</v>
      </c>
      <c r="G21" s="16">
        <f t="shared" si="2"/>
        <v>0</v>
      </c>
      <c r="H21" s="19">
        <f t="shared" si="3"/>
        <v>0</v>
      </c>
    </row>
    <row r="22" spans="1:8">
      <c r="A22" s="73">
        <v>14</v>
      </c>
      <c r="B22" s="71">
        <v>19</v>
      </c>
      <c r="C22" s="16">
        <v>2</v>
      </c>
      <c r="D22" s="74">
        <v>0</v>
      </c>
      <c r="E22" s="75">
        <v>0</v>
      </c>
      <c r="F22" s="75">
        <v>0</v>
      </c>
      <c r="G22" s="16">
        <f t="shared" si="2"/>
        <v>0</v>
      </c>
      <c r="H22" s="19">
        <f t="shared" si="3"/>
        <v>0</v>
      </c>
    </row>
    <row r="23" spans="1:8">
      <c r="A23" s="73">
        <v>15</v>
      </c>
      <c r="B23" s="71">
        <v>24</v>
      </c>
      <c r="C23" s="16">
        <v>2</v>
      </c>
      <c r="D23" s="74">
        <v>0</v>
      </c>
      <c r="E23" s="75">
        <v>0</v>
      </c>
      <c r="F23" s="75">
        <v>0</v>
      </c>
      <c r="G23" s="16">
        <f t="shared" si="2"/>
        <v>0</v>
      </c>
      <c r="H23" s="19">
        <f t="shared" si="3"/>
        <v>0</v>
      </c>
    </row>
    <row r="24" spans="1:8">
      <c r="A24" s="73">
        <v>16</v>
      </c>
      <c r="B24" s="71">
        <v>30</v>
      </c>
      <c r="C24" s="16">
        <v>3</v>
      </c>
      <c r="D24" s="74">
        <v>0</v>
      </c>
      <c r="E24" s="75">
        <v>0</v>
      </c>
      <c r="F24" s="75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73">
        <v>17</v>
      </c>
      <c r="B25" s="71">
        <v>48</v>
      </c>
      <c r="C25" s="16">
        <v>4</v>
      </c>
      <c r="D25" s="74">
        <v>0</v>
      </c>
      <c r="E25" s="75">
        <v>0</v>
      </c>
      <c r="F25" s="75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E21" sqref="E21"/>
    </sheetView>
  </sheetViews>
  <sheetFormatPr baseColWidth="10" defaultColWidth="8.83203125" defaultRowHeight="14" x14ac:dyDescent="0"/>
  <cols>
    <col min="1" max="1" width="26.33203125" customWidth="1"/>
  </cols>
  <sheetData>
    <row r="1" spans="1:5">
      <c r="B1" s="31" t="s">
        <v>78</v>
      </c>
      <c r="C1" s="31" t="s">
        <v>79</v>
      </c>
    </row>
    <row r="2" spans="1:5">
      <c r="A2" s="31" t="s">
        <v>145</v>
      </c>
      <c r="B2" s="32">
        <f>Metabolites!H4-Metabolites!H21</f>
        <v>17.651667255201929</v>
      </c>
      <c r="C2" s="32">
        <f>Metabolites!I4+Metabolites!I21</f>
        <v>2.005765463865357</v>
      </c>
    </row>
    <row r="3" spans="1:5">
      <c r="A3" s="31" t="s">
        <v>124</v>
      </c>
      <c r="B3" s="32">
        <f>Metabolites!P4-Metabolites!P21</f>
        <v>11.83493214465372</v>
      </c>
      <c r="C3" s="32">
        <f>Metabolites!Q4+Metabolites!Q21</f>
        <v>2.0137926070382344</v>
      </c>
    </row>
    <row r="4" spans="1:5">
      <c r="A4" s="31" t="s">
        <v>125</v>
      </c>
      <c r="B4" s="32">
        <f>Metabolites!T21-Metabolites!T4</f>
        <v>14.481834422970064</v>
      </c>
      <c r="C4" s="32">
        <f>Metabolites!U4+Metabolites!U21</f>
        <v>0.73596523059391927</v>
      </c>
    </row>
    <row r="5" spans="1:5">
      <c r="A5" s="31" t="s">
        <v>126</v>
      </c>
      <c r="B5" s="32">
        <f>Metabolites!L21-Metabolites!L4</f>
        <v>1.146905463296054</v>
      </c>
      <c r="C5" s="32">
        <f>Metabolites!M21+Metabolites!M4</f>
        <v>0.16261194776771337</v>
      </c>
    </row>
    <row r="6" spans="1:5">
      <c r="A6" s="31" t="s">
        <v>127</v>
      </c>
      <c r="B6" s="32">
        <f>Metabolites!L43-Metabolites!L26</f>
        <v>21.614003872857751</v>
      </c>
      <c r="C6" s="32">
        <f>Metabolites!M43+Metabolites!M26</f>
        <v>1.2225738029547655</v>
      </c>
    </row>
    <row r="7" spans="1:5">
      <c r="A7" s="31" t="s">
        <v>80</v>
      </c>
      <c r="B7" s="32">
        <f>'H2'!G101</f>
        <v>0</v>
      </c>
    </row>
    <row r="8" spans="1:5">
      <c r="A8" s="31" t="s">
        <v>81</v>
      </c>
      <c r="B8" s="32">
        <f>'CO2'!G101</f>
        <v>21.792202339762483</v>
      </c>
    </row>
    <row r="9" spans="1:5">
      <c r="A9" s="31" t="s">
        <v>128</v>
      </c>
      <c r="B9" s="32">
        <f>Calculation!G19*1.5/1000</f>
        <v>2.2499999999999999E-2</v>
      </c>
    </row>
    <row r="10" spans="1:5" ht="16">
      <c r="A10" s="31" t="s">
        <v>129</v>
      </c>
      <c r="B10" s="32">
        <f>Calculation!H19*1.5/1000</f>
        <v>0</v>
      </c>
    </row>
    <row r="12" spans="1:5">
      <c r="A12" s="31" t="s">
        <v>82</v>
      </c>
      <c r="B12" s="76">
        <f>((4*$B$6)+(3*$B$5)+($B$4)+(B8))/((6*$B$2)+(2*$B$3))</f>
        <v>0.97369113556135711</v>
      </c>
    </row>
    <row r="14" spans="1:5">
      <c r="A14" s="64"/>
      <c r="B14" s="64"/>
      <c r="C14" s="64" t="s">
        <v>131</v>
      </c>
      <c r="D14" s="64" t="s">
        <v>132</v>
      </c>
    </row>
    <row r="15" spans="1:5">
      <c r="A15" s="64" t="s">
        <v>176</v>
      </c>
      <c r="B15" s="64" t="s">
        <v>133</v>
      </c>
      <c r="C15" s="65">
        <f>B2</f>
        <v>17.651667255201929</v>
      </c>
      <c r="D15" s="65">
        <f>B2</f>
        <v>17.651667255201929</v>
      </c>
      <c r="E15" s="64"/>
    </row>
    <row r="16" spans="1:5">
      <c r="A16" s="64" t="s">
        <v>177</v>
      </c>
      <c r="B16" s="64" t="s">
        <v>134</v>
      </c>
      <c r="C16" s="65">
        <f>2*C15</f>
        <v>35.303334510403857</v>
      </c>
      <c r="D16" s="65">
        <f>2*B2</f>
        <v>35.303334510403857</v>
      </c>
      <c r="E16" s="64"/>
    </row>
    <row r="17" spans="1:5">
      <c r="A17" s="64" t="s">
        <v>178</v>
      </c>
      <c r="B17" s="64" t="s">
        <v>135</v>
      </c>
      <c r="C17" s="65">
        <f>B5</f>
        <v>1.146905463296054</v>
      </c>
      <c r="D17" s="65">
        <f>B5</f>
        <v>1.146905463296054</v>
      </c>
      <c r="E17" s="64"/>
    </row>
    <row r="18" spans="1:5">
      <c r="A18" s="64" t="s">
        <v>179</v>
      </c>
      <c r="B18" s="64" t="s">
        <v>136</v>
      </c>
      <c r="C18" s="65">
        <f>B4</f>
        <v>14.481834422970064</v>
      </c>
      <c r="D18" s="65">
        <f>B4</f>
        <v>14.481834422970064</v>
      </c>
      <c r="E18" s="64"/>
    </row>
    <row r="19" spans="1:5">
      <c r="A19" s="64" t="s">
        <v>180</v>
      </c>
      <c r="B19" s="64" t="s">
        <v>137</v>
      </c>
      <c r="C19" s="82">
        <f>C16-C17-C18</f>
        <v>19.674594624137743</v>
      </c>
      <c r="D19" s="82">
        <f>B8</f>
        <v>21.792202339762483</v>
      </c>
      <c r="E19" s="64"/>
    </row>
    <row r="20" spans="1:5">
      <c r="A20" s="64" t="s">
        <v>181</v>
      </c>
      <c r="B20" s="64" t="s">
        <v>138</v>
      </c>
      <c r="C20" s="65">
        <f>B3</f>
        <v>11.83493214465372</v>
      </c>
      <c r="D20" s="65">
        <f>B3</f>
        <v>11.83493214465372</v>
      </c>
      <c r="E20" s="64"/>
    </row>
    <row r="21" spans="1:5">
      <c r="A21" s="64" t="s">
        <v>182</v>
      </c>
      <c r="B21" s="64" t="s">
        <v>140</v>
      </c>
      <c r="C21" s="65">
        <f>C16-C17+C20</f>
        <v>45.991361191761527</v>
      </c>
      <c r="D21" s="65">
        <f>B6</f>
        <v>21.614003872857751</v>
      </c>
      <c r="E21" s="64"/>
    </row>
    <row r="22" spans="1:5">
      <c r="A22" s="64" t="s">
        <v>183</v>
      </c>
      <c r="B22" s="64" t="s">
        <v>141</v>
      </c>
      <c r="C22" s="82">
        <f>C21/2</f>
        <v>22.995680595880764</v>
      </c>
      <c r="D22" s="82">
        <f>B6</f>
        <v>21.614003872857751</v>
      </c>
      <c r="E22" s="64"/>
    </row>
    <row r="23" spans="1:5">
      <c r="A23" s="64" t="s">
        <v>184</v>
      </c>
      <c r="B23" s="64"/>
      <c r="C23" s="32"/>
      <c r="E23" s="64"/>
    </row>
    <row r="24" spans="1:5">
      <c r="A24" s="64"/>
      <c r="B24" s="64"/>
      <c r="C24" s="65"/>
      <c r="D24" s="65"/>
      <c r="E24" s="64"/>
    </row>
    <row r="25" spans="1:5">
      <c r="A25" s="64"/>
      <c r="B25" s="64"/>
      <c r="C25" s="64"/>
      <c r="D25" s="64"/>
      <c r="E25" s="64"/>
    </row>
    <row r="26" spans="1:5">
      <c r="A26" s="64"/>
      <c r="B26" s="64"/>
      <c r="C26" s="64"/>
      <c r="D26" s="64"/>
      <c r="E26" s="64"/>
    </row>
    <row r="27" spans="1:5">
      <c r="A27" s="64"/>
      <c r="B27" s="64"/>
      <c r="C27" s="64"/>
      <c r="D27" s="64"/>
      <c r="E27" s="64"/>
    </row>
    <row r="28" spans="1:5">
      <c r="C28" s="64"/>
      <c r="D28" s="64"/>
      <c r="E28" s="6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15" sqref="I15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17" t="s">
        <v>4</v>
      </c>
      <c r="B1" s="117" t="s">
        <v>118</v>
      </c>
      <c r="C1" s="117" t="s">
        <v>118</v>
      </c>
      <c r="D1" s="117" t="s">
        <v>5</v>
      </c>
      <c r="E1" s="4" t="s">
        <v>7</v>
      </c>
      <c r="F1" s="4" t="s">
        <v>9</v>
      </c>
      <c r="G1" s="115" t="s">
        <v>11</v>
      </c>
      <c r="H1" s="115" t="s">
        <v>12</v>
      </c>
      <c r="I1" s="4" t="s">
        <v>13</v>
      </c>
      <c r="J1" s="4" t="s">
        <v>16</v>
      </c>
      <c r="K1" s="4" t="s">
        <v>16</v>
      </c>
    </row>
    <row r="2" spans="1:11">
      <c r="A2" s="118"/>
      <c r="B2" s="118"/>
      <c r="C2" s="118"/>
      <c r="D2" s="118"/>
      <c r="E2" s="5" t="s">
        <v>8</v>
      </c>
      <c r="F2" s="5" t="s">
        <v>10</v>
      </c>
      <c r="G2" s="115"/>
      <c r="H2" s="115"/>
      <c r="I2" s="5" t="s">
        <v>14</v>
      </c>
      <c r="J2" s="5" t="s">
        <v>17</v>
      </c>
      <c r="K2" s="5" t="s">
        <v>142</v>
      </c>
    </row>
    <row r="3" spans="1:11">
      <c r="A3" s="34" t="s">
        <v>6</v>
      </c>
      <c r="B3" s="33">
        <v>-10</v>
      </c>
      <c r="C3" s="33">
        <f>B3</f>
        <v>-10</v>
      </c>
      <c r="D3" s="13">
        <f>C3/60</f>
        <v>-0.16666666666666666</v>
      </c>
      <c r="E3" s="3">
        <v>56</v>
      </c>
      <c r="F3" s="1">
        <f>E3</f>
        <v>56</v>
      </c>
      <c r="G3" s="1">
        <v>0</v>
      </c>
      <c r="H3" s="1">
        <v>0</v>
      </c>
      <c r="I3" s="1">
        <f>$F$23+G3+H3</f>
        <v>1500</v>
      </c>
      <c r="J3" s="13">
        <f>F3*1500/I3</f>
        <v>56</v>
      </c>
      <c r="K3" s="13">
        <f>$F$24-J3</f>
        <v>1519</v>
      </c>
    </row>
    <row r="4" spans="1:11">
      <c r="A4" s="1">
        <v>0</v>
      </c>
      <c r="B4" s="33">
        <v>10</v>
      </c>
      <c r="C4" s="33">
        <f>B4</f>
        <v>10</v>
      </c>
      <c r="D4" s="13">
        <f t="shared" ref="D4:D19" si="0">C4/60</f>
        <v>0.16666666666666666</v>
      </c>
      <c r="E4" s="1">
        <v>46</v>
      </c>
      <c r="F4" s="1">
        <f>E4+F3</f>
        <v>102</v>
      </c>
      <c r="G4" s="41">
        <v>0</v>
      </c>
      <c r="H4" s="1">
        <v>0</v>
      </c>
      <c r="I4" s="1">
        <f t="shared" ref="I4:I14" si="1">$F$24-F3+G4+H4</f>
        <v>1519</v>
      </c>
      <c r="J4" s="13">
        <f>E4*K3/I4</f>
        <v>46</v>
      </c>
      <c r="K4" s="13">
        <f>K3-J4</f>
        <v>1473</v>
      </c>
    </row>
    <row r="5" spans="1:11">
      <c r="A5" s="1">
        <v>1</v>
      </c>
      <c r="B5" s="33">
        <v>110</v>
      </c>
      <c r="C5" s="33">
        <f>C4+B5</f>
        <v>120</v>
      </c>
      <c r="D5" s="13">
        <f t="shared" si="0"/>
        <v>2</v>
      </c>
      <c r="E5" s="1">
        <v>49</v>
      </c>
      <c r="F5" s="1">
        <f t="shared" ref="F5:F18" si="2">E5+F4</f>
        <v>151</v>
      </c>
      <c r="G5" s="41">
        <v>0</v>
      </c>
      <c r="H5" s="1">
        <v>0</v>
      </c>
      <c r="I5" s="41">
        <f t="shared" si="1"/>
        <v>1473</v>
      </c>
      <c r="J5" s="13">
        <f t="shared" ref="J5:J13" si="3">E5*K4/I5</f>
        <v>49</v>
      </c>
      <c r="K5" s="13">
        <f>K4-J5</f>
        <v>1424</v>
      </c>
    </row>
    <row r="6" spans="1:11">
      <c r="A6" s="1">
        <v>2</v>
      </c>
      <c r="B6" s="33">
        <v>80</v>
      </c>
      <c r="C6" s="33">
        <f>C5+B6</f>
        <v>200</v>
      </c>
      <c r="D6" s="13">
        <f t="shared" si="0"/>
        <v>3.3333333333333335</v>
      </c>
      <c r="E6" s="1">
        <v>47</v>
      </c>
      <c r="F6" s="1">
        <f t="shared" si="2"/>
        <v>198</v>
      </c>
      <c r="G6" s="41">
        <v>0</v>
      </c>
      <c r="H6" s="23">
        <v>0</v>
      </c>
      <c r="I6" s="41">
        <f t="shared" si="1"/>
        <v>1424</v>
      </c>
      <c r="J6" s="13">
        <f>E6*K5/I6</f>
        <v>47</v>
      </c>
      <c r="K6" s="13">
        <f t="shared" ref="K6:K13" si="4">K5-J6</f>
        <v>1377</v>
      </c>
    </row>
    <row r="7" spans="1:11">
      <c r="A7" s="1">
        <v>3</v>
      </c>
      <c r="B7" s="33">
        <v>80</v>
      </c>
      <c r="C7" s="33">
        <f>C6+B7</f>
        <v>280</v>
      </c>
      <c r="D7" s="13">
        <f t="shared" si="0"/>
        <v>4.666666666666667</v>
      </c>
      <c r="E7" s="1">
        <v>53</v>
      </c>
      <c r="F7" s="1">
        <f t="shared" si="2"/>
        <v>251</v>
      </c>
      <c r="G7" s="41">
        <v>1</v>
      </c>
      <c r="H7" s="23">
        <v>0</v>
      </c>
      <c r="I7" s="41">
        <f t="shared" si="1"/>
        <v>1378</v>
      </c>
      <c r="J7" s="13">
        <f>E7*K6/I7</f>
        <v>52.96153846153846</v>
      </c>
      <c r="K7" s="13">
        <f>K6-J7</f>
        <v>1324.0384615384614</v>
      </c>
    </row>
    <row r="8" spans="1:11">
      <c r="A8" s="1">
        <v>4</v>
      </c>
      <c r="B8" s="33">
        <v>80</v>
      </c>
      <c r="C8" s="33">
        <f t="shared" ref="C8:C18" si="5">C7+B8</f>
        <v>360</v>
      </c>
      <c r="D8" s="13">
        <f t="shared" si="0"/>
        <v>6</v>
      </c>
      <c r="E8" s="1">
        <v>44</v>
      </c>
      <c r="F8" s="1">
        <f t="shared" si="2"/>
        <v>295</v>
      </c>
      <c r="G8" s="41">
        <v>1</v>
      </c>
      <c r="H8" s="23">
        <v>0</v>
      </c>
      <c r="I8" s="41">
        <f t="shared" si="1"/>
        <v>1325</v>
      </c>
      <c r="J8" s="13">
        <f t="shared" si="3"/>
        <v>43.96806966618287</v>
      </c>
      <c r="K8" s="13">
        <f t="shared" si="4"/>
        <v>1280.0703918722786</v>
      </c>
    </row>
    <row r="9" spans="1:11">
      <c r="A9" s="1">
        <v>5</v>
      </c>
      <c r="B9" s="33">
        <v>80</v>
      </c>
      <c r="C9" s="33">
        <f t="shared" si="5"/>
        <v>440</v>
      </c>
      <c r="D9" s="13">
        <f t="shared" si="0"/>
        <v>7.333333333333333</v>
      </c>
      <c r="E9" s="1">
        <v>50</v>
      </c>
      <c r="F9" s="1">
        <f t="shared" si="2"/>
        <v>345</v>
      </c>
      <c r="G9" s="41">
        <v>1</v>
      </c>
      <c r="H9" s="23">
        <v>0</v>
      </c>
      <c r="I9" s="41">
        <f t="shared" si="1"/>
        <v>1281</v>
      </c>
      <c r="J9" s="13">
        <f t="shared" si="3"/>
        <v>49.963715529753259</v>
      </c>
      <c r="K9" s="13">
        <f t="shared" si="4"/>
        <v>1230.1066763425254</v>
      </c>
    </row>
    <row r="10" spans="1:11">
      <c r="A10" s="1">
        <v>6</v>
      </c>
      <c r="B10" s="33">
        <v>80</v>
      </c>
      <c r="C10" s="33">
        <f t="shared" si="5"/>
        <v>520</v>
      </c>
      <c r="D10" s="13">
        <f t="shared" si="0"/>
        <v>8.6666666666666661</v>
      </c>
      <c r="E10" s="1">
        <v>50</v>
      </c>
      <c r="F10" s="1">
        <f t="shared" si="2"/>
        <v>395</v>
      </c>
      <c r="G10" s="41">
        <v>1</v>
      </c>
      <c r="H10" s="23">
        <v>0</v>
      </c>
      <c r="I10" s="41">
        <f t="shared" si="1"/>
        <v>1231</v>
      </c>
      <c r="J10" s="13">
        <f t="shared" si="3"/>
        <v>49.963715529753259</v>
      </c>
      <c r="K10" s="13">
        <f t="shared" si="4"/>
        <v>1180.1429608127721</v>
      </c>
    </row>
    <row r="11" spans="1:11">
      <c r="A11" s="1">
        <v>7</v>
      </c>
      <c r="B11" s="33">
        <v>80</v>
      </c>
      <c r="C11" s="33">
        <f t="shared" si="5"/>
        <v>600</v>
      </c>
      <c r="D11" s="13">
        <f t="shared" si="0"/>
        <v>10</v>
      </c>
      <c r="E11" s="1">
        <v>53</v>
      </c>
      <c r="F11" s="1">
        <f t="shared" si="2"/>
        <v>448</v>
      </c>
      <c r="G11" s="41">
        <v>1</v>
      </c>
      <c r="H11" s="23">
        <v>0</v>
      </c>
      <c r="I11" s="41">
        <f t="shared" si="1"/>
        <v>1181</v>
      </c>
      <c r="J11" s="13">
        <f t="shared" si="3"/>
        <v>52.96153846153846</v>
      </c>
      <c r="K11" s="13">
        <f t="shared" si="4"/>
        <v>1127.1814223512336</v>
      </c>
    </row>
    <row r="12" spans="1:11">
      <c r="A12" s="1">
        <v>8</v>
      </c>
      <c r="B12" s="33">
        <v>80</v>
      </c>
      <c r="C12" s="33">
        <f t="shared" si="5"/>
        <v>680</v>
      </c>
      <c r="D12" s="13">
        <f t="shared" si="0"/>
        <v>11.333333333333334</v>
      </c>
      <c r="E12" s="1">
        <v>46</v>
      </c>
      <c r="F12" s="1">
        <f t="shared" si="2"/>
        <v>494</v>
      </c>
      <c r="G12" s="41">
        <v>2</v>
      </c>
      <c r="H12" s="23">
        <v>0</v>
      </c>
      <c r="I12" s="41">
        <f t="shared" si="1"/>
        <v>1129</v>
      </c>
      <c r="J12" s="13">
        <f t="shared" si="3"/>
        <v>45.925903833619792</v>
      </c>
      <c r="K12" s="13">
        <f t="shared" si="4"/>
        <v>1081.2555185176138</v>
      </c>
    </row>
    <row r="13" spans="1:11">
      <c r="A13" s="1">
        <v>9</v>
      </c>
      <c r="B13" s="33">
        <v>80</v>
      </c>
      <c r="C13" s="33">
        <f t="shared" si="5"/>
        <v>760</v>
      </c>
      <c r="D13" s="13">
        <f t="shared" si="0"/>
        <v>12.666666666666666</v>
      </c>
      <c r="E13" s="1">
        <v>47</v>
      </c>
      <c r="F13" s="1">
        <f t="shared" si="2"/>
        <v>541</v>
      </c>
      <c r="G13" s="41">
        <v>3</v>
      </c>
      <c r="H13" s="23">
        <v>0</v>
      </c>
      <c r="I13" s="41">
        <f t="shared" si="1"/>
        <v>1084</v>
      </c>
      <c r="J13" s="13">
        <f t="shared" si="3"/>
        <v>46.88100495417698</v>
      </c>
      <c r="K13" s="13">
        <f t="shared" si="4"/>
        <v>1034.3745135634369</v>
      </c>
    </row>
    <row r="14" spans="1:11">
      <c r="A14" s="38">
        <v>10</v>
      </c>
      <c r="B14" s="33">
        <v>80</v>
      </c>
      <c r="C14" s="33">
        <f t="shared" si="5"/>
        <v>840</v>
      </c>
      <c r="D14" s="13">
        <f t="shared" si="0"/>
        <v>14</v>
      </c>
      <c r="E14" s="3">
        <v>45</v>
      </c>
      <c r="F14" s="38">
        <f t="shared" si="2"/>
        <v>586</v>
      </c>
      <c r="G14" s="41">
        <v>5</v>
      </c>
      <c r="H14" s="41">
        <v>0</v>
      </c>
      <c r="I14" s="41">
        <f t="shared" si="1"/>
        <v>1039</v>
      </c>
      <c r="J14" s="13">
        <f t="shared" ref="J14:J19" si="6">E14*K13/I14</f>
        <v>44.799666131236442</v>
      </c>
      <c r="K14" s="13">
        <f t="shared" ref="K14:K19" si="7">K13-J14</f>
        <v>989.5748474322005</v>
      </c>
    </row>
    <row r="15" spans="1:11">
      <c r="A15" s="38">
        <v>11</v>
      </c>
      <c r="B15" s="33">
        <v>80</v>
      </c>
      <c r="C15" s="33">
        <f t="shared" si="5"/>
        <v>920</v>
      </c>
      <c r="D15" s="13">
        <f t="shared" si="0"/>
        <v>15.333333333333334</v>
      </c>
      <c r="E15" s="38">
        <v>38</v>
      </c>
      <c r="F15" s="38">
        <f t="shared" si="2"/>
        <v>624</v>
      </c>
      <c r="G15" s="41">
        <v>8</v>
      </c>
      <c r="H15" s="41">
        <v>0</v>
      </c>
      <c r="I15" s="41">
        <f>$F$24-F14+G15+H15</f>
        <v>997</v>
      </c>
      <c r="J15" s="13">
        <f t="shared" si="6"/>
        <v>37.716995187987585</v>
      </c>
      <c r="K15" s="13">
        <f t="shared" si="7"/>
        <v>951.85785224421295</v>
      </c>
    </row>
    <row r="16" spans="1:11">
      <c r="A16" s="38">
        <v>12</v>
      </c>
      <c r="B16" s="33">
        <v>80</v>
      </c>
      <c r="C16" s="33">
        <f t="shared" si="5"/>
        <v>1000</v>
      </c>
      <c r="D16" s="13">
        <f t="shared" si="0"/>
        <v>16.666666666666668</v>
      </c>
      <c r="E16" s="38">
        <v>39</v>
      </c>
      <c r="F16" s="38">
        <f t="shared" si="2"/>
        <v>663</v>
      </c>
      <c r="G16" s="41">
        <v>9</v>
      </c>
      <c r="H16" s="41">
        <v>0</v>
      </c>
      <c r="I16" s="41">
        <f>$F$24-F15+G16+H16+50</f>
        <v>1010</v>
      </c>
      <c r="J16" s="13">
        <f t="shared" si="6"/>
        <v>36.754907165865646</v>
      </c>
      <c r="K16" s="13">
        <f>K15-J16</f>
        <v>915.10294507834726</v>
      </c>
    </row>
    <row r="17" spans="1:11">
      <c r="A17" s="38">
        <v>13</v>
      </c>
      <c r="B17" s="33">
        <v>80</v>
      </c>
      <c r="C17" s="33">
        <f t="shared" si="5"/>
        <v>1080</v>
      </c>
      <c r="D17" s="13">
        <f t="shared" si="0"/>
        <v>18</v>
      </c>
      <c r="E17" s="38">
        <v>37</v>
      </c>
      <c r="F17" s="38">
        <f t="shared" si="2"/>
        <v>700</v>
      </c>
      <c r="G17" s="41">
        <v>11</v>
      </c>
      <c r="H17" s="41">
        <v>0</v>
      </c>
      <c r="I17" s="41">
        <f>$F$24-F16+G17+H17+50</f>
        <v>973</v>
      </c>
      <c r="J17" s="13">
        <f t="shared" si="6"/>
        <v>34.798364817984428</v>
      </c>
      <c r="K17" s="13">
        <f t="shared" si="7"/>
        <v>880.30458026036285</v>
      </c>
    </row>
    <row r="18" spans="1:11">
      <c r="A18" s="38">
        <v>14</v>
      </c>
      <c r="B18" s="33">
        <v>80</v>
      </c>
      <c r="C18" s="33">
        <f t="shared" si="5"/>
        <v>1160</v>
      </c>
      <c r="D18" s="13">
        <f t="shared" si="0"/>
        <v>19.333333333333332</v>
      </c>
      <c r="E18" s="38">
        <v>47</v>
      </c>
      <c r="F18" s="38">
        <f t="shared" si="2"/>
        <v>747</v>
      </c>
      <c r="G18" s="41">
        <v>12</v>
      </c>
      <c r="H18" s="41">
        <v>0</v>
      </c>
      <c r="I18" s="41">
        <f t="shared" ref="I18:I21" si="8">$F$24-F17+G18+H18+50</f>
        <v>937</v>
      </c>
      <c r="J18" s="13">
        <f t="shared" si="6"/>
        <v>44.156152905269003</v>
      </c>
      <c r="K18" s="13">
        <f t="shared" si="7"/>
        <v>836.14842735509387</v>
      </c>
    </row>
    <row r="19" spans="1:11">
      <c r="A19" s="38">
        <v>15</v>
      </c>
      <c r="B19" s="33">
        <v>280</v>
      </c>
      <c r="C19" s="33">
        <f>C18+B19</f>
        <v>1440</v>
      </c>
      <c r="D19" s="13">
        <f t="shared" si="0"/>
        <v>24</v>
      </c>
      <c r="E19" s="38">
        <v>38</v>
      </c>
      <c r="F19" s="38">
        <f>E19+F18</f>
        <v>785</v>
      </c>
      <c r="G19" s="41">
        <v>15</v>
      </c>
      <c r="H19" s="41">
        <v>0</v>
      </c>
      <c r="I19" s="41">
        <f t="shared" si="8"/>
        <v>893</v>
      </c>
      <c r="J19" s="13">
        <f t="shared" si="6"/>
        <v>35.58078414276995</v>
      </c>
      <c r="K19" s="13">
        <f t="shared" si="7"/>
        <v>800.5676432123239</v>
      </c>
    </row>
    <row r="20" spans="1:11">
      <c r="A20" s="41">
        <v>16</v>
      </c>
      <c r="B20" s="33">
        <v>360</v>
      </c>
      <c r="C20" s="33">
        <f>C19+B20</f>
        <v>1800</v>
      </c>
      <c r="D20" s="13">
        <f t="shared" ref="D20:D21" si="9">C20/60</f>
        <v>30</v>
      </c>
      <c r="E20" s="41">
        <v>42</v>
      </c>
      <c r="F20" s="41">
        <f t="shared" ref="F20:F21" si="10">E20+F19</f>
        <v>827</v>
      </c>
      <c r="G20" s="41">
        <v>16</v>
      </c>
      <c r="H20" s="41">
        <v>0</v>
      </c>
      <c r="I20" s="41">
        <f t="shared" si="8"/>
        <v>856</v>
      </c>
      <c r="J20" s="13">
        <f t="shared" ref="J20:J21" si="11">E20*K19/I20</f>
        <v>39.28018810153926</v>
      </c>
      <c r="K20" s="13">
        <f t="shared" ref="K20:K21" si="12">K19-J20</f>
        <v>761.28745511078466</v>
      </c>
    </row>
    <row r="21" spans="1:11">
      <c r="A21" s="41">
        <v>17</v>
      </c>
      <c r="B21" s="33">
        <v>1080</v>
      </c>
      <c r="C21" s="33">
        <f>C20+B21</f>
        <v>2880</v>
      </c>
      <c r="D21" s="13">
        <f t="shared" si="9"/>
        <v>48</v>
      </c>
      <c r="E21" s="41">
        <v>46</v>
      </c>
      <c r="F21" s="41">
        <f t="shared" si="10"/>
        <v>873</v>
      </c>
      <c r="G21" s="41">
        <v>17</v>
      </c>
      <c r="H21" s="41">
        <v>0</v>
      </c>
      <c r="I21" s="41">
        <f t="shared" si="8"/>
        <v>815</v>
      </c>
      <c r="J21" s="13">
        <f t="shared" si="11"/>
        <v>42.968371699504409</v>
      </c>
      <c r="K21" s="13">
        <f t="shared" si="12"/>
        <v>718.3190834112803</v>
      </c>
    </row>
    <row r="23" spans="1:11">
      <c r="A23" s="112" t="s">
        <v>15</v>
      </c>
      <c r="B23" s="113"/>
      <c r="C23" s="113"/>
      <c r="D23" s="113"/>
      <c r="E23" s="114"/>
      <c r="F23" s="1">
        <v>1500</v>
      </c>
    </row>
    <row r="24" spans="1:11">
      <c r="A24" s="112" t="s">
        <v>156</v>
      </c>
      <c r="B24" s="113"/>
      <c r="C24" s="113"/>
      <c r="D24" s="113"/>
      <c r="E24" s="114"/>
      <c r="F24" s="41">
        <v>1575</v>
      </c>
    </row>
    <row r="27" spans="1:11">
      <c r="A27" s="116" t="s">
        <v>150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</sheetData>
  <mergeCells count="9">
    <mergeCell ref="A27:K27"/>
    <mergeCell ref="A24:E24"/>
    <mergeCell ref="A1:A2"/>
    <mergeCell ref="D1:D2"/>
    <mergeCell ref="G1:G2"/>
    <mergeCell ref="H1:H2"/>
    <mergeCell ref="A23:E23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3" sqref="A3:D2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17" t="s">
        <v>4</v>
      </c>
      <c r="B1" s="117" t="s">
        <v>118</v>
      </c>
      <c r="C1" s="117" t="s">
        <v>118</v>
      </c>
      <c r="D1" s="117" t="s">
        <v>5</v>
      </c>
      <c r="E1" s="122" t="s">
        <v>18</v>
      </c>
      <c r="F1" s="122"/>
      <c r="G1" s="122"/>
      <c r="H1" s="122"/>
      <c r="I1" s="122" t="s">
        <v>20</v>
      </c>
      <c r="J1" s="122"/>
      <c r="K1" s="122"/>
      <c r="L1" s="122"/>
      <c r="M1" s="122" t="s">
        <v>21</v>
      </c>
      <c r="N1" s="122"/>
      <c r="O1" s="122"/>
      <c r="P1" s="122"/>
      <c r="Q1" s="39" t="s">
        <v>22</v>
      </c>
      <c r="R1" s="39" t="s">
        <v>22</v>
      </c>
      <c r="S1" s="39" t="s">
        <v>22</v>
      </c>
    </row>
    <row r="2" spans="1:19">
      <c r="A2" s="118"/>
      <c r="B2" s="118"/>
      <c r="C2" s="118"/>
      <c r="D2" s="118"/>
      <c r="E2" s="42" t="s">
        <v>19</v>
      </c>
      <c r="F2" s="42" t="s">
        <v>68</v>
      </c>
      <c r="G2" s="42" t="s">
        <v>119</v>
      </c>
      <c r="H2" s="42" t="s">
        <v>70</v>
      </c>
      <c r="I2" s="42" t="s">
        <v>19</v>
      </c>
      <c r="J2" s="42" t="s">
        <v>68</v>
      </c>
      <c r="K2" s="42" t="s">
        <v>69</v>
      </c>
      <c r="L2" s="42" t="s">
        <v>70</v>
      </c>
      <c r="M2" s="42" t="s">
        <v>19</v>
      </c>
      <c r="N2" s="42" t="s">
        <v>68</v>
      </c>
      <c r="O2" s="42" t="s">
        <v>69</v>
      </c>
      <c r="P2" s="42" t="s">
        <v>71</v>
      </c>
      <c r="Q2" s="40" t="s">
        <v>70</v>
      </c>
      <c r="R2" s="40" t="s">
        <v>23</v>
      </c>
      <c r="S2" s="40" t="s">
        <v>72</v>
      </c>
    </row>
    <row r="3" spans="1:19" s="6" customFormat="1">
      <c r="A3" s="41" t="s">
        <v>6</v>
      </c>
      <c r="B3" s="33">
        <v>-10</v>
      </c>
      <c r="C3" s="33">
        <f>B3</f>
        <v>-10</v>
      </c>
      <c r="D3" s="13">
        <f>C3/60</f>
        <v>-0.16666666666666666</v>
      </c>
      <c r="Q3" s="119"/>
      <c r="R3" s="120"/>
      <c r="S3" s="121"/>
    </row>
    <row r="4" spans="1:19">
      <c r="A4" s="41">
        <v>0</v>
      </c>
      <c r="B4" s="33">
        <v>10</v>
      </c>
      <c r="C4" s="33">
        <f>B4</f>
        <v>10</v>
      </c>
      <c r="D4" s="13">
        <f t="shared" ref="D4:D21" si="0">C4/60</f>
        <v>0.16666666666666666</v>
      </c>
      <c r="Q4" s="46" t="e">
        <f>AVERAGE('Flow cytometer'!P4,'Flow cytometer'!L4,'Flow cytometer'!H4)*Calculation!K4/Calculation!M3</f>
        <v>#DIV/0!</v>
      </c>
      <c r="R4" s="46" t="e">
        <f>STDEV('Flow cytometer'!P4,'Flow cytometer'!L4,'Flow cytometer'!H4)*Calculation!K4/Calculation!M3</f>
        <v>#DIV/0!</v>
      </c>
      <c r="S4" s="47" t="e">
        <f t="shared" ref="S4:S19" si="1">LOG(Q4)</f>
        <v>#DIV/0!</v>
      </c>
    </row>
    <row r="5" spans="1:19">
      <c r="A5" s="41">
        <v>1</v>
      </c>
      <c r="B5" s="33">
        <v>110</v>
      </c>
      <c r="C5" s="33">
        <f>C4+B5</f>
        <v>120</v>
      </c>
      <c r="D5" s="13">
        <f t="shared" si="0"/>
        <v>2</v>
      </c>
      <c r="Q5" s="46" t="e">
        <f>AVERAGE('Flow cytometer'!P5,'Flow cytometer'!L5,'Flow cytometer'!H5)*Calculation!K5/Calculation!M4</f>
        <v>#DIV/0!</v>
      </c>
      <c r="R5" s="46" t="e">
        <f>STDEV('Flow cytometer'!P5,'Flow cytometer'!L5,'Flow cytometer'!H5)*Calculation!K5/Calculation!M4</f>
        <v>#DIV/0!</v>
      </c>
      <c r="S5" s="47" t="e">
        <f t="shared" si="1"/>
        <v>#DIV/0!</v>
      </c>
    </row>
    <row r="6" spans="1:19">
      <c r="A6" s="41">
        <v>2</v>
      </c>
      <c r="B6" s="33">
        <v>80</v>
      </c>
      <c r="C6" s="33">
        <f>C5+B6</f>
        <v>200</v>
      </c>
      <c r="D6" s="13">
        <f t="shared" si="0"/>
        <v>3.3333333333333335</v>
      </c>
      <c r="Q6" s="46" t="e">
        <f>AVERAGE('Flow cytometer'!P6,'Flow cytometer'!L6,'Flow cytometer'!H6)*Calculation!K6/Calculation!M5</f>
        <v>#DIV/0!</v>
      </c>
      <c r="R6" s="46" t="e">
        <f>STDEV('Flow cytometer'!P6,'Flow cytometer'!L6,'Flow cytometer'!H6)*Calculation!K6/Calculation!M5</f>
        <v>#DIV/0!</v>
      </c>
      <c r="S6" s="47" t="e">
        <f t="shared" si="1"/>
        <v>#DIV/0!</v>
      </c>
    </row>
    <row r="7" spans="1:19">
      <c r="A7" s="41">
        <v>3</v>
      </c>
      <c r="B7" s="33">
        <v>80</v>
      </c>
      <c r="C7" s="33">
        <f>C6+B7</f>
        <v>280</v>
      </c>
      <c r="D7" s="13">
        <f t="shared" si="0"/>
        <v>4.666666666666667</v>
      </c>
      <c r="Q7" s="46" t="e">
        <f>AVERAGE('Flow cytometer'!P7,'Flow cytometer'!L7,'Flow cytometer'!H7)*Calculation!K7/Calculation!M6</f>
        <v>#DIV/0!</v>
      </c>
      <c r="R7" s="46" t="e">
        <f>STDEV('Flow cytometer'!P7,'Flow cytometer'!L7,'Flow cytometer'!H7)*Calculation!K7/Calculation!M6</f>
        <v>#DIV/0!</v>
      </c>
      <c r="S7" s="47" t="e">
        <f t="shared" si="1"/>
        <v>#DIV/0!</v>
      </c>
    </row>
    <row r="8" spans="1:19">
      <c r="A8" s="41">
        <v>4</v>
      </c>
      <c r="B8" s="33">
        <v>80</v>
      </c>
      <c r="C8" s="33">
        <f t="shared" ref="C8:C18" si="2">C7+B8</f>
        <v>360</v>
      </c>
      <c r="D8" s="13">
        <f t="shared" si="0"/>
        <v>6</v>
      </c>
      <c r="Q8" s="46" t="e">
        <f>AVERAGE('Flow cytometer'!P8,'Flow cytometer'!L8,'Flow cytometer'!H8)*Calculation!K8/Calculation!M7</f>
        <v>#DIV/0!</v>
      </c>
      <c r="R8" s="46" t="e">
        <f>STDEV('Flow cytometer'!P8,'Flow cytometer'!L8,'Flow cytometer'!H8)*Calculation!K8/Calculation!M7</f>
        <v>#DIV/0!</v>
      </c>
      <c r="S8" s="47" t="e">
        <f t="shared" si="1"/>
        <v>#DIV/0!</v>
      </c>
    </row>
    <row r="9" spans="1:19">
      <c r="A9" s="41">
        <v>5</v>
      </c>
      <c r="B9" s="33">
        <v>80</v>
      </c>
      <c r="C9" s="33">
        <f t="shared" si="2"/>
        <v>440</v>
      </c>
      <c r="D9" s="13">
        <f t="shared" si="0"/>
        <v>7.333333333333333</v>
      </c>
      <c r="Q9" s="46" t="e">
        <f>AVERAGE('Flow cytometer'!P9,'Flow cytometer'!L9,'Flow cytometer'!H9)*Calculation!K9/Calculation!M8</f>
        <v>#DIV/0!</v>
      </c>
      <c r="R9" s="46" t="e">
        <f>STDEV('Flow cytometer'!P9,'Flow cytometer'!L9,'Flow cytometer'!H9)*Calculation!K9/Calculation!M8</f>
        <v>#DIV/0!</v>
      </c>
      <c r="S9" s="47" t="e">
        <f t="shared" si="1"/>
        <v>#DIV/0!</v>
      </c>
    </row>
    <row r="10" spans="1:19">
      <c r="A10" s="41">
        <v>6</v>
      </c>
      <c r="B10" s="33">
        <v>80</v>
      </c>
      <c r="C10" s="33">
        <f t="shared" si="2"/>
        <v>520</v>
      </c>
      <c r="D10" s="13">
        <f t="shared" si="0"/>
        <v>8.6666666666666661</v>
      </c>
      <c r="Q10" s="46" t="e">
        <f>AVERAGE('Flow cytometer'!P10,'Flow cytometer'!L10,'Flow cytometer'!H10)*Calculation!K10/Calculation!M9</f>
        <v>#DIV/0!</v>
      </c>
      <c r="R10" s="46" t="e">
        <f>STDEV('Flow cytometer'!P10,'Flow cytometer'!L10,'Flow cytometer'!H10)*Calculation!K10/Calculation!M9</f>
        <v>#DIV/0!</v>
      </c>
      <c r="S10" s="47" t="e">
        <f t="shared" si="1"/>
        <v>#DIV/0!</v>
      </c>
    </row>
    <row r="11" spans="1:19">
      <c r="A11" s="41">
        <v>7</v>
      </c>
      <c r="B11" s="33">
        <v>80</v>
      </c>
      <c r="C11" s="33">
        <f t="shared" si="2"/>
        <v>600</v>
      </c>
      <c r="D11" s="13">
        <f t="shared" si="0"/>
        <v>10</v>
      </c>
      <c r="Q11" s="46" t="e">
        <f>AVERAGE('Flow cytometer'!P11,'Flow cytometer'!L11,'Flow cytometer'!H11)*Calculation!K11/Calculation!M10</f>
        <v>#DIV/0!</v>
      </c>
      <c r="R11" s="46" t="e">
        <f>STDEV('Flow cytometer'!P11,'Flow cytometer'!L11,'Flow cytometer'!H11)*Calculation!K11/Calculation!M10</f>
        <v>#DIV/0!</v>
      </c>
      <c r="S11" s="47" t="e">
        <f t="shared" si="1"/>
        <v>#DIV/0!</v>
      </c>
    </row>
    <row r="12" spans="1:19">
      <c r="A12" s="41">
        <v>8</v>
      </c>
      <c r="B12" s="33">
        <v>80</v>
      </c>
      <c r="C12" s="33">
        <f t="shared" si="2"/>
        <v>680</v>
      </c>
      <c r="D12" s="13">
        <f t="shared" si="0"/>
        <v>11.333333333333334</v>
      </c>
      <c r="Q12" s="46" t="e">
        <f>AVERAGE('Flow cytometer'!P12,'Flow cytometer'!L12,'Flow cytometer'!H12)*Calculation!K12/Calculation!M11</f>
        <v>#DIV/0!</v>
      </c>
      <c r="R12" s="46" t="e">
        <f>STDEV('Flow cytometer'!P12,'Flow cytometer'!L12,'Flow cytometer'!H12)*Calculation!K12/Calculation!M11</f>
        <v>#DIV/0!</v>
      </c>
      <c r="S12" s="47" t="e">
        <f t="shared" si="1"/>
        <v>#DIV/0!</v>
      </c>
    </row>
    <row r="13" spans="1:19">
      <c r="A13" s="41">
        <v>9</v>
      </c>
      <c r="B13" s="33">
        <v>80</v>
      </c>
      <c r="C13" s="33">
        <f t="shared" si="2"/>
        <v>760</v>
      </c>
      <c r="D13" s="13">
        <f t="shared" si="0"/>
        <v>12.666666666666666</v>
      </c>
      <c r="Q13" s="46" t="e">
        <f>AVERAGE('Flow cytometer'!P13,'Flow cytometer'!L13,'Flow cytometer'!H13)*Calculation!K13/Calculation!M12</f>
        <v>#DIV/0!</v>
      </c>
      <c r="R13" s="46" t="e">
        <f>STDEV('Flow cytometer'!P13,'Flow cytometer'!L13,'Flow cytometer'!H13)*Calculation!K13/Calculation!M12</f>
        <v>#DIV/0!</v>
      </c>
      <c r="S13" s="47" t="e">
        <f t="shared" si="1"/>
        <v>#DIV/0!</v>
      </c>
    </row>
    <row r="14" spans="1:19">
      <c r="A14" s="41">
        <v>10</v>
      </c>
      <c r="B14" s="33">
        <v>80</v>
      </c>
      <c r="C14" s="33">
        <f t="shared" si="2"/>
        <v>840</v>
      </c>
      <c r="D14" s="13">
        <f t="shared" si="0"/>
        <v>14</v>
      </c>
      <c r="Q14" s="46" t="e">
        <f>AVERAGE('Flow cytometer'!P14,'Flow cytometer'!L14,'Flow cytometer'!H14)*Calculation!K14/Calculation!M13</f>
        <v>#DIV/0!</v>
      </c>
      <c r="R14" s="46" t="e">
        <f>STDEV('Flow cytometer'!P14,'Flow cytometer'!L14,'Flow cytometer'!H14)*Calculation!K14/Calculation!M13</f>
        <v>#DIV/0!</v>
      </c>
      <c r="S14" s="47" t="e">
        <f t="shared" si="1"/>
        <v>#DIV/0!</v>
      </c>
    </row>
    <row r="15" spans="1:19">
      <c r="A15" s="41">
        <v>11</v>
      </c>
      <c r="B15" s="33">
        <v>80</v>
      </c>
      <c r="C15" s="33">
        <f t="shared" si="2"/>
        <v>920</v>
      </c>
      <c r="D15" s="13">
        <f t="shared" si="0"/>
        <v>15.333333333333334</v>
      </c>
      <c r="Q15" s="46" t="e">
        <f>AVERAGE('Flow cytometer'!P15,'Flow cytometer'!L15,'Flow cytometer'!H15)*Calculation!K15/Calculation!M14</f>
        <v>#DIV/0!</v>
      </c>
      <c r="R15" s="46" t="e">
        <f>STDEV('Flow cytometer'!P15,'Flow cytometer'!L15,'Flow cytometer'!H15)*Calculation!K15/Calculation!M14</f>
        <v>#DIV/0!</v>
      </c>
      <c r="S15" s="47" t="e">
        <f t="shared" si="1"/>
        <v>#DIV/0!</v>
      </c>
    </row>
    <row r="16" spans="1:19">
      <c r="A16" s="41">
        <v>12</v>
      </c>
      <c r="B16" s="33">
        <v>80</v>
      </c>
      <c r="C16" s="33">
        <f t="shared" si="2"/>
        <v>1000</v>
      </c>
      <c r="D16" s="13">
        <f t="shared" si="0"/>
        <v>16.666666666666668</v>
      </c>
      <c r="Q16" s="46" t="e">
        <f>AVERAGE('Flow cytometer'!P16,'Flow cytometer'!L16,'Flow cytometer'!H16)*Calculation!K16/Calculation!M15</f>
        <v>#DIV/0!</v>
      </c>
      <c r="R16" s="46" t="e">
        <f>STDEV('Flow cytometer'!P16,'Flow cytometer'!L16,'Flow cytometer'!H16)*Calculation!K16/Calculation!M15</f>
        <v>#DIV/0!</v>
      </c>
      <c r="S16" s="47" t="e">
        <f t="shared" si="1"/>
        <v>#DIV/0!</v>
      </c>
    </row>
    <row r="17" spans="1:19">
      <c r="A17" s="41">
        <v>13</v>
      </c>
      <c r="B17" s="33">
        <v>80</v>
      </c>
      <c r="C17" s="33">
        <f t="shared" si="2"/>
        <v>1080</v>
      </c>
      <c r="D17" s="13">
        <f t="shared" si="0"/>
        <v>18</v>
      </c>
      <c r="Q17" s="46" t="e">
        <f>AVERAGE('Flow cytometer'!P17,'Flow cytometer'!L17,'Flow cytometer'!H17)*Calculation!K17/Calculation!M16</f>
        <v>#DIV/0!</v>
      </c>
      <c r="R17" s="46" t="e">
        <f>STDEV('Flow cytometer'!P17,'Flow cytometer'!L17,'Flow cytometer'!H17)*Calculation!K17/Calculation!M16</f>
        <v>#DIV/0!</v>
      </c>
      <c r="S17" s="47" t="e">
        <f t="shared" si="1"/>
        <v>#DIV/0!</v>
      </c>
    </row>
    <row r="18" spans="1:19">
      <c r="A18" s="41">
        <v>14</v>
      </c>
      <c r="B18" s="33">
        <v>80</v>
      </c>
      <c r="C18" s="33">
        <f t="shared" si="2"/>
        <v>1160</v>
      </c>
      <c r="D18" s="13">
        <f t="shared" si="0"/>
        <v>19.333333333333332</v>
      </c>
      <c r="Q18" s="46" t="e">
        <f>AVERAGE('Flow cytometer'!P18,'Flow cytometer'!L18,'Flow cytometer'!H18)*Calculation!K18/Calculation!M17</f>
        <v>#DIV/0!</v>
      </c>
      <c r="R18" s="46" t="e">
        <f>STDEV('Flow cytometer'!P18,'Flow cytometer'!L18,'Flow cytometer'!H18)*Calculation!K18/Calculation!M17</f>
        <v>#DIV/0!</v>
      </c>
      <c r="S18" s="47" t="e">
        <f t="shared" si="1"/>
        <v>#DIV/0!</v>
      </c>
    </row>
    <row r="19" spans="1:19">
      <c r="A19" s="41">
        <v>15</v>
      </c>
      <c r="B19" s="33">
        <v>280</v>
      </c>
      <c r="C19" s="33">
        <f>C18+B19</f>
        <v>1440</v>
      </c>
      <c r="D19" s="13">
        <f t="shared" si="0"/>
        <v>24</v>
      </c>
      <c r="Q19" s="46" t="e">
        <f>AVERAGE('Flow cytometer'!P19,'Flow cytometer'!L19,'Flow cytometer'!H19)*Calculation!K19/Calculation!M18</f>
        <v>#DIV/0!</v>
      </c>
      <c r="R19" s="46" t="e">
        <f>STDEV('Flow cytometer'!P19,'Flow cytometer'!L19,'Flow cytometer'!H19)*Calculation!K19/Calculation!M18</f>
        <v>#DIV/0!</v>
      </c>
      <c r="S19" s="47" t="e">
        <f t="shared" si="1"/>
        <v>#DIV/0!</v>
      </c>
    </row>
    <row r="20" spans="1:19">
      <c r="A20" s="41">
        <v>16</v>
      </c>
      <c r="B20" s="33">
        <v>360</v>
      </c>
      <c r="C20" s="33">
        <f>C19+B20</f>
        <v>1800</v>
      </c>
      <c r="D20" s="13">
        <f t="shared" si="0"/>
        <v>30</v>
      </c>
      <c r="Q20" s="46" t="e">
        <f>AVERAGE('Flow cytometer'!P20,'Flow cytometer'!L20,'Flow cytometer'!H20)*Calculation!K20/Calculation!M19</f>
        <v>#DIV/0!</v>
      </c>
      <c r="R20" s="46" t="e">
        <f>STDEV('Flow cytometer'!P20,'Flow cytometer'!L20,'Flow cytometer'!H20)*Calculation!K20/Calculation!M19</f>
        <v>#DIV/0!</v>
      </c>
      <c r="S20" s="47" t="e">
        <f t="shared" ref="S20:S21" si="3">LOG(Q20)</f>
        <v>#DIV/0!</v>
      </c>
    </row>
    <row r="21" spans="1:19">
      <c r="A21" s="41">
        <v>17</v>
      </c>
      <c r="B21" s="33">
        <v>1080</v>
      </c>
      <c r="C21" s="33">
        <f>C20+B21</f>
        <v>2880</v>
      </c>
      <c r="D21" s="13">
        <f t="shared" si="0"/>
        <v>48</v>
      </c>
      <c r="Q21" s="46" t="e">
        <f>AVERAGE('Flow cytometer'!P21,'Flow cytometer'!L21,'Flow cytometer'!H21)*Calculation!K21/Calculation!M20</f>
        <v>#DIV/0!</v>
      </c>
      <c r="R21" s="46" t="e">
        <f>STDEV('Flow cytometer'!P21,'Flow cytometer'!L21,'Flow cytometer'!H21)*Calculation!K21/Calculation!M20</f>
        <v>#DIV/0!</v>
      </c>
      <c r="S21" s="47" t="e">
        <f t="shared" si="3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1"/>
  <sheetViews>
    <sheetView topLeftCell="M1" workbookViewId="0">
      <selection activeCell="X5" sqref="X5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17" t="s">
        <v>4</v>
      </c>
      <c r="B1" s="117" t="s">
        <v>118</v>
      </c>
      <c r="C1" s="117" t="s">
        <v>118</v>
      </c>
      <c r="D1" s="117" t="s">
        <v>5</v>
      </c>
      <c r="E1" s="115" t="s">
        <v>120</v>
      </c>
      <c r="F1" s="115"/>
      <c r="G1" s="115"/>
      <c r="H1" s="115"/>
      <c r="I1" s="115" t="s">
        <v>121</v>
      </c>
      <c r="J1" s="115"/>
      <c r="K1" s="115"/>
      <c r="L1" s="115"/>
      <c r="M1" s="115" t="s">
        <v>122</v>
      </c>
      <c r="N1" s="115"/>
      <c r="O1" s="115"/>
      <c r="P1" s="115"/>
      <c r="Q1" s="25" t="s">
        <v>123</v>
      </c>
      <c r="R1" s="25" t="s">
        <v>123</v>
      </c>
      <c r="S1" s="25" t="s">
        <v>123</v>
      </c>
      <c r="T1" s="62" t="s">
        <v>123</v>
      </c>
      <c r="U1" s="80" t="s">
        <v>120</v>
      </c>
      <c r="V1" s="80" t="s">
        <v>121</v>
      </c>
      <c r="W1" s="80" t="s">
        <v>122</v>
      </c>
      <c r="X1" s="80" t="s">
        <v>123</v>
      </c>
    </row>
    <row r="2" spans="1:24">
      <c r="A2" s="118"/>
      <c r="B2" s="118"/>
      <c r="C2" s="118"/>
      <c r="D2" s="118"/>
      <c r="E2" s="24" t="s">
        <v>19</v>
      </c>
      <c r="F2" s="24" t="s">
        <v>68</v>
      </c>
      <c r="G2" s="24" t="s">
        <v>69</v>
      </c>
      <c r="H2" s="24" t="s">
        <v>70</v>
      </c>
      <c r="I2" s="24" t="s">
        <v>19</v>
      </c>
      <c r="J2" s="24" t="s">
        <v>68</v>
      </c>
      <c r="K2" s="24" t="s">
        <v>69</v>
      </c>
      <c r="L2" s="24" t="s">
        <v>70</v>
      </c>
      <c r="M2" s="24" t="s">
        <v>19</v>
      </c>
      <c r="N2" s="24" t="s">
        <v>68</v>
      </c>
      <c r="O2" s="24" t="s">
        <v>69</v>
      </c>
      <c r="P2" s="24" t="s">
        <v>71</v>
      </c>
      <c r="Q2" s="26" t="s">
        <v>70</v>
      </c>
      <c r="R2" s="26" t="s">
        <v>23</v>
      </c>
      <c r="S2" s="26" t="s">
        <v>72</v>
      </c>
      <c r="T2" s="63" t="s">
        <v>139</v>
      </c>
      <c r="U2" s="81" t="s">
        <v>152</v>
      </c>
      <c r="V2" s="81" t="s">
        <v>152</v>
      </c>
      <c r="W2" s="81" t="s">
        <v>152</v>
      </c>
      <c r="X2" s="81" t="s">
        <v>153</v>
      </c>
    </row>
    <row r="3" spans="1:24">
      <c r="A3" s="66" t="s">
        <v>6</v>
      </c>
      <c r="B3" s="67">
        <v>-10</v>
      </c>
      <c r="C3" s="67">
        <v>-10</v>
      </c>
      <c r="D3" s="68">
        <v>-0.16666666666666666</v>
      </c>
      <c r="E3" s="44" t="s">
        <v>102</v>
      </c>
      <c r="F3" s="44" t="s">
        <v>102</v>
      </c>
      <c r="G3" s="44" t="s">
        <v>102</v>
      </c>
      <c r="H3" s="45" t="s">
        <v>102</v>
      </c>
      <c r="I3" s="44" t="s">
        <v>102</v>
      </c>
      <c r="J3" s="44" t="s">
        <v>102</v>
      </c>
      <c r="K3" s="44" t="s">
        <v>102</v>
      </c>
      <c r="L3" s="45" t="s">
        <v>102</v>
      </c>
      <c r="M3" s="44" t="s">
        <v>102</v>
      </c>
      <c r="N3" s="44" t="s">
        <v>102</v>
      </c>
      <c r="O3" s="44" t="s">
        <v>102</v>
      </c>
      <c r="P3" s="45" t="s">
        <v>102</v>
      </c>
      <c r="Q3" s="123" t="s">
        <v>102</v>
      </c>
      <c r="R3" s="124"/>
      <c r="S3" s="125"/>
      <c r="T3" s="45" t="s">
        <v>102</v>
      </c>
      <c r="U3" s="45" t="s">
        <v>102</v>
      </c>
      <c r="V3" s="45" t="s">
        <v>102</v>
      </c>
      <c r="W3" s="45" t="s">
        <v>102</v>
      </c>
      <c r="X3" s="45" t="s">
        <v>102</v>
      </c>
    </row>
    <row r="4" spans="1:24">
      <c r="A4" s="69">
        <v>0</v>
      </c>
      <c r="B4" s="70">
        <v>10</v>
      </c>
      <c r="C4" s="70">
        <v>10</v>
      </c>
      <c r="D4" s="71">
        <v>0.16666666666666666</v>
      </c>
      <c r="E4" s="33">
        <v>1</v>
      </c>
      <c r="F4" s="33">
        <v>14848</v>
      </c>
      <c r="G4" s="33">
        <v>7</v>
      </c>
      <c r="H4" s="45">
        <f>('Flow cytometer'!F4/'Flow cytometer'!G4)*POWER(10,'Flow cytometer'!E4+2)*10.2</f>
        <v>21635657.142857142</v>
      </c>
      <c r="I4" s="33">
        <v>1</v>
      </c>
      <c r="J4" s="33">
        <v>16265</v>
      </c>
      <c r="K4" s="33">
        <v>7</v>
      </c>
      <c r="L4" s="45">
        <f>('Flow cytometer'!J4/'Flow cytometer'!K4)*POWER(10,'Flow cytometer'!I4+2)*10.2</f>
        <v>23700428.571428571</v>
      </c>
      <c r="M4" s="33">
        <v>1</v>
      </c>
      <c r="N4" s="33">
        <v>15654</v>
      </c>
      <c r="O4" s="33">
        <v>7</v>
      </c>
      <c r="P4" s="45">
        <f>('Flow cytometer'!N4/'Flow cytometer'!O4)*POWER(10,'Flow cytometer'!M4+2)*10.2</f>
        <v>22810114.285714284</v>
      </c>
      <c r="Q4" s="48">
        <f>AVERAGE(H4,L4,P4)*Calculation!I4/Calculation!K3</f>
        <v>22715400</v>
      </c>
      <c r="R4" s="49">
        <f>STDEV(H4,L4,P4)*Calculation!I4/Calculation!K3</f>
        <v>1035639.1070252225</v>
      </c>
      <c r="S4" s="50">
        <f>LOG(Q4)</f>
        <v>7.3563203887959556</v>
      </c>
      <c r="T4" s="50">
        <f>LN(Q4)</f>
        <v>16.938553666529732</v>
      </c>
      <c r="U4" s="50">
        <f>LOG(H4)</f>
        <v>7.335170090622448</v>
      </c>
      <c r="V4" s="50">
        <f>LOG(L4)</f>
        <v>7.3747561993655335</v>
      </c>
      <c r="W4" s="50">
        <f>LOG(P4)</f>
        <v>7.3581274612315255</v>
      </c>
      <c r="X4" s="50">
        <f xml:space="preserve"> STDEV(U4:W4)*Calculation!I4/Calculation!K3</f>
        <v>1.9877188779399632E-2</v>
      </c>
    </row>
    <row r="5" spans="1:24">
      <c r="A5" s="69">
        <v>1</v>
      </c>
      <c r="B5" s="70">
        <v>110</v>
      </c>
      <c r="C5" s="70">
        <v>120</v>
      </c>
      <c r="D5" s="71">
        <v>2</v>
      </c>
      <c r="E5" s="33">
        <v>1</v>
      </c>
      <c r="F5" s="33">
        <v>33354</v>
      </c>
      <c r="G5" s="33">
        <v>7</v>
      </c>
      <c r="H5" s="45">
        <f>('Flow cytometer'!F5/'Flow cytometer'!G5)*POWER(10,'Flow cytometer'!E5+2)*10.2</f>
        <v>48601542.857142851</v>
      </c>
      <c r="I5" s="33">
        <v>1</v>
      </c>
      <c r="J5" s="33">
        <v>35115</v>
      </c>
      <c r="K5" s="33">
        <v>7</v>
      </c>
      <c r="L5" s="45">
        <f>('Flow cytometer'!J5/'Flow cytometer'!K5)*POWER(10,'Flow cytometer'!I5+2)*10.2</f>
        <v>51167571.428571425</v>
      </c>
      <c r="M5" s="33">
        <v>1</v>
      </c>
      <c r="N5" s="33">
        <v>35328</v>
      </c>
      <c r="O5" s="33">
        <v>7</v>
      </c>
      <c r="P5" s="45">
        <f>('Flow cytometer'!N5/'Flow cytometer'!O5)*POWER(10,'Flow cytometer'!M5+2)*10.2</f>
        <v>51477942.857142851</v>
      </c>
      <c r="Q5" s="48">
        <f>AVERAGE(H5,L5,P5)*Calculation!I5/Calculation!K4</f>
        <v>50415685.714285709</v>
      </c>
      <c r="R5" s="49">
        <f>STDEV(H5,L5,P5)*Calculation!I5/Calculation!K4</f>
        <v>1578739.4767694275</v>
      </c>
      <c r="S5" s="50">
        <f t="shared" ref="S5:S19" si="0">LOG(Q5)</f>
        <v>7.70256567849541</v>
      </c>
      <c r="T5" s="50">
        <f t="shared" ref="T5:T19" si="1">LN(Q5)</f>
        <v>17.735812909111097</v>
      </c>
      <c r="U5" s="50">
        <f t="shared" ref="U5:U20" si="2">LOG(H5)</f>
        <v>7.6866500561698645</v>
      </c>
      <c r="V5" s="50">
        <f t="shared" ref="V5:V20" si="3">LOG(L5)</f>
        <v>7.7089948044999659</v>
      </c>
      <c r="W5" s="50">
        <f t="shared" ref="W5:W20" si="4">LOG(P5)</f>
        <v>7.7116211834607471</v>
      </c>
      <c r="X5" s="50">
        <f xml:space="preserve"> STDEV(U5:W5)*Calculation!I5/Calculation!K4</f>
        <v>1.3721897600542611E-2</v>
      </c>
    </row>
    <row r="6" spans="1:24">
      <c r="A6" s="69">
        <v>2</v>
      </c>
      <c r="B6" s="70">
        <v>80</v>
      </c>
      <c r="C6" s="70">
        <v>200</v>
      </c>
      <c r="D6" s="71">
        <v>3.3333333333333335</v>
      </c>
      <c r="E6" s="33">
        <v>2</v>
      </c>
      <c r="F6" s="33">
        <v>3971</v>
      </c>
      <c r="G6" s="33">
        <v>7</v>
      </c>
      <c r="H6" s="45">
        <f>('Flow cytometer'!F6/'Flow cytometer'!G6)*POWER(10,'Flow cytometer'!E6+2)*10.2</f>
        <v>57863142.857142858</v>
      </c>
      <c r="I6" s="33">
        <v>2</v>
      </c>
      <c r="J6" s="33">
        <v>4194</v>
      </c>
      <c r="K6" s="33">
        <v>7</v>
      </c>
      <c r="L6" s="45">
        <f>('Flow cytometer'!J6/'Flow cytometer'!K6)*POWER(10,'Flow cytometer'!I6+2)*10.2</f>
        <v>61112571.428571418</v>
      </c>
      <c r="M6" s="33">
        <v>2</v>
      </c>
      <c r="N6" s="33">
        <v>4233</v>
      </c>
      <c r="O6" s="33">
        <v>7</v>
      </c>
      <c r="P6" s="45">
        <f>('Flow cytometer'!N6/'Flow cytometer'!O6)*POWER(10,'Flow cytometer'!M6+2)*10.2</f>
        <v>61680857.142857127</v>
      </c>
      <c r="Q6" s="48">
        <f>AVERAGE(H6,L6,P6)*Calculation!I6/Calculation!K5</f>
        <v>60218857.142857134</v>
      </c>
      <c r="R6" s="49">
        <f>STDEV(H6,L6,P6)*Calculation!I6/Calculation!K5</f>
        <v>2059800.8423641461</v>
      </c>
      <c r="S6" s="50">
        <f t="shared" si="0"/>
        <v>7.7797325090435532</v>
      </c>
      <c r="T6" s="50">
        <f t="shared" si="1"/>
        <v>17.913496102804849</v>
      </c>
      <c r="U6" s="50">
        <f t="shared" si="2"/>
        <v>7.7624020188115441</v>
      </c>
      <c r="V6" s="50">
        <f t="shared" si="3"/>
        <v>7.7861305578769855</v>
      </c>
      <c r="W6" s="50">
        <f t="shared" si="4"/>
        <v>7.7901504002216706</v>
      </c>
      <c r="X6" s="50">
        <f xml:space="preserve"> STDEV(U6:W6)*Calculation!I6/Calculation!K5</f>
        <v>1.4995418019838334E-2</v>
      </c>
    </row>
    <row r="7" spans="1:24">
      <c r="A7" s="69">
        <v>3</v>
      </c>
      <c r="B7" s="70">
        <v>80</v>
      </c>
      <c r="C7" s="70">
        <v>280</v>
      </c>
      <c r="D7" s="71">
        <v>4.666666666666667</v>
      </c>
      <c r="E7" s="33">
        <v>2</v>
      </c>
      <c r="F7" s="77">
        <v>4436</v>
      </c>
      <c r="G7" s="33">
        <v>7</v>
      </c>
      <c r="H7" s="45">
        <f>('Flow cytometer'!F7/'Flow cytometer'!G7)*POWER(10,'Flow cytometer'!E7+2)*10.2</f>
        <v>64638857.142857127</v>
      </c>
      <c r="I7" s="33">
        <v>2</v>
      </c>
      <c r="J7" s="77">
        <v>4561</v>
      </c>
      <c r="K7" s="33">
        <v>7</v>
      </c>
      <c r="L7" s="45">
        <f>('Flow cytometer'!J7/'Flow cytometer'!K7)*POWER(10,'Flow cytometer'!I7+2)*10.2</f>
        <v>66460285.714285709</v>
      </c>
      <c r="M7" s="33">
        <v>2</v>
      </c>
      <c r="N7" s="77">
        <v>4676</v>
      </c>
      <c r="O7" s="33">
        <v>7</v>
      </c>
      <c r="P7" s="45">
        <f>('Flow cytometer'!N7/'Flow cytometer'!O7)*POWER(10,'Flow cytometer'!M7+2)*10.2</f>
        <v>68136000</v>
      </c>
      <c r="Q7" s="48">
        <f>AVERAGE(H7,L7,P7)*Calculation!I7/Calculation!K6</f>
        <v>66459943.562610224</v>
      </c>
      <c r="R7" s="49">
        <f>STDEV(H7,L7,P7)*Calculation!I7/Calculation!K6</f>
        <v>1750347.5164220536</v>
      </c>
      <c r="S7" s="50">
        <f t="shared" si="0"/>
        <v>7.8225599681425511</v>
      </c>
      <c r="T7" s="50">
        <f t="shared" si="1"/>
        <v>18.012109971697015</v>
      </c>
      <c r="U7" s="50">
        <f t="shared" si="2"/>
        <v>7.8104936692247833</v>
      </c>
      <c r="V7" s="50">
        <f t="shared" si="3"/>
        <v>7.8225622039885989</v>
      </c>
      <c r="W7" s="50">
        <f t="shared" si="4"/>
        <v>7.8333766342374629</v>
      </c>
      <c r="X7" s="50">
        <f xml:space="preserve"> STDEV(U7:W7)*Calculation!I7/Calculation!K6</f>
        <v>1.1455521840609486E-2</v>
      </c>
    </row>
    <row r="8" spans="1:24">
      <c r="A8" s="69">
        <v>4</v>
      </c>
      <c r="B8" s="70">
        <v>80</v>
      </c>
      <c r="C8" s="70">
        <v>360</v>
      </c>
      <c r="D8" s="71">
        <v>6</v>
      </c>
      <c r="E8" s="33">
        <v>2</v>
      </c>
      <c r="F8" s="33">
        <v>4287</v>
      </c>
      <c r="G8" s="33">
        <v>7</v>
      </c>
      <c r="H8" s="45">
        <f>('Flow cytometer'!F8/'Flow cytometer'!G8)*POWER(10,'Flow cytometer'!E8+2)*10.2</f>
        <v>62467714.285714284</v>
      </c>
      <c r="I8" s="33">
        <v>2</v>
      </c>
      <c r="J8" s="33">
        <v>4660</v>
      </c>
      <c r="K8" s="33">
        <v>7</v>
      </c>
      <c r="L8" s="45">
        <f>('Flow cytometer'!J8/'Flow cytometer'!K8)*POWER(10,'Flow cytometer'!I8+2)*10.2</f>
        <v>67902857.142857134</v>
      </c>
      <c r="M8" s="33">
        <v>2</v>
      </c>
      <c r="N8" s="33">
        <v>4891</v>
      </c>
      <c r="O8" s="33">
        <v>7</v>
      </c>
      <c r="P8" s="45">
        <f>('Flow cytometer'!N8/'Flow cytometer'!O8)*POWER(10,'Flow cytometer'!M8+2)*10.2</f>
        <v>71268857.142857134</v>
      </c>
      <c r="Q8" s="48">
        <f>AVERAGE(H8,L8,P8)*Calculation!I8/Calculation!K7</f>
        <v>67261954.144620806</v>
      </c>
      <c r="R8" s="49">
        <f>STDEV(H8,L8,P8)*Calculation!I8/Calculation!K7</f>
        <v>4444149.3277848745</v>
      </c>
      <c r="S8" s="50">
        <f t="shared" si="0"/>
        <v>7.827769480610157</v>
      </c>
      <c r="T8" s="50">
        <f t="shared" si="1"/>
        <v>18.02410531744669</v>
      </c>
      <c r="U8" s="50">
        <f t="shared" si="2"/>
        <v>7.7956556152582932</v>
      </c>
      <c r="V8" s="50">
        <f t="shared" si="3"/>
        <v>7.8318880484376612</v>
      </c>
      <c r="W8" s="50">
        <f t="shared" si="4"/>
        <v>7.8528997945689429</v>
      </c>
      <c r="X8" s="50">
        <f xml:space="preserve"> STDEV(U8:W8)*Calculation!I8/Calculation!K7</f>
        <v>2.8978408218012987E-2</v>
      </c>
    </row>
    <row r="9" spans="1:24">
      <c r="A9" s="69">
        <v>5</v>
      </c>
      <c r="B9" s="70">
        <v>80</v>
      </c>
      <c r="C9" s="70">
        <v>440</v>
      </c>
      <c r="D9" s="71">
        <v>7.333333333333333</v>
      </c>
      <c r="E9" s="33">
        <v>2</v>
      </c>
      <c r="F9" s="33">
        <v>4704</v>
      </c>
      <c r="G9" s="33">
        <v>7</v>
      </c>
      <c r="H9" s="45">
        <f>('Flow cytometer'!F9/'Flow cytometer'!G9)*POWER(10,'Flow cytometer'!E9+2)*10.2</f>
        <v>68544000</v>
      </c>
      <c r="I9" s="33">
        <v>2</v>
      </c>
      <c r="J9" s="33">
        <v>4634</v>
      </c>
      <c r="K9" s="33">
        <v>7</v>
      </c>
      <c r="L9" s="45">
        <f>('Flow cytometer'!J9/'Flow cytometer'!K9)*POWER(10,'Flow cytometer'!I9+2)*10.2</f>
        <v>67524000</v>
      </c>
      <c r="M9" s="33">
        <v>2</v>
      </c>
      <c r="N9" s="33">
        <v>4885</v>
      </c>
      <c r="O9" s="33">
        <v>7</v>
      </c>
      <c r="P9" s="45">
        <f>('Flow cytometer'!N9/'Flow cytometer'!O9)*POWER(10,'Flow cytometer'!M9+2)*10.2</f>
        <v>71181428.571428567</v>
      </c>
      <c r="Q9" s="48">
        <f>AVERAGE(H9,L9,P9)*Calculation!I9/Calculation!K8</f>
        <v>69133312.169312164</v>
      </c>
      <c r="R9" s="49">
        <f>STDEV(H9,L9,P9)*Calculation!I9/Calculation!K8</f>
        <v>1888750.3652316958</v>
      </c>
      <c r="S9" s="50">
        <f t="shared" si="0"/>
        <v>7.8396873643813008</v>
      </c>
      <c r="T9" s="50">
        <f t="shared" si="1"/>
        <v>18.051547258958163</v>
      </c>
      <c r="U9" s="50">
        <f t="shared" si="2"/>
        <v>7.8359694448157429</v>
      </c>
      <c r="V9" s="50">
        <f t="shared" si="3"/>
        <v>7.8294581612016172</v>
      </c>
      <c r="W9" s="50">
        <f t="shared" si="4"/>
        <v>7.8523666998024524</v>
      </c>
      <c r="X9" s="50">
        <f xml:space="preserve"> STDEV(U9:W9)*Calculation!I9/Calculation!K8</f>
        <v>1.1813006247795781E-2</v>
      </c>
    </row>
    <row r="10" spans="1:24">
      <c r="A10" s="69">
        <v>6</v>
      </c>
      <c r="B10" s="70">
        <v>80</v>
      </c>
      <c r="C10" s="70">
        <v>520</v>
      </c>
      <c r="D10" s="71">
        <v>8.6666666666666661</v>
      </c>
      <c r="E10" s="33">
        <v>2</v>
      </c>
      <c r="F10" s="33">
        <v>4984</v>
      </c>
      <c r="G10" s="33">
        <v>7</v>
      </c>
      <c r="H10" s="45">
        <f>('Flow cytometer'!F10/'Flow cytometer'!G10)*POWER(10,'Flow cytometer'!E10+2)*10.2</f>
        <v>72624000</v>
      </c>
      <c r="I10" s="33">
        <v>2</v>
      </c>
      <c r="J10" s="33">
        <v>5155</v>
      </c>
      <c r="K10" s="33">
        <v>7</v>
      </c>
      <c r="L10" s="45">
        <f>('Flow cytometer'!J10/'Flow cytometer'!K10)*POWER(10,'Flow cytometer'!I10+2)*10.2</f>
        <v>75115714.285714284</v>
      </c>
      <c r="M10" s="33">
        <v>2</v>
      </c>
      <c r="N10" s="33">
        <v>5187</v>
      </c>
      <c r="O10" s="33">
        <v>7</v>
      </c>
      <c r="P10" s="45">
        <f>('Flow cytometer'!N10/'Flow cytometer'!O10)*POWER(10,'Flow cytometer'!M10+2)*10.2</f>
        <v>75582000</v>
      </c>
      <c r="Q10" s="48">
        <f>AVERAGE(H10,L10,P10)*Calculation!I10/Calculation!K9</f>
        <v>74494631.393298045</v>
      </c>
      <c r="R10" s="49">
        <f>STDEV(H10,L10,P10)*Calculation!I10/Calculation!K9</f>
        <v>1591533.6587206083</v>
      </c>
      <c r="S10" s="50">
        <f t="shared" si="0"/>
        <v>7.8721249755633487</v>
      </c>
      <c r="T10" s="50">
        <f t="shared" si="1"/>
        <v>18.126237618918285</v>
      </c>
      <c r="U10" s="50">
        <f t="shared" si="2"/>
        <v>7.8610801653987741</v>
      </c>
      <c r="V10" s="50">
        <f t="shared" si="3"/>
        <v>7.8757308013671965</v>
      </c>
      <c r="W10" s="50">
        <f t="shared" si="4"/>
        <v>7.8784183797412455</v>
      </c>
      <c r="X10" s="50">
        <f xml:space="preserve"> STDEV(U10:W10)*Calculation!I10/Calculation!K9</f>
        <v>9.3384244563928867E-3</v>
      </c>
    </row>
    <row r="11" spans="1:24">
      <c r="A11" s="69">
        <v>7</v>
      </c>
      <c r="B11" s="70">
        <v>80</v>
      </c>
      <c r="C11" s="70">
        <v>600</v>
      </c>
      <c r="D11" s="71">
        <v>10</v>
      </c>
      <c r="E11" s="33">
        <v>2</v>
      </c>
      <c r="F11" s="33">
        <v>5047</v>
      </c>
      <c r="G11" s="33">
        <v>7</v>
      </c>
      <c r="H11" s="45">
        <f>('Flow cytometer'!F11/'Flow cytometer'!G11)*POWER(10,'Flow cytometer'!E11+2)*10.2</f>
        <v>73542000</v>
      </c>
      <c r="I11" s="33">
        <v>2</v>
      </c>
      <c r="J11" s="33">
        <v>6489</v>
      </c>
      <c r="K11" s="33">
        <v>7</v>
      </c>
      <c r="L11" s="45">
        <f>('Flow cytometer'!J11/'Flow cytometer'!K11)*POWER(10,'Flow cytometer'!I11+2)*10.2</f>
        <v>94554000</v>
      </c>
      <c r="M11" s="33">
        <v>2</v>
      </c>
      <c r="N11" s="33">
        <v>6323</v>
      </c>
      <c r="O11" s="33">
        <v>7</v>
      </c>
      <c r="P11" s="45">
        <f>('Flow cytometer'!N11/'Flow cytometer'!O11)*POWER(10,'Flow cytometer'!M11+2)*10.2</f>
        <v>92135142.857142866</v>
      </c>
      <c r="Q11" s="48">
        <f>AVERAGE(H11,L11,P11)*Calculation!I11/Calculation!K10</f>
        <v>86806708.994709</v>
      </c>
      <c r="R11" s="49">
        <f>STDEV(H11,L11,P11)*Calculation!I11/Calculation!K10</f>
        <v>11505160.145024266</v>
      </c>
      <c r="S11" s="50">
        <f t="shared" si="0"/>
        <v>7.9385532916140971</v>
      </c>
      <c r="T11" s="50">
        <f t="shared" si="1"/>
        <v>18.279194469209433</v>
      </c>
      <c r="U11" s="50">
        <f t="shared" si="2"/>
        <v>7.8665354364813469</v>
      </c>
      <c r="V11" s="50">
        <f t="shared" si="3"/>
        <v>7.9756799059064143</v>
      </c>
      <c r="W11" s="50">
        <f t="shared" si="4"/>
        <v>7.9644253135608789</v>
      </c>
      <c r="X11" s="50">
        <f xml:space="preserve"> STDEV(U11:W11)*Calculation!I11/Calculation!K10</f>
        <v>6.0073599896830178E-2</v>
      </c>
    </row>
    <row r="12" spans="1:24">
      <c r="A12" s="69">
        <v>8</v>
      </c>
      <c r="B12" s="70">
        <v>80</v>
      </c>
      <c r="C12" s="70">
        <v>680</v>
      </c>
      <c r="D12" s="71">
        <v>11.333333333333334</v>
      </c>
      <c r="E12" s="33">
        <v>2</v>
      </c>
      <c r="F12" s="33">
        <v>8255</v>
      </c>
      <c r="G12" s="33">
        <v>7</v>
      </c>
      <c r="H12" s="45">
        <f>('Flow cytometer'!F12/'Flow cytometer'!G12)*POWER(10,'Flow cytometer'!E12+2)*10.2</f>
        <v>120287142.85714284</v>
      </c>
      <c r="I12" s="33">
        <v>2</v>
      </c>
      <c r="J12" s="33">
        <v>8817</v>
      </c>
      <c r="K12" s="33">
        <v>7</v>
      </c>
      <c r="L12" s="45">
        <f>('Flow cytometer'!J12/'Flow cytometer'!K12)*POWER(10,'Flow cytometer'!I12+2)*10.2</f>
        <v>128476285.71428572</v>
      </c>
      <c r="M12" s="33">
        <v>2</v>
      </c>
      <c r="N12" s="33">
        <v>12164</v>
      </c>
      <c r="O12" s="33">
        <v>7</v>
      </c>
      <c r="P12" s="45">
        <f>('Flow cytometer'!N12/'Flow cytometer'!O12)*POWER(10,'Flow cytometer'!M12+2)*10.2</f>
        <v>177246857.14285713</v>
      </c>
      <c r="Q12" s="48">
        <f>AVERAGE(H12,L12,P12)*Calculation!I12/Calculation!K11</f>
        <v>142232534.7792913</v>
      </c>
      <c r="R12" s="49">
        <f>STDEV(H12,L12,P12)*Calculation!I12/Calculation!K11</f>
        <v>30844813.20799524</v>
      </c>
      <c r="S12" s="50">
        <f t="shared" si="0"/>
        <v>8.152998949832261</v>
      </c>
      <c r="T12" s="50">
        <f t="shared" si="1"/>
        <v>18.772973845079875</v>
      </c>
      <c r="U12" s="50">
        <f t="shared" si="2"/>
        <v>8.080219209346474</v>
      </c>
      <c r="V12" s="50">
        <f t="shared" si="3"/>
        <v>8.1088229725399366</v>
      </c>
      <c r="W12" s="50">
        <f t="shared" si="4"/>
        <v>8.2485785432197556</v>
      </c>
      <c r="X12" s="50">
        <f xml:space="preserve"> STDEV(U12:W12)*Calculation!I12/Calculation!K11</f>
        <v>9.0232951605423592E-2</v>
      </c>
    </row>
    <row r="13" spans="1:24">
      <c r="A13" s="69">
        <v>9</v>
      </c>
      <c r="B13" s="70">
        <v>80</v>
      </c>
      <c r="C13" s="70">
        <v>760</v>
      </c>
      <c r="D13" s="71">
        <v>12.666666666666666</v>
      </c>
      <c r="E13" s="33">
        <v>2</v>
      </c>
      <c r="F13" s="33">
        <v>12617</v>
      </c>
      <c r="G13" s="33">
        <v>7</v>
      </c>
      <c r="H13" s="45">
        <f>('Flow cytometer'!F13/'Flow cytometer'!G13)*POWER(10,'Flow cytometer'!E13+2)*10.2</f>
        <v>183847714.28571427</v>
      </c>
      <c r="I13" s="33">
        <v>2</v>
      </c>
      <c r="J13" s="33">
        <v>13046</v>
      </c>
      <c r="K13" s="33">
        <v>7</v>
      </c>
      <c r="L13" s="45">
        <f>('Flow cytometer'!J13/'Flow cytometer'!K13)*POWER(10,'Flow cytometer'!I13+2)*10.2</f>
        <v>190098857.14285713</v>
      </c>
      <c r="M13" s="33">
        <v>2</v>
      </c>
      <c r="N13" s="33">
        <v>12852</v>
      </c>
      <c r="O13" s="33">
        <v>7</v>
      </c>
      <c r="P13" s="45">
        <f>('Flow cytometer'!N13/'Flow cytometer'!O13)*POWER(10,'Flow cytometer'!M13+2)*10.2</f>
        <v>187272000</v>
      </c>
      <c r="Q13" s="48">
        <f>AVERAGE(H13,L13,P13)*Calculation!I13/Calculation!K12</f>
        <v>187547692.16889203</v>
      </c>
      <c r="R13" s="49">
        <f>STDEV(H13,L13,P13)*Calculation!I13/Calculation!K12</f>
        <v>3138271.3929908196</v>
      </c>
      <c r="S13" s="50">
        <f t="shared" si="0"/>
        <v>8.273111724394596</v>
      </c>
      <c r="T13" s="50">
        <f t="shared" si="1"/>
        <v>19.04954372926526</v>
      </c>
      <c r="U13" s="50">
        <f t="shared" si="2"/>
        <v>8.2644582348071527</v>
      </c>
      <c r="V13" s="50">
        <f t="shared" si="3"/>
        <v>8.2789795059341298</v>
      </c>
      <c r="W13" s="50">
        <f t="shared" si="4"/>
        <v>8.2724728486271406</v>
      </c>
      <c r="X13" s="50">
        <f xml:space="preserve"> STDEV(U13:W13)*Calculation!I13/Calculation!K12</f>
        <v>7.2921355921796551E-3</v>
      </c>
    </row>
    <row r="14" spans="1:24">
      <c r="A14" s="69">
        <v>10</v>
      </c>
      <c r="B14" s="70">
        <v>80</v>
      </c>
      <c r="C14" s="70">
        <v>840</v>
      </c>
      <c r="D14" s="71">
        <v>14</v>
      </c>
      <c r="E14" s="33">
        <v>2</v>
      </c>
      <c r="F14" s="33">
        <v>22465</v>
      </c>
      <c r="G14" s="33">
        <v>7</v>
      </c>
      <c r="H14" s="45">
        <f>('Flow cytometer'!F14/'Flow cytometer'!G14)*POWER(10,'Flow cytometer'!E14+2)*10.2</f>
        <v>327347142.85714281</v>
      </c>
      <c r="I14" s="33">
        <v>2</v>
      </c>
      <c r="J14" s="33">
        <v>23700</v>
      </c>
      <c r="K14" s="33">
        <v>7</v>
      </c>
      <c r="L14" s="45">
        <f>('Flow cytometer'!J14/'Flow cytometer'!K14)*POWER(10,'Flow cytometer'!I14+2)*10.2</f>
        <v>345342857.14285713</v>
      </c>
      <c r="M14" s="33">
        <v>2</v>
      </c>
      <c r="N14" s="33">
        <v>22046</v>
      </c>
      <c r="O14" s="33">
        <v>7</v>
      </c>
      <c r="P14" s="45">
        <f>('Flow cytometer'!N14/'Flow cytometer'!O14)*POWER(10,'Flow cytometer'!M14+2)*10.2</f>
        <v>321241714.28571427</v>
      </c>
      <c r="Q14" s="48">
        <f>AVERAGE(H14,L14,P14)*Calculation!I14/Calculation!K13</f>
        <v>332792116.58879912</v>
      </c>
      <c r="R14" s="49">
        <f>STDEV(H14,L14,P14)*Calculation!I14/Calculation!K13</f>
        <v>12585908.894864362</v>
      </c>
      <c r="S14" s="50">
        <f t="shared" si="0"/>
        <v>8.5221730298706859</v>
      </c>
      <c r="T14" s="50">
        <f t="shared" si="1"/>
        <v>19.62302857849614</v>
      </c>
      <c r="U14" s="50">
        <f t="shared" si="2"/>
        <v>8.5150085546767045</v>
      </c>
      <c r="V14" s="50">
        <f t="shared" si="3"/>
        <v>8.5382504777577655</v>
      </c>
      <c r="W14" s="50">
        <f t="shared" si="4"/>
        <v>8.5068319348252679</v>
      </c>
      <c r="X14" s="50">
        <f xml:space="preserve"> STDEV(U14:W14)*Calculation!I14/Calculation!K13</f>
        <v>1.6373038494483825E-2</v>
      </c>
    </row>
    <row r="15" spans="1:24">
      <c r="A15" s="69">
        <v>11</v>
      </c>
      <c r="B15" s="70">
        <v>80</v>
      </c>
      <c r="C15" s="70">
        <v>920</v>
      </c>
      <c r="D15" s="71">
        <v>15.333333333333334</v>
      </c>
      <c r="E15" s="33">
        <v>2</v>
      </c>
      <c r="F15" s="33">
        <v>27362</v>
      </c>
      <c r="G15" s="33">
        <v>7</v>
      </c>
      <c r="H15" s="45">
        <f>('Flow cytometer'!F15/'Flow cytometer'!G15)*POWER(10,'Flow cytometer'!E15+2)*10.2</f>
        <v>398703428.57142854</v>
      </c>
      <c r="I15" s="33">
        <v>2</v>
      </c>
      <c r="J15" s="33">
        <v>29914</v>
      </c>
      <c r="K15" s="33">
        <v>7</v>
      </c>
      <c r="L15" s="45">
        <f>('Flow cytometer'!J15/'Flow cytometer'!K15)*POWER(10,'Flow cytometer'!I15+2)*10.2</f>
        <v>435889714.28571427</v>
      </c>
      <c r="M15" s="33">
        <v>2</v>
      </c>
      <c r="N15" s="33">
        <v>30673</v>
      </c>
      <c r="O15" s="33">
        <v>7</v>
      </c>
      <c r="P15" s="45">
        <f>('Flow cytometer'!N15/'Flow cytometer'!O15)*POWER(10,'Flow cytometer'!M15+2)*10.2</f>
        <v>446949428.5714286</v>
      </c>
      <c r="Q15" s="48">
        <f>AVERAGE(H15,L15,P15)*Calculation!I15/Calculation!K14</f>
        <v>430386155.90985757</v>
      </c>
      <c r="R15" s="49">
        <f>STDEV(H15,L15,P15)*Calculation!I15/Calculation!K14</f>
        <v>25464182.420828756</v>
      </c>
      <c r="S15" s="50">
        <f t="shared" si="0"/>
        <v>8.6338582930750274</v>
      </c>
      <c r="T15" s="50">
        <f t="shared" si="1"/>
        <v>19.880193400657575</v>
      </c>
      <c r="U15" s="50">
        <f t="shared" si="2"/>
        <v>8.6006499703081172</v>
      </c>
      <c r="V15" s="50">
        <f t="shared" si="3"/>
        <v>8.6393766210670968</v>
      </c>
      <c r="W15" s="50">
        <f t="shared" si="4"/>
        <v>8.6502583863649285</v>
      </c>
      <c r="X15" s="50">
        <f xml:space="preserve"> STDEV(U15:W15)*Calculation!I15/Calculation!K14</f>
        <v>2.6269773068954165E-2</v>
      </c>
    </row>
    <row r="16" spans="1:24">
      <c r="A16" s="69">
        <v>12</v>
      </c>
      <c r="B16" s="70">
        <v>80</v>
      </c>
      <c r="C16" s="70">
        <v>1000</v>
      </c>
      <c r="D16" s="71">
        <v>16.666666666666668</v>
      </c>
      <c r="E16" s="33">
        <v>2</v>
      </c>
      <c r="F16" s="33">
        <v>24063</v>
      </c>
      <c r="G16" s="33">
        <v>7</v>
      </c>
      <c r="H16" s="45">
        <f>('Flow cytometer'!F16/'Flow cytometer'!G16)*POWER(10,'Flow cytometer'!E16+2)*10.2</f>
        <v>350632285.71428567</v>
      </c>
      <c r="I16" s="33">
        <v>2</v>
      </c>
      <c r="J16" s="33">
        <v>25548</v>
      </c>
      <c r="K16" s="33">
        <v>7</v>
      </c>
      <c r="L16" s="45">
        <f>('Flow cytometer'!J16/'Flow cytometer'!K16)*POWER(10,'Flow cytometer'!I16+2)*10.2</f>
        <v>372270857.14285713</v>
      </c>
      <c r="M16" s="33">
        <v>2</v>
      </c>
      <c r="N16" s="33">
        <v>25340</v>
      </c>
      <c r="O16" s="33">
        <v>7</v>
      </c>
      <c r="P16" s="45">
        <f>('Flow cytometer'!N16/'Flow cytometer'!O16)*POWER(10,'Flow cytometer'!M16+2)*10.2</f>
        <v>369240000</v>
      </c>
      <c r="Q16" s="48">
        <f>AVERAGE(H16,L16,P16)*Calculation!I16/Calculation!K15</f>
        <v>386284769.89675105</v>
      </c>
      <c r="R16" s="49">
        <f>STDEV(H16,L16,P16)*Calculation!I16/Calculation!K15</f>
        <v>12432196.806542534</v>
      </c>
      <c r="S16" s="50">
        <f t="shared" si="0"/>
        <v>8.5869075854935382</v>
      </c>
      <c r="T16" s="50">
        <f t="shared" si="1"/>
        <v>19.772085401274914</v>
      </c>
      <c r="U16" s="50">
        <f t="shared" si="2"/>
        <v>8.5448519028074017</v>
      </c>
      <c r="V16" s="50">
        <f t="shared" si="3"/>
        <v>8.5708590392336088</v>
      </c>
      <c r="W16" s="50">
        <f t="shared" si="4"/>
        <v>8.5673087422950829</v>
      </c>
      <c r="X16" s="50">
        <f xml:space="preserve"> STDEV(U16:W16)*Calculation!I16/Calculation!K15</f>
        <v>1.4963935030667891E-2</v>
      </c>
    </row>
    <row r="17" spans="1:24">
      <c r="A17" s="69">
        <v>13</v>
      </c>
      <c r="B17" s="70">
        <v>80</v>
      </c>
      <c r="C17" s="70">
        <v>1080</v>
      </c>
      <c r="D17" s="71">
        <v>18</v>
      </c>
      <c r="E17" s="33">
        <v>2</v>
      </c>
      <c r="F17" s="33">
        <v>25034</v>
      </c>
      <c r="G17" s="33">
        <v>7</v>
      </c>
      <c r="H17" s="45">
        <f>('Flow cytometer'!F17/'Flow cytometer'!G17)*POWER(10,'Flow cytometer'!E17+2)*10.2</f>
        <v>364781142.85714281</v>
      </c>
      <c r="I17" s="33">
        <v>2</v>
      </c>
      <c r="J17" s="33">
        <v>25499</v>
      </c>
      <c r="K17" s="33">
        <v>7</v>
      </c>
      <c r="L17" s="45">
        <f>('Flow cytometer'!J17/'Flow cytometer'!K17)*POWER(10,'Flow cytometer'!I17+2)*10.2</f>
        <v>371556857.14285713</v>
      </c>
      <c r="M17" s="33">
        <v>2</v>
      </c>
      <c r="N17" s="33">
        <v>24983</v>
      </c>
      <c r="O17" s="33">
        <v>7</v>
      </c>
      <c r="P17" s="45">
        <f>('Flow cytometer'!N17/'Flow cytometer'!O17)*POWER(10,'Flow cytometer'!M17+2)*10.2</f>
        <v>364038000</v>
      </c>
      <c r="Q17" s="48">
        <f>AVERAGE(H17,L17,P17)*Calculation!I17/Calculation!K16</f>
        <v>389998325.23699802</v>
      </c>
      <c r="R17" s="49">
        <f>STDEV(H17,L17,P17)*Calculation!I17/Calculation!K16</f>
        <v>4405315.0572985131</v>
      </c>
      <c r="S17" s="50">
        <f t="shared" si="0"/>
        <v>8.5910627420472885</v>
      </c>
      <c r="T17" s="50">
        <f t="shared" si="1"/>
        <v>19.78165300281464</v>
      </c>
      <c r="U17" s="50">
        <f t="shared" si="2"/>
        <v>8.5620323796433286</v>
      </c>
      <c r="V17" s="50">
        <f t="shared" si="3"/>
        <v>8.5700252806915103</v>
      </c>
      <c r="W17" s="50">
        <f t="shared" si="4"/>
        <v>8.5611467197175788</v>
      </c>
      <c r="X17" s="50">
        <f xml:space="preserve"> STDEV(U17:W17)*Calculation!I17/Calculation!K16</f>
        <v>5.1998733643937181E-3</v>
      </c>
    </row>
    <row r="18" spans="1:24">
      <c r="A18" s="69">
        <v>14</v>
      </c>
      <c r="B18" s="70">
        <v>80</v>
      </c>
      <c r="C18" s="70">
        <v>1160</v>
      </c>
      <c r="D18" s="71">
        <v>19.333333333333332</v>
      </c>
      <c r="E18" s="33">
        <v>2</v>
      </c>
      <c r="F18" s="33">
        <v>20164</v>
      </c>
      <c r="G18" s="33">
        <v>7</v>
      </c>
      <c r="H18" s="45">
        <f>('Flow cytometer'!F18/'Flow cytometer'!G18)*POWER(10,'Flow cytometer'!E18+2)*10.2</f>
        <v>293818285.71428567</v>
      </c>
      <c r="I18" s="33">
        <v>2</v>
      </c>
      <c r="J18" s="33">
        <v>21258</v>
      </c>
      <c r="K18" s="33">
        <v>7</v>
      </c>
      <c r="L18" s="45">
        <f>('Flow cytometer'!J18/'Flow cytometer'!K18)*POWER(10,'Flow cytometer'!I18+2)*10.2</f>
        <v>309759428.57142854</v>
      </c>
      <c r="M18" s="33">
        <v>2</v>
      </c>
      <c r="N18" s="33">
        <v>23253</v>
      </c>
      <c r="O18" s="33">
        <v>7</v>
      </c>
      <c r="P18" s="45">
        <f>('Flow cytometer'!N18/'Flow cytometer'!O18)*POWER(10,'Flow cytometer'!M18+2)*10.2</f>
        <v>338829428.57142854</v>
      </c>
      <c r="Q18" s="48">
        <f>AVERAGE(H18,L18,P18)*Calculation!I18/Calculation!K17</f>
        <v>334367412.01398426</v>
      </c>
      <c r="R18" s="49">
        <f>STDEV(H18,L18,P18)*Calculation!I18/Calculation!K17</f>
        <v>24292324.420688156</v>
      </c>
      <c r="S18" s="50">
        <f t="shared" si="0"/>
        <v>8.5242239437904335</v>
      </c>
      <c r="T18" s="50">
        <f t="shared" si="1"/>
        <v>19.627750982314765</v>
      </c>
      <c r="U18" s="50">
        <f t="shared" si="2"/>
        <v>8.4680788205137745</v>
      </c>
      <c r="V18" s="50">
        <f t="shared" si="3"/>
        <v>8.491024534464481</v>
      </c>
      <c r="W18" s="50">
        <f t="shared" si="4"/>
        <v>8.5299811233562544</v>
      </c>
      <c r="X18" s="50">
        <f xml:space="preserve"> STDEV(U18:W18)*Calculation!I18/Calculation!K17</f>
        <v>3.3309837578079045E-2</v>
      </c>
    </row>
    <row r="19" spans="1:24">
      <c r="A19" s="69">
        <v>15</v>
      </c>
      <c r="B19" s="70">
        <v>280</v>
      </c>
      <c r="C19" s="70">
        <v>1440</v>
      </c>
      <c r="D19" s="71">
        <v>24</v>
      </c>
      <c r="E19" s="33">
        <v>2</v>
      </c>
      <c r="F19" s="33">
        <v>18950</v>
      </c>
      <c r="G19" s="33">
        <v>7</v>
      </c>
      <c r="H19" s="45">
        <f>('Flow cytometer'!F19/'Flow cytometer'!G19)*POWER(10,'Flow cytometer'!E19+2)*10.2</f>
        <v>276128571.42857146</v>
      </c>
      <c r="I19" s="33">
        <v>2</v>
      </c>
      <c r="J19" s="33">
        <v>14788</v>
      </c>
      <c r="K19" s="33">
        <v>7</v>
      </c>
      <c r="L19" s="45">
        <f>('Flow cytometer'!J19/'Flow cytometer'!K19)*POWER(10,'Flow cytometer'!I19+2)*10.2</f>
        <v>215482285.71428567</v>
      </c>
      <c r="M19" s="33">
        <v>2</v>
      </c>
      <c r="N19" s="33">
        <v>19368</v>
      </c>
      <c r="O19" s="33">
        <v>7</v>
      </c>
      <c r="P19" s="45">
        <f>('Flow cytometer'!N19/'Flow cytometer'!O19)*POWER(10,'Flow cytometer'!M19+2)*10.2</f>
        <v>282219428.57142854</v>
      </c>
      <c r="Q19" s="48">
        <f>AVERAGE(H19,L19,P19)*Calculation!I19/Calculation!K18</f>
        <v>275481570.23138648</v>
      </c>
      <c r="R19" s="49">
        <f>STDEV(H19,L19,P19)*Calculation!I19/Calculation!K18</f>
        <v>39407119.55394575</v>
      </c>
      <c r="S19" s="50">
        <f t="shared" si="0"/>
        <v>8.4400925497775017</v>
      </c>
      <c r="T19" s="50">
        <f t="shared" si="1"/>
        <v>19.43403128860778</v>
      </c>
      <c r="U19" s="50">
        <f t="shared" si="2"/>
        <v>8.441111346051752</v>
      </c>
      <c r="V19" s="50">
        <f t="shared" si="3"/>
        <v>8.3334115736487302</v>
      </c>
      <c r="W19" s="50">
        <f t="shared" si="4"/>
        <v>8.4505869081813376</v>
      </c>
      <c r="X19" s="50">
        <f xml:space="preserve"> STDEV(U19:W19)*Calculation!I19/Calculation!K18</f>
        <v>6.9514023122504556E-2</v>
      </c>
    </row>
    <row r="20" spans="1:24">
      <c r="A20" s="69">
        <v>16</v>
      </c>
      <c r="B20" s="70">
        <v>360</v>
      </c>
      <c r="C20" s="70">
        <v>1800</v>
      </c>
      <c r="D20" s="71">
        <v>30</v>
      </c>
      <c r="E20" s="33">
        <v>2</v>
      </c>
      <c r="F20" s="33">
        <v>15703</v>
      </c>
      <c r="G20" s="33">
        <v>7</v>
      </c>
      <c r="H20" s="45">
        <f>('Flow cytometer'!F20/'Flow cytometer'!G20)*POWER(10,'Flow cytometer'!E20+2)*10.2</f>
        <v>228815142.85714284</v>
      </c>
      <c r="I20" s="33">
        <v>2</v>
      </c>
      <c r="J20" s="33">
        <v>19440</v>
      </c>
      <c r="K20" s="33">
        <v>7</v>
      </c>
      <c r="L20" s="45">
        <f>('Flow cytometer'!J20/'Flow cytometer'!K20)*POWER(10,'Flow cytometer'!I20+2)*10.2</f>
        <v>283268571.42857146</v>
      </c>
      <c r="M20" s="33">
        <v>2</v>
      </c>
      <c r="N20" s="33">
        <v>16089</v>
      </c>
      <c r="O20" s="33">
        <v>7</v>
      </c>
      <c r="P20" s="45">
        <f>('Flow cytometer'!N20/'Flow cytometer'!O20)*POWER(10,'Flow cytometer'!M20+2)*10.2</f>
        <v>234439714.2857143</v>
      </c>
      <c r="Q20" s="48">
        <f>AVERAGE(H20,L20,P20)*Calculation!I20/Calculation!K19</f>
        <v>266071230.94684079</v>
      </c>
      <c r="R20" s="49">
        <f>STDEV(H20,L20,P20)*Calculation!I20/Calculation!K19</f>
        <v>32020962.788227402</v>
      </c>
      <c r="S20" s="50">
        <f t="shared" ref="S20:S21" si="5">LOG(Q20)</f>
        <v>8.4249979188336717</v>
      </c>
      <c r="T20" s="50">
        <f t="shared" ref="T20:T21" si="6">LN(Q20)</f>
        <v>19.399274616412271</v>
      </c>
      <c r="U20" s="50">
        <f t="shared" si="2"/>
        <v>8.3594847624360185</v>
      </c>
      <c r="V20" s="50">
        <f t="shared" si="3"/>
        <v>8.452198392337916</v>
      </c>
      <c r="W20" s="50">
        <f t="shared" si="4"/>
        <v>8.3700311834303918</v>
      </c>
      <c r="X20" s="50">
        <f xml:space="preserve"> STDEV(U20:W20)*Calculation!I20/Calculation!K19</f>
        <v>5.4272984291471461E-2</v>
      </c>
    </row>
    <row r="21" spans="1:24">
      <c r="A21" s="69">
        <v>17</v>
      </c>
      <c r="B21" s="70">
        <v>1080</v>
      </c>
      <c r="C21" s="70">
        <v>2880</v>
      </c>
      <c r="D21" s="71">
        <v>48</v>
      </c>
      <c r="E21" s="33">
        <v>2</v>
      </c>
      <c r="F21" s="33">
        <v>14633</v>
      </c>
      <c r="G21" s="33">
        <v>7</v>
      </c>
      <c r="H21" s="45">
        <f>('Flow cytometer'!F21/'Flow cytometer'!G21)*POWER(10,'Flow cytometer'!E21+2)*10.2</f>
        <v>213223714.2857143</v>
      </c>
      <c r="I21" s="33">
        <v>2</v>
      </c>
      <c r="J21" s="33">
        <v>14842</v>
      </c>
      <c r="K21" s="33">
        <v>7</v>
      </c>
      <c r="L21" s="45">
        <f>('Flow cytometer'!J21/'Flow cytometer'!K21)*POWER(10,'Flow cytometer'!I21+2)*10.2</f>
        <v>216269142.85714284</v>
      </c>
      <c r="M21" s="33">
        <v>2</v>
      </c>
      <c r="N21" s="33">
        <v>14894</v>
      </c>
      <c r="O21" s="33">
        <v>7</v>
      </c>
      <c r="P21" s="45">
        <f>('Flow cytometer'!N21/'Flow cytometer'!O21)*POWER(10,'Flow cytometer'!M21+2)*10.2</f>
        <v>217026857.14285713</v>
      </c>
      <c r="Q21" s="48">
        <f>AVERAGE(H21,L21,P21)*Calculation!I21/Calculation!K20</f>
        <v>230711611.6720016</v>
      </c>
      <c r="R21" s="49">
        <f>STDEV(H21,L21,P21)*Calculation!I21/Calculation!K20</f>
        <v>2155011.3602489806</v>
      </c>
      <c r="S21" s="50">
        <f t="shared" si="5"/>
        <v>8.3630694530307164</v>
      </c>
      <c r="T21" s="50">
        <f t="shared" si="6"/>
        <v>19.256679054222396</v>
      </c>
      <c r="U21" s="50">
        <f>LOG(H21)</f>
        <v>8.328835504344644</v>
      </c>
      <c r="V21" s="50">
        <f>LOG(L21)</f>
        <v>8.3349945590005614</v>
      </c>
      <c r="W21" s="50">
        <f>LOG(P21)</f>
        <v>8.336513481255011</v>
      </c>
      <c r="X21" s="50">
        <f xml:space="preserve"> STDEV(U21:W21)*Calculation!I21/Calculation!K20</f>
        <v>4.3528382378140119E-3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7" workbookViewId="0">
      <selection activeCell="D45" sqref="D45"/>
    </sheetView>
  </sheetViews>
  <sheetFormatPr baseColWidth="10" defaultRowHeight="14" x14ac:dyDescent="0"/>
  <sheetData>
    <row r="1" spans="1:22">
      <c r="A1" s="84"/>
      <c r="B1" s="131" t="s">
        <v>4</v>
      </c>
      <c r="C1" s="133" t="s">
        <v>185</v>
      </c>
      <c r="D1" s="134" t="s">
        <v>18</v>
      </c>
      <c r="E1" s="134"/>
      <c r="F1" s="134"/>
      <c r="G1" s="134"/>
      <c r="H1" s="134" t="s">
        <v>20</v>
      </c>
      <c r="I1" s="134"/>
      <c r="J1" s="134"/>
      <c r="K1" s="134"/>
      <c r="L1" s="134" t="s">
        <v>21</v>
      </c>
      <c r="M1" s="134"/>
      <c r="N1" s="134"/>
      <c r="O1" s="134"/>
      <c r="P1" s="85" t="s">
        <v>22</v>
      </c>
      <c r="Q1" s="85" t="s">
        <v>22</v>
      </c>
      <c r="R1" s="85" t="s">
        <v>22</v>
      </c>
      <c r="S1" s="126" t="s">
        <v>186</v>
      </c>
      <c r="T1" s="84"/>
      <c r="U1" s="84"/>
      <c r="V1" s="84"/>
    </row>
    <row r="2" spans="1:22">
      <c r="A2" s="84"/>
      <c r="B2" s="132"/>
      <c r="C2" s="132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  <c r="S2" s="127"/>
      <c r="T2" s="84"/>
      <c r="U2" s="84"/>
      <c r="V2" s="84"/>
    </row>
    <row r="3" spans="1:22">
      <c r="A3" s="84"/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28"/>
      <c r="Q3" s="129"/>
      <c r="R3" s="130"/>
      <c r="S3" s="84"/>
      <c r="T3" s="84"/>
      <c r="U3" s="84"/>
      <c r="V3" s="84"/>
    </row>
    <row r="4" spans="1:22">
      <c r="A4" s="84"/>
      <c r="B4" s="91" t="s">
        <v>187</v>
      </c>
      <c r="C4" s="92">
        <v>500</v>
      </c>
      <c r="D4" s="92">
        <v>2</v>
      </c>
      <c r="E4" s="92">
        <v>26960</v>
      </c>
      <c r="F4" s="92">
        <v>7</v>
      </c>
      <c r="G4" s="90">
        <f t="shared" ref="G4:G19" si="0">(E4/F4)*(10.2)*POWER(10,D4+2)</f>
        <v>392845714.28571427</v>
      </c>
      <c r="H4" s="92">
        <v>2</v>
      </c>
      <c r="I4" s="92">
        <v>28998</v>
      </c>
      <c r="J4" s="92">
        <v>7</v>
      </c>
      <c r="K4" s="90">
        <f t="shared" ref="K4:K19" si="1">(I4/J4)*(10.2)*POWER(10,H4+2)</f>
        <v>422542285.71428567</v>
      </c>
      <c r="L4" s="92">
        <v>2</v>
      </c>
      <c r="M4" s="92">
        <v>29053</v>
      </c>
      <c r="N4" s="92">
        <v>7</v>
      </c>
      <c r="O4" s="90">
        <f t="shared" ref="O4:O19" si="2">(M4/N4)*(10.2)*POWER(10,L4+2)</f>
        <v>423343714.28571433</v>
      </c>
      <c r="P4" s="93">
        <f t="shared" ref="P4:P19" si="3">AVERAGE(O4,K4,G4)</f>
        <v>412910571.4285714</v>
      </c>
      <c r="Q4" s="93">
        <f t="shared" ref="Q4:Q19" si="4">STDEV(O4,K4,G4)</f>
        <v>17381295.724462688</v>
      </c>
      <c r="R4" s="94">
        <f>LOG(P4)</f>
        <v>8.6158560019212569</v>
      </c>
      <c r="S4" s="84"/>
      <c r="T4" s="84"/>
      <c r="U4" s="84"/>
      <c r="V4" s="84"/>
    </row>
    <row r="5" spans="1:22">
      <c r="A5" s="84"/>
      <c r="B5" s="91" t="s">
        <v>188</v>
      </c>
      <c r="C5" s="92">
        <v>500</v>
      </c>
      <c r="D5" s="92">
        <v>1</v>
      </c>
      <c r="E5" s="92">
        <v>25770</v>
      </c>
      <c r="F5" s="92">
        <v>7</v>
      </c>
      <c r="G5" s="90">
        <f t="shared" si="0"/>
        <v>37550571.428571425</v>
      </c>
      <c r="H5" s="92">
        <v>1</v>
      </c>
      <c r="I5" s="92">
        <v>24760</v>
      </c>
      <c r="J5" s="92">
        <v>7</v>
      </c>
      <c r="K5" s="90">
        <f t="shared" si="1"/>
        <v>36078857.142857142</v>
      </c>
      <c r="L5" s="92">
        <v>1</v>
      </c>
      <c r="M5" s="92">
        <v>27526</v>
      </c>
      <c r="N5" s="92">
        <v>7</v>
      </c>
      <c r="O5" s="90">
        <f t="shared" si="2"/>
        <v>40109314.285714284</v>
      </c>
      <c r="P5" s="93">
        <f t="shared" si="3"/>
        <v>37912914.285714291</v>
      </c>
      <c r="Q5" s="93">
        <f t="shared" si="4"/>
        <v>2039513.5338344474</v>
      </c>
      <c r="R5" s="94">
        <f t="shared" ref="R5:R19" si="5">LOG(P5)</f>
        <v>7.5787871690098934</v>
      </c>
      <c r="S5" s="84"/>
      <c r="T5" s="84"/>
      <c r="U5" s="84"/>
      <c r="V5" s="84"/>
    </row>
    <row r="6" spans="1:22">
      <c r="A6" s="84"/>
      <c r="B6" s="91" t="s">
        <v>189</v>
      </c>
      <c r="C6" s="92">
        <v>500</v>
      </c>
      <c r="D6" s="92">
        <v>0</v>
      </c>
      <c r="E6" s="92">
        <v>2493</v>
      </c>
      <c r="F6" s="92">
        <v>7</v>
      </c>
      <c r="G6" s="90">
        <f t="shared" si="0"/>
        <v>363265.71428571426</v>
      </c>
      <c r="H6" s="92">
        <v>0</v>
      </c>
      <c r="I6" s="92">
        <v>2459</v>
      </c>
      <c r="J6" s="92">
        <v>7</v>
      </c>
      <c r="K6" s="90">
        <f t="shared" si="1"/>
        <v>358311.42857142852</v>
      </c>
      <c r="L6" s="92">
        <v>0</v>
      </c>
      <c r="M6" s="92">
        <v>2550</v>
      </c>
      <c r="N6" s="92">
        <v>7</v>
      </c>
      <c r="O6" s="90">
        <f t="shared" si="2"/>
        <v>371571.42857142852</v>
      </c>
      <c r="P6" s="93">
        <f t="shared" si="3"/>
        <v>364382.8571428571</v>
      </c>
      <c r="Q6" s="93">
        <f t="shared" si="4"/>
        <v>6700.2168712996863</v>
      </c>
      <c r="R6" s="94">
        <f t="shared" si="5"/>
        <v>5.5615579368427026</v>
      </c>
      <c r="S6" s="95" t="s">
        <v>133</v>
      </c>
      <c r="T6" s="84"/>
      <c r="U6" s="84"/>
      <c r="V6" s="84"/>
    </row>
    <row r="7" spans="1:22">
      <c r="A7" s="84"/>
      <c r="B7" s="91" t="s">
        <v>190</v>
      </c>
      <c r="C7" s="92">
        <v>500</v>
      </c>
      <c r="D7" s="92">
        <f>LOG(705/250)</f>
        <v>0.45024910831936105</v>
      </c>
      <c r="E7" s="92">
        <v>946</v>
      </c>
      <c r="F7" s="92">
        <v>7</v>
      </c>
      <c r="G7" s="90">
        <f>(E7/F7)*(1)*POWER(10,D7+2)</f>
        <v>38110.285714285717</v>
      </c>
      <c r="H7" s="92">
        <f>LOG(705/250)</f>
        <v>0.45024910831936105</v>
      </c>
      <c r="I7" s="92">
        <v>885</v>
      </c>
      <c r="J7" s="92">
        <v>7</v>
      </c>
      <c r="K7" s="90">
        <f t="shared" si="1"/>
        <v>363659.1428571429</v>
      </c>
      <c r="L7" s="92">
        <f>LOG(705/250)</f>
        <v>0.45024910831936105</v>
      </c>
      <c r="M7" s="92">
        <v>947</v>
      </c>
      <c r="N7" s="92">
        <v>7</v>
      </c>
      <c r="O7" s="90">
        <f>(M7/N7)*(1)*POWER(10,L7+2)</f>
        <v>38150.571428571435</v>
      </c>
      <c r="P7" s="93">
        <f t="shared" si="3"/>
        <v>146640.00000000003</v>
      </c>
      <c r="Q7" s="93">
        <f t="shared" si="4"/>
        <v>187944.09190121258</v>
      </c>
      <c r="R7" s="94">
        <f t="shared" si="5"/>
        <v>5.1662524519541604</v>
      </c>
      <c r="S7" s="84"/>
      <c r="T7" s="84"/>
      <c r="U7" s="84"/>
      <c r="V7" s="84"/>
    </row>
    <row r="8" spans="1:22">
      <c r="A8" s="84"/>
      <c r="B8" s="91" t="s">
        <v>191</v>
      </c>
      <c r="C8" s="92">
        <v>500</v>
      </c>
      <c r="D8" s="92">
        <f>LOG(705/250)</f>
        <v>0.45024910831936105</v>
      </c>
      <c r="E8" s="92">
        <v>1248</v>
      </c>
      <c r="F8" s="92">
        <v>70</v>
      </c>
      <c r="G8" s="90">
        <f>(E8/F8)*(1)*POWER(10,D8+2)</f>
        <v>5027.6571428571442</v>
      </c>
      <c r="H8" s="92">
        <f>LOG(705/250)</f>
        <v>0.45024910831936105</v>
      </c>
      <c r="I8" s="92">
        <v>1303</v>
      </c>
      <c r="J8" s="92">
        <v>70</v>
      </c>
      <c r="K8" s="90">
        <f t="shared" si="1"/>
        <v>53542.131428571432</v>
      </c>
      <c r="L8" s="92">
        <f>LOG(705/250)</f>
        <v>0.45024910831936105</v>
      </c>
      <c r="M8" s="92">
        <v>1278</v>
      </c>
      <c r="N8" s="92">
        <v>70</v>
      </c>
      <c r="O8" s="90">
        <f>(M8/N8)*(1)*POWER(10,L8+2)</f>
        <v>5148.5142857142864</v>
      </c>
      <c r="P8" s="93">
        <f t="shared" si="3"/>
        <v>21239.434285714287</v>
      </c>
      <c r="Q8" s="93">
        <f t="shared" si="4"/>
        <v>27975.021602129429</v>
      </c>
      <c r="R8" s="94">
        <f t="shared" si="5"/>
        <v>4.3271429450900092</v>
      </c>
      <c r="S8" s="84"/>
      <c r="T8" s="84"/>
      <c r="U8" s="84"/>
      <c r="V8" s="84"/>
    </row>
    <row r="9" spans="1:22">
      <c r="A9" s="84"/>
      <c r="B9" s="91" t="s">
        <v>192</v>
      </c>
      <c r="C9" s="92">
        <v>900</v>
      </c>
      <c r="D9" s="92">
        <v>2</v>
      </c>
      <c r="E9" s="92">
        <v>26822</v>
      </c>
      <c r="F9" s="92">
        <v>7</v>
      </c>
      <c r="G9" s="90">
        <f t="shared" si="0"/>
        <v>390834857.14285713</v>
      </c>
      <c r="H9" s="92">
        <v>2</v>
      </c>
      <c r="I9" s="92">
        <v>25452</v>
      </c>
      <c r="J9" s="92">
        <v>7</v>
      </c>
      <c r="K9" s="90">
        <f t="shared" si="1"/>
        <v>370872000</v>
      </c>
      <c r="L9" s="92">
        <v>2</v>
      </c>
      <c r="M9" s="92">
        <v>29126</v>
      </c>
      <c r="N9" s="92">
        <v>7</v>
      </c>
      <c r="O9" s="90">
        <f t="shared" si="2"/>
        <v>424407428.57142854</v>
      </c>
      <c r="P9" s="93">
        <f t="shared" si="3"/>
        <v>395371428.57142854</v>
      </c>
      <c r="Q9" s="93">
        <f t="shared" si="4"/>
        <v>27054498.485954784</v>
      </c>
      <c r="R9" s="94">
        <f t="shared" si="5"/>
        <v>8.5970052819172</v>
      </c>
      <c r="S9" s="84"/>
      <c r="T9" s="84"/>
      <c r="U9" s="84"/>
      <c r="V9" s="84"/>
    </row>
    <row r="10" spans="1:22">
      <c r="A10" s="84"/>
      <c r="B10" s="91" t="s">
        <v>193</v>
      </c>
      <c r="C10" s="92">
        <v>900</v>
      </c>
      <c r="D10" s="92">
        <v>1</v>
      </c>
      <c r="E10" s="92">
        <v>11669</v>
      </c>
      <c r="F10" s="92">
        <v>7</v>
      </c>
      <c r="G10" s="90">
        <f t="shared" si="0"/>
        <v>17003399.999999996</v>
      </c>
      <c r="H10" s="92">
        <v>1</v>
      </c>
      <c r="I10" s="92">
        <v>13970</v>
      </c>
      <c r="J10" s="92">
        <v>20</v>
      </c>
      <c r="K10" s="90">
        <f t="shared" si="1"/>
        <v>7124700</v>
      </c>
      <c r="L10" s="92">
        <v>1</v>
      </c>
      <c r="M10" s="92">
        <v>12995</v>
      </c>
      <c r="N10" s="92">
        <v>7</v>
      </c>
      <c r="O10" s="90">
        <f t="shared" si="2"/>
        <v>18935571.428571429</v>
      </c>
      <c r="P10" s="93">
        <f t="shared" si="3"/>
        <v>14354557.142857142</v>
      </c>
      <c r="Q10" s="93">
        <f t="shared" si="4"/>
        <v>6335333.2459262749</v>
      </c>
      <c r="R10" s="94">
        <f t="shared" si="5"/>
        <v>7.1569897984779303</v>
      </c>
      <c r="S10" s="95" t="s">
        <v>133</v>
      </c>
      <c r="T10" s="84"/>
      <c r="U10" s="84"/>
      <c r="V10" s="84"/>
    </row>
    <row r="11" spans="1:22">
      <c r="A11" s="84"/>
      <c r="B11" s="91" t="s">
        <v>194</v>
      </c>
      <c r="C11" s="92">
        <v>900</v>
      </c>
      <c r="D11" s="92">
        <v>1</v>
      </c>
      <c r="E11" s="92">
        <v>6123</v>
      </c>
      <c r="F11" s="92">
        <v>7</v>
      </c>
      <c r="G11" s="90">
        <f t="shared" si="0"/>
        <v>8922085.7142857127</v>
      </c>
      <c r="H11" s="92">
        <v>1</v>
      </c>
      <c r="I11" s="92">
        <v>6639</v>
      </c>
      <c r="J11" s="92">
        <v>7</v>
      </c>
      <c r="K11" s="90">
        <f t="shared" si="1"/>
        <v>9673971.4285714272</v>
      </c>
      <c r="L11" s="92">
        <v>1</v>
      </c>
      <c r="M11" s="92">
        <v>7021</v>
      </c>
      <c r="N11" s="92">
        <v>7</v>
      </c>
      <c r="O11" s="90">
        <f t="shared" si="2"/>
        <v>10230599.999999998</v>
      </c>
      <c r="P11" s="93">
        <f t="shared" si="3"/>
        <v>9608885.7142857127</v>
      </c>
      <c r="Q11" s="93">
        <f t="shared" si="4"/>
        <v>656680.68468065432</v>
      </c>
      <c r="R11" s="94">
        <f t="shared" si="5"/>
        <v>6.9826730280228597</v>
      </c>
      <c r="S11" s="95" t="s">
        <v>133</v>
      </c>
      <c r="T11" s="84"/>
      <c r="U11" s="84"/>
      <c r="V11" s="84"/>
    </row>
    <row r="12" spans="1:22">
      <c r="A12" s="84"/>
      <c r="B12" s="91" t="s">
        <v>195</v>
      </c>
      <c r="C12" s="92">
        <v>900</v>
      </c>
      <c r="D12" s="92">
        <v>1</v>
      </c>
      <c r="E12" s="92">
        <v>29009</v>
      </c>
      <c r="F12" s="92">
        <v>7</v>
      </c>
      <c r="G12" s="90">
        <f t="shared" si="0"/>
        <v>42270257.142857142</v>
      </c>
      <c r="H12" s="92">
        <v>1</v>
      </c>
      <c r="I12" s="92">
        <v>29016</v>
      </c>
      <c r="J12" s="92">
        <v>7</v>
      </c>
      <c r="K12" s="90">
        <f t="shared" si="1"/>
        <v>42280457.142857134</v>
      </c>
      <c r="L12" s="92">
        <v>1</v>
      </c>
      <c r="M12" s="92">
        <v>31568</v>
      </c>
      <c r="N12" s="92">
        <v>7</v>
      </c>
      <c r="O12" s="90">
        <f t="shared" si="2"/>
        <v>45999085.714285709</v>
      </c>
      <c r="P12" s="93">
        <f t="shared" si="3"/>
        <v>43516599.999999993</v>
      </c>
      <c r="Q12" s="93">
        <f t="shared" si="4"/>
        <v>2149901.7422255576</v>
      </c>
      <c r="R12" s="94">
        <f t="shared" si="5"/>
        <v>7.6386549561082937</v>
      </c>
      <c r="S12" s="84"/>
      <c r="T12" s="84"/>
      <c r="U12" s="84"/>
      <c r="V12" s="84"/>
    </row>
    <row r="13" spans="1:22">
      <c r="A13" s="84"/>
      <c r="B13" s="91" t="s">
        <v>196</v>
      </c>
      <c r="C13" s="92">
        <v>900</v>
      </c>
      <c r="D13" s="92">
        <v>1</v>
      </c>
      <c r="E13" s="92">
        <v>13542</v>
      </c>
      <c r="F13" s="92">
        <v>7</v>
      </c>
      <c r="G13" s="90">
        <f t="shared" si="0"/>
        <v>19732628.571428571</v>
      </c>
      <c r="H13" s="92">
        <v>1</v>
      </c>
      <c r="I13" s="92">
        <v>14070</v>
      </c>
      <c r="J13" s="92">
        <v>7</v>
      </c>
      <c r="K13" s="90">
        <f t="shared" si="1"/>
        <v>20502000</v>
      </c>
      <c r="L13" s="92">
        <v>1</v>
      </c>
      <c r="M13" s="92">
        <v>15197</v>
      </c>
      <c r="N13" s="92">
        <v>7</v>
      </c>
      <c r="O13" s="90">
        <f t="shared" si="2"/>
        <v>22144199.999999996</v>
      </c>
      <c r="P13" s="93">
        <f t="shared" si="3"/>
        <v>20792942.857142854</v>
      </c>
      <c r="Q13" s="93">
        <f t="shared" si="4"/>
        <v>1231829.938898768</v>
      </c>
      <c r="R13" s="94">
        <f t="shared" si="5"/>
        <v>7.3179159600467427</v>
      </c>
      <c r="S13" s="84"/>
      <c r="T13" s="84"/>
      <c r="U13" s="84"/>
      <c r="V13" s="84"/>
    </row>
    <row r="14" spans="1:22">
      <c r="A14" s="84"/>
      <c r="B14" s="91" t="s">
        <v>197</v>
      </c>
      <c r="C14" s="92">
        <v>900</v>
      </c>
      <c r="D14" s="92">
        <v>1</v>
      </c>
      <c r="E14" s="92">
        <v>6282</v>
      </c>
      <c r="F14" s="92">
        <v>7</v>
      </c>
      <c r="G14" s="90">
        <f t="shared" si="0"/>
        <v>9153771.4285714291</v>
      </c>
      <c r="H14" s="92">
        <v>1</v>
      </c>
      <c r="I14" s="92">
        <v>6343</v>
      </c>
      <c r="J14" s="92">
        <v>7</v>
      </c>
      <c r="K14" s="90">
        <f t="shared" si="1"/>
        <v>9242657.1428571418</v>
      </c>
      <c r="L14" s="92">
        <v>1</v>
      </c>
      <c r="M14" s="92">
        <v>7014</v>
      </c>
      <c r="N14" s="92">
        <v>7</v>
      </c>
      <c r="O14" s="90">
        <f t="shared" si="2"/>
        <v>10220400</v>
      </c>
      <c r="P14" s="93">
        <f t="shared" si="3"/>
        <v>9538942.8571428563</v>
      </c>
      <c r="Q14" s="93">
        <f t="shared" si="4"/>
        <v>591830.25075969705</v>
      </c>
      <c r="R14" s="94">
        <f t="shared" si="5"/>
        <v>6.9795002471622967</v>
      </c>
      <c r="S14" s="84"/>
      <c r="T14" s="84"/>
      <c r="U14" s="84"/>
      <c r="V14" s="84"/>
    </row>
    <row r="15" spans="1:22">
      <c r="A15" s="84"/>
      <c r="B15" s="91" t="s">
        <v>198</v>
      </c>
      <c r="C15" s="92">
        <v>900</v>
      </c>
      <c r="D15" s="92">
        <v>1</v>
      </c>
      <c r="E15" s="92">
        <v>3249</v>
      </c>
      <c r="F15" s="92">
        <v>7</v>
      </c>
      <c r="G15" s="90">
        <f t="shared" si="0"/>
        <v>4734257.1428571427</v>
      </c>
      <c r="H15" s="92">
        <v>1</v>
      </c>
      <c r="I15" s="92">
        <v>3902</v>
      </c>
      <c r="J15" s="92">
        <v>7</v>
      </c>
      <c r="K15" s="90">
        <f t="shared" si="1"/>
        <v>5685771.4285714282</v>
      </c>
      <c r="L15" s="92">
        <v>1</v>
      </c>
      <c r="M15" s="92">
        <v>3833</v>
      </c>
      <c r="N15" s="92">
        <v>7</v>
      </c>
      <c r="O15" s="90">
        <f t="shared" si="2"/>
        <v>5585228.5714285709</v>
      </c>
      <c r="P15" s="93">
        <f t="shared" si="3"/>
        <v>5335085.7142857136</v>
      </c>
      <c r="Q15" s="93">
        <f t="shared" si="4"/>
        <v>522755.62714741344</v>
      </c>
      <c r="R15" s="94">
        <f t="shared" si="5"/>
        <v>6.7271414012566968</v>
      </c>
      <c r="S15" s="84"/>
      <c r="T15" s="84"/>
      <c r="U15" s="84"/>
      <c r="V15" s="84"/>
    </row>
    <row r="16" spans="1:22">
      <c r="A16" s="84"/>
      <c r="B16" s="91" t="s">
        <v>199</v>
      </c>
      <c r="C16" s="92">
        <v>900</v>
      </c>
      <c r="D16" s="92">
        <v>0</v>
      </c>
      <c r="E16" s="92">
        <v>12331</v>
      </c>
      <c r="F16" s="92">
        <v>7</v>
      </c>
      <c r="G16" s="90">
        <f t="shared" si="0"/>
        <v>1796802.857142857</v>
      </c>
      <c r="H16" s="92">
        <v>0</v>
      </c>
      <c r="I16" s="92">
        <v>13246</v>
      </c>
      <c r="J16" s="92">
        <v>7</v>
      </c>
      <c r="K16" s="90">
        <f t="shared" si="1"/>
        <v>1930131.4285714284</v>
      </c>
      <c r="L16" s="92">
        <v>0</v>
      </c>
      <c r="M16" s="92">
        <v>11745</v>
      </c>
      <c r="N16" s="92">
        <v>7</v>
      </c>
      <c r="O16" s="90">
        <f t="shared" si="2"/>
        <v>1711414.2857142854</v>
      </c>
      <c r="P16" s="93">
        <f t="shared" si="3"/>
        <v>1812782.857142857</v>
      </c>
      <c r="Q16" s="93">
        <f t="shared" si="4"/>
        <v>110230.74636823416</v>
      </c>
      <c r="R16" s="94">
        <f t="shared" si="5"/>
        <v>6.2583457855668376</v>
      </c>
      <c r="S16" s="84"/>
      <c r="T16" s="84"/>
      <c r="U16" s="84"/>
      <c r="V16" s="84"/>
    </row>
    <row r="17" spans="1:22">
      <c r="A17" s="84"/>
      <c r="B17" s="91" t="s">
        <v>200</v>
      </c>
      <c r="C17" s="92">
        <v>900</v>
      </c>
      <c r="D17" s="92">
        <v>0</v>
      </c>
      <c r="E17" s="92">
        <v>6389</v>
      </c>
      <c r="F17" s="92">
        <v>7</v>
      </c>
      <c r="G17" s="90">
        <f t="shared" si="0"/>
        <v>930968.57142857136</v>
      </c>
      <c r="H17" s="92">
        <v>0</v>
      </c>
      <c r="I17" s="92">
        <v>4586</v>
      </c>
      <c r="J17" s="92">
        <v>7</v>
      </c>
      <c r="K17" s="90">
        <f t="shared" si="1"/>
        <v>668245.7142857142</v>
      </c>
      <c r="L17" s="92">
        <v>0</v>
      </c>
      <c r="M17" s="92">
        <v>5332</v>
      </c>
      <c r="N17" s="92">
        <v>7</v>
      </c>
      <c r="O17" s="90">
        <f t="shared" si="2"/>
        <v>776948.57142857136</v>
      </c>
      <c r="P17" s="93">
        <f t="shared" si="3"/>
        <v>792054.28571428556</v>
      </c>
      <c r="Q17" s="93">
        <f t="shared" si="4"/>
        <v>132011.21872548491</v>
      </c>
      <c r="R17" s="94">
        <f t="shared" si="5"/>
        <v>5.8987549482286576</v>
      </c>
      <c r="S17" s="84"/>
      <c r="T17" s="84"/>
      <c r="U17" s="84"/>
      <c r="V17" s="84"/>
    </row>
    <row r="18" spans="1:22">
      <c r="A18" s="84"/>
      <c r="B18" s="91" t="s">
        <v>201</v>
      </c>
      <c r="C18" s="92">
        <v>900</v>
      </c>
      <c r="D18" s="92">
        <v>0</v>
      </c>
      <c r="E18" s="92">
        <v>2453</v>
      </c>
      <c r="F18" s="92">
        <v>7</v>
      </c>
      <c r="G18" s="90">
        <f t="shared" si="0"/>
        <v>357437.14285714284</v>
      </c>
      <c r="H18" s="92">
        <v>0</v>
      </c>
      <c r="I18" s="92">
        <v>2433</v>
      </c>
      <c r="J18" s="92">
        <v>7</v>
      </c>
      <c r="K18" s="90">
        <f t="shared" si="1"/>
        <v>354522.8571428571</v>
      </c>
      <c r="L18" s="92">
        <v>0</v>
      </c>
      <c r="M18" s="92">
        <v>1833</v>
      </c>
      <c r="N18" s="92">
        <v>7</v>
      </c>
      <c r="O18" s="90">
        <f t="shared" si="2"/>
        <v>267094.28571428568</v>
      </c>
      <c r="P18" s="93">
        <f t="shared" si="3"/>
        <v>326351.42857142852</v>
      </c>
      <c r="Q18" s="93">
        <f t="shared" si="4"/>
        <v>51338.874159841398</v>
      </c>
      <c r="R18" s="94">
        <f t="shared" si="5"/>
        <v>5.5136855181177333</v>
      </c>
      <c r="S18" s="84"/>
      <c r="T18" s="84"/>
      <c r="U18" s="84"/>
      <c r="V18" s="84"/>
    </row>
    <row r="19" spans="1:22">
      <c r="A19" s="84"/>
      <c r="B19" s="91" t="s">
        <v>202</v>
      </c>
      <c r="C19" s="92">
        <v>900</v>
      </c>
      <c r="D19" s="92">
        <v>0</v>
      </c>
      <c r="E19" s="92">
        <v>2574</v>
      </c>
      <c r="F19" s="92">
        <v>14</v>
      </c>
      <c r="G19" s="90">
        <f t="shared" si="0"/>
        <v>187534.28571428571</v>
      </c>
      <c r="H19" s="92">
        <v>0</v>
      </c>
      <c r="I19" s="92">
        <v>1997</v>
      </c>
      <c r="J19" s="92">
        <v>14</v>
      </c>
      <c r="K19" s="90">
        <f t="shared" si="1"/>
        <v>145495.71428571429</v>
      </c>
      <c r="L19" s="92">
        <v>0</v>
      </c>
      <c r="M19" s="92">
        <v>1974</v>
      </c>
      <c r="N19" s="92">
        <v>14</v>
      </c>
      <c r="O19" s="90">
        <f t="shared" si="2"/>
        <v>143819.99999999997</v>
      </c>
      <c r="P19" s="93">
        <f t="shared" si="3"/>
        <v>158950</v>
      </c>
      <c r="Q19" s="93">
        <f t="shared" si="4"/>
        <v>24768.892727345858</v>
      </c>
      <c r="R19" s="94">
        <f t="shared" si="5"/>
        <v>5.2012605322507914</v>
      </c>
      <c r="S19" s="84"/>
      <c r="T19" s="84"/>
      <c r="U19" s="84"/>
      <c r="V19" s="84"/>
    </row>
    <row r="20" spans="1:22" ht="15" thickBo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</row>
    <row r="21" spans="1:22" ht="43" thickBot="1">
      <c r="A21" s="84"/>
      <c r="B21" s="96" t="s">
        <v>4</v>
      </c>
      <c r="C21" s="96" t="s">
        <v>203</v>
      </c>
      <c r="D21" s="96" t="s">
        <v>204</v>
      </c>
      <c r="E21" s="96" t="s">
        <v>205</v>
      </c>
      <c r="F21" s="96" t="s">
        <v>206</v>
      </c>
      <c r="G21" s="97" t="s">
        <v>207</v>
      </c>
      <c r="H21" s="98" t="s">
        <v>208</v>
      </c>
      <c r="I21" s="98" t="s">
        <v>209</v>
      </c>
      <c r="J21" s="98" t="s">
        <v>210</v>
      </c>
      <c r="K21" s="98" t="s">
        <v>211</v>
      </c>
      <c r="L21" s="98" t="s">
        <v>212</v>
      </c>
      <c r="M21" s="95" t="s">
        <v>213</v>
      </c>
      <c r="N21" s="84"/>
      <c r="O21" s="84"/>
      <c r="P21" s="84"/>
      <c r="Q21" s="84"/>
      <c r="R21" s="84"/>
      <c r="S21" s="84"/>
      <c r="T21" s="84"/>
      <c r="U21" s="84"/>
      <c r="V21" s="84"/>
    </row>
    <row r="22" spans="1:2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</row>
    <row r="23" spans="1:22">
      <c r="A23" s="84"/>
      <c r="B23" s="91" t="s">
        <v>187</v>
      </c>
      <c r="C23" s="99">
        <v>13.733217239379883</v>
      </c>
      <c r="D23" s="99">
        <v>13.964070320129395</v>
      </c>
      <c r="E23" s="99">
        <v>13.836982727050781</v>
      </c>
      <c r="F23" s="100">
        <f>AVERAGE(C23:E23)</f>
        <v>13.844756762186686</v>
      </c>
      <c r="G23" s="84">
        <f>150/100*180/4*1000/900</f>
        <v>75</v>
      </c>
      <c r="H23" s="101">
        <f>LOG(G23)/LOG(2)</f>
        <v>6.2288186904958813</v>
      </c>
      <c r="I23" s="99">
        <f>C23-H23</f>
        <v>7.5043985488840015</v>
      </c>
      <c r="J23" s="99">
        <f>D23-H23</f>
        <v>7.7352516296335132</v>
      </c>
      <c r="K23" s="99">
        <f>E23-H23</f>
        <v>7.6081640365548999</v>
      </c>
      <c r="L23" s="100">
        <f>AVERAGE(I23:K23)</f>
        <v>7.6159380716908052</v>
      </c>
      <c r="M23" s="84"/>
      <c r="N23" s="84"/>
      <c r="O23" s="84"/>
      <c r="P23" s="84"/>
      <c r="Q23" s="84"/>
      <c r="R23" s="84"/>
      <c r="S23" s="84"/>
      <c r="T23" s="84"/>
      <c r="U23" s="84"/>
      <c r="V23" s="84"/>
    </row>
    <row r="24" spans="1:22">
      <c r="A24" s="84"/>
      <c r="B24" s="91" t="s">
        <v>188</v>
      </c>
      <c r="C24" s="99">
        <v>17.19072151184082</v>
      </c>
      <c r="D24" s="99">
        <v>17.22271728515625</v>
      </c>
      <c r="E24" s="99">
        <v>17.264667510986328</v>
      </c>
      <c r="F24" s="100">
        <f t="shared" ref="F24:F38" si="6">AVERAGE(C24:E24)</f>
        <v>17.226035435994465</v>
      </c>
      <c r="G24" s="84">
        <f t="shared" ref="G24:G27" si="7">150/100*180/4*1000/900</f>
        <v>75</v>
      </c>
      <c r="H24" s="101">
        <f t="shared" ref="H24:H37" si="8">LOG(G24)/LOG(2)</f>
        <v>6.2288186904958813</v>
      </c>
      <c r="I24" s="99">
        <f t="shared" ref="I24:I38" si="9">C24-H24</f>
        <v>10.961902821344939</v>
      </c>
      <c r="J24" s="99">
        <f t="shared" ref="J24:J38" si="10">D24-H24</f>
        <v>10.993898594660369</v>
      </c>
      <c r="K24" s="99">
        <f t="shared" ref="K24:K38" si="11">E24-H24</f>
        <v>11.035848820490447</v>
      </c>
      <c r="L24" s="100">
        <f t="shared" ref="L24:L38" si="12">AVERAGE(I24:K24)</f>
        <v>10.997216745498585</v>
      </c>
      <c r="M24" s="84"/>
      <c r="N24" s="84"/>
      <c r="O24" s="84"/>
      <c r="P24" s="84"/>
      <c r="Q24" s="84"/>
      <c r="R24" s="84"/>
      <c r="S24" s="84"/>
      <c r="T24" s="84"/>
      <c r="U24" s="84"/>
      <c r="V24" s="84"/>
    </row>
    <row r="25" spans="1:22">
      <c r="A25" s="84"/>
      <c r="B25" s="91" t="s">
        <v>189</v>
      </c>
      <c r="C25" s="99">
        <v>20.897546768188477</v>
      </c>
      <c r="D25" s="99">
        <v>20.622665405273438</v>
      </c>
      <c r="E25" s="99">
        <v>20.75037956237793</v>
      </c>
      <c r="F25" s="100">
        <f t="shared" si="6"/>
        <v>20.756863911946613</v>
      </c>
      <c r="G25" s="84">
        <f t="shared" si="7"/>
        <v>75</v>
      </c>
      <c r="H25" s="101">
        <f t="shared" si="8"/>
        <v>6.2288186904958813</v>
      </c>
      <c r="I25" s="99">
        <f t="shared" si="9"/>
        <v>14.668728077692595</v>
      </c>
      <c r="J25" s="99">
        <f t="shared" si="10"/>
        <v>14.393846714777556</v>
      </c>
      <c r="K25" s="99">
        <f t="shared" si="11"/>
        <v>14.521560871882048</v>
      </c>
      <c r="L25" s="100">
        <f t="shared" si="12"/>
        <v>14.528045221450734</v>
      </c>
      <c r="M25" s="95" t="s">
        <v>133</v>
      </c>
      <c r="N25" s="84"/>
      <c r="O25" s="84"/>
      <c r="P25" s="84"/>
      <c r="Q25" s="84"/>
      <c r="R25" s="84"/>
      <c r="S25" s="84"/>
      <c r="T25" s="84"/>
      <c r="U25" s="84"/>
      <c r="V25" s="84"/>
    </row>
    <row r="26" spans="1:22">
      <c r="A26" s="84"/>
      <c r="B26" s="91" t="s">
        <v>190</v>
      </c>
      <c r="C26" s="99">
        <v>25.132444381713867</v>
      </c>
      <c r="D26" s="99">
        <v>25.147838592529297</v>
      </c>
      <c r="E26" s="99">
        <v>25.181661605834961</v>
      </c>
      <c r="F26" s="100">
        <f t="shared" si="6"/>
        <v>25.153981526692707</v>
      </c>
      <c r="G26" s="84">
        <f t="shared" si="7"/>
        <v>75</v>
      </c>
      <c r="H26" s="101">
        <f t="shared" si="8"/>
        <v>6.2288186904958813</v>
      </c>
      <c r="I26" s="99">
        <f t="shared" si="9"/>
        <v>18.903625691217986</v>
      </c>
      <c r="J26" s="99">
        <f t="shared" si="10"/>
        <v>18.919019902033416</v>
      </c>
      <c r="K26" s="99">
        <f t="shared" si="11"/>
        <v>18.95284291533908</v>
      </c>
      <c r="L26" s="100">
        <f t="shared" si="12"/>
        <v>18.925162836196829</v>
      </c>
      <c r="M26" s="84"/>
      <c r="N26" s="84"/>
      <c r="O26" s="84"/>
      <c r="P26" s="84"/>
      <c r="Q26" s="84"/>
      <c r="R26" s="84"/>
      <c r="S26" s="84"/>
      <c r="T26" s="84"/>
      <c r="U26" s="84"/>
      <c r="V26" s="84"/>
    </row>
    <row r="27" spans="1:22">
      <c r="A27" s="84"/>
      <c r="B27" s="91" t="s">
        <v>191</v>
      </c>
      <c r="C27" s="99">
        <v>28.415132522583008</v>
      </c>
      <c r="D27" s="99">
        <v>28.359806060791016</v>
      </c>
      <c r="E27" s="99">
        <v>28.363668441772461</v>
      </c>
      <c r="F27" s="100">
        <f t="shared" si="6"/>
        <v>28.379535675048828</v>
      </c>
      <c r="G27" s="84">
        <f t="shared" si="7"/>
        <v>75</v>
      </c>
      <c r="H27" s="101">
        <f t="shared" si="8"/>
        <v>6.2288186904958813</v>
      </c>
      <c r="I27" s="99">
        <f t="shared" si="9"/>
        <v>22.186313832087126</v>
      </c>
      <c r="J27" s="99">
        <f t="shared" si="10"/>
        <v>22.130987370295134</v>
      </c>
      <c r="K27" s="99">
        <f t="shared" si="11"/>
        <v>22.13484975127658</v>
      </c>
      <c r="L27" s="100">
        <f t="shared" si="12"/>
        <v>22.150716984552947</v>
      </c>
      <c r="M27" s="84"/>
      <c r="N27" s="84"/>
      <c r="O27" s="84"/>
      <c r="P27" s="84"/>
      <c r="Q27" s="84"/>
      <c r="R27" s="84"/>
      <c r="S27" s="84"/>
      <c r="T27" s="84"/>
      <c r="U27" s="84"/>
      <c r="V27" s="84"/>
    </row>
    <row r="28" spans="1:22">
      <c r="A28" s="84"/>
      <c r="B28" s="91" t="s">
        <v>192</v>
      </c>
      <c r="C28" s="99">
        <v>14.936457633972168</v>
      </c>
      <c r="D28" s="99">
        <v>14.999619483947754</v>
      </c>
      <c r="E28" s="99">
        <v>15.074687957763672</v>
      </c>
      <c r="F28" s="100">
        <f t="shared" si="6"/>
        <v>15.003588358561197</v>
      </c>
      <c r="G28" s="84">
        <f>150/100*180/4*1000/500</f>
        <v>135</v>
      </c>
      <c r="H28" s="101">
        <f t="shared" si="8"/>
        <v>7.0768155970508309</v>
      </c>
      <c r="I28" s="99">
        <f t="shared" si="9"/>
        <v>7.8596420369213371</v>
      </c>
      <c r="J28" s="99">
        <f t="shared" si="10"/>
        <v>7.9228038868969231</v>
      </c>
      <c r="K28" s="99">
        <f t="shared" si="11"/>
        <v>7.997872360712841</v>
      </c>
      <c r="L28" s="100">
        <f t="shared" si="12"/>
        <v>7.9267727615103674</v>
      </c>
      <c r="M28" s="84"/>
      <c r="N28" s="84"/>
      <c r="O28" s="84"/>
      <c r="P28" s="84"/>
      <c r="Q28" s="84"/>
      <c r="R28" s="84"/>
      <c r="S28" s="84"/>
      <c r="T28" s="84"/>
      <c r="U28" s="84"/>
      <c r="V28" s="84"/>
    </row>
    <row r="29" spans="1:22">
      <c r="A29" s="84"/>
      <c r="B29" s="91" t="s">
        <v>193</v>
      </c>
      <c r="C29" s="99">
        <v>16.18989372253418</v>
      </c>
      <c r="D29" s="99">
        <v>15.8782958984375</v>
      </c>
      <c r="E29" s="99">
        <v>15.960098266601562</v>
      </c>
      <c r="F29" s="100">
        <f t="shared" si="6"/>
        <v>16.009429295857746</v>
      </c>
      <c r="G29" s="84">
        <f t="shared" ref="G29:G37" si="13">150/100*180/4*1000/500</f>
        <v>135</v>
      </c>
      <c r="H29" s="101">
        <f t="shared" si="8"/>
        <v>7.0768155970508309</v>
      </c>
      <c r="I29" s="99">
        <f t="shared" si="9"/>
        <v>9.1130781254833479</v>
      </c>
      <c r="J29" s="99">
        <f t="shared" si="10"/>
        <v>8.8014803013866683</v>
      </c>
      <c r="K29" s="99">
        <f t="shared" si="11"/>
        <v>8.8832826695507308</v>
      </c>
      <c r="L29" s="100">
        <f t="shared" si="12"/>
        <v>8.9326136988069162</v>
      </c>
      <c r="M29" s="95" t="s">
        <v>133</v>
      </c>
      <c r="N29" s="84"/>
      <c r="O29" s="84"/>
      <c r="P29" s="84"/>
      <c r="Q29" s="84"/>
      <c r="R29" s="84"/>
      <c r="S29" s="84"/>
      <c r="T29" s="84"/>
      <c r="U29" s="84"/>
      <c r="V29" s="84"/>
    </row>
    <row r="30" spans="1:22">
      <c r="A30" s="84"/>
      <c r="B30" s="91" t="s">
        <v>194</v>
      </c>
      <c r="C30" s="99">
        <v>16.854721069335938</v>
      </c>
      <c r="D30" s="99">
        <v>16.93126106262207</v>
      </c>
      <c r="E30" s="99">
        <v>17.05010986328125</v>
      </c>
      <c r="F30" s="100">
        <f t="shared" si="6"/>
        <v>16.945363998413086</v>
      </c>
      <c r="G30" s="84">
        <f t="shared" si="13"/>
        <v>135</v>
      </c>
      <c r="H30" s="101">
        <f t="shared" si="8"/>
        <v>7.0768155970508309</v>
      </c>
      <c r="I30" s="99">
        <f t="shared" si="9"/>
        <v>9.7779054722851058</v>
      </c>
      <c r="J30" s="99">
        <f t="shared" si="10"/>
        <v>9.8544454655712386</v>
      </c>
      <c r="K30" s="99">
        <f t="shared" si="11"/>
        <v>9.9732942662304183</v>
      </c>
      <c r="L30" s="100">
        <f t="shared" si="12"/>
        <v>9.8685484013622542</v>
      </c>
      <c r="M30" s="95" t="s">
        <v>133</v>
      </c>
      <c r="N30" s="84"/>
      <c r="O30" s="84"/>
      <c r="P30" s="84"/>
      <c r="Q30" s="84"/>
      <c r="R30" s="84"/>
      <c r="S30" s="84"/>
      <c r="T30" s="84"/>
      <c r="U30" s="84"/>
      <c r="V30" s="84"/>
    </row>
    <row r="31" spans="1:22">
      <c r="A31" s="84"/>
      <c r="B31" s="91" t="s">
        <v>195</v>
      </c>
      <c r="C31" s="99">
        <v>18.072385787963867</v>
      </c>
      <c r="D31" s="99">
        <v>18.182058334350586</v>
      </c>
      <c r="E31" s="99">
        <v>18.225353240966797</v>
      </c>
      <c r="F31" s="100">
        <f t="shared" si="6"/>
        <v>18.159932454427082</v>
      </c>
      <c r="G31" s="84">
        <f t="shared" si="13"/>
        <v>135</v>
      </c>
      <c r="H31" s="101">
        <f t="shared" si="8"/>
        <v>7.0768155970508309</v>
      </c>
      <c r="I31" s="99">
        <f t="shared" si="9"/>
        <v>10.995570190913035</v>
      </c>
      <c r="J31" s="99">
        <f t="shared" si="10"/>
        <v>11.105242737299754</v>
      </c>
      <c r="K31" s="99">
        <f t="shared" si="11"/>
        <v>11.148537643915965</v>
      </c>
      <c r="L31" s="100">
        <f t="shared" si="12"/>
        <v>11.083116857376252</v>
      </c>
      <c r="M31" s="84"/>
      <c r="N31" s="84"/>
      <c r="O31" s="84"/>
      <c r="P31" s="84"/>
      <c r="Q31" s="84"/>
      <c r="R31" s="84"/>
      <c r="S31" s="84"/>
      <c r="T31" s="84"/>
      <c r="U31" s="84"/>
      <c r="V31" s="84"/>
    </row>
    <row r="32" spans="1:22">
      <c r="A32" s="84"/>
      <c r="B32" s="91" t="s">
        <v>196</v>
      </c>
      <c r="C32" s="99">
        <v>20.280126571655273</v>
      </c>
      <c r="D32" s="99">
        <v>20.968669891357422</v>
      </c>
      <c r="E32" s="99">
        <v>20.306863784790039</v>
      </c>
      <c r="F32" s="100">
        <f t="shared" si="6"/>
        <v>20.518553415934246</v>
      </c>
      <c r="G32" s="84">
        <f t="shared" si="13"/>
        <v>135</v>
      </c>
      <c r="H32" s="101">
        <f t="shared" si="8"/>
        <v>7.0768155970508309</v>
      </c>
      <c r="I32" s="99">
        <f t="shared" si="9"/>
        <v>13.203310974604442</v>
      </c>
      <c r="J32" s="99">
        <f t="shared" si="10"/>
        <v>13.89185429430659</v>
      </c>
      <c r="K32" s="99">
        <f t="shared" si="11"/>
        <v>13.230048187739207</v>
      </c>
      <c r="L32" s="100">
        <f t="shared" si="12"/>
        <v>13.441737818883412</v>
      </c>
      <c r="M32" s="84"/>
      <c r="N32" s="84"/>
      <c r="O32" s="84"/>
      <c r="P32" s="84"/>
      <c r="Q32" s="84"/>
      <c r="R32" s="84"/>
      <c r="S32" s="84"/>
      <c r="T32" s="84"/>
      <c r="U32" s="84"/>
      <c r="V32" s="84"/>
    </row>
    <row r="33" spans="1:22">
      <c r="A33" s="84"/>
      <c r="B33" s="91" t="s">
        <v>197</v>
      </c>
      <c r="C33" s="99">
        <v>21.049312591552734</v>
      </c>
      <c r="D33" s="99">
        <v>21.128349304199219</v>
      </c>
      <c r="E33" s="99">
        <v>21.15723991394043</v>
      </c>
      <c r="F33" s="100">
        <f t="shared" si="6"/>
        <v>21.111633936564129</v>
      </c>
      <c r="G33" s="84">
        <f t="shared" si="13"/>
        <v>135</v>
      </c>
      <c r="H33" s="101">
        <f t="shared" si="8"/>
        <v>7.0768155970508309</v>
      </c>
      <c r="I33" s="99">
        <f t="shared" si="9"/>
        <v>13.972496994501903</v>
      </c>
      <c r="J33" s="99">
        <f t="shared" si="10"/>
        <v>14.051533707148387</v>
      </c>
      <c r="K33" s="99">
        <f t="shared" si="11"/>
        <v>14.080424316889598</v>
      </c>
      <c r="L33" s="100">
        <f t="shared" si="12"/>
        <v>14.034818339513295</v>
      </c>
      <c r="M33" s="84"/>
      <c r="N33" s="84"/>
      <c r="O33" s="84"/>
      <c r="P33" s="84"/>
      <c r="Q33" s="84"/>
      <c r="R33" s="84"/>
      <c r="S33" s="84"/>
      <c r="T33" s="84"/>
      <c r="U33" s="84"/>
      <c r="V33" s="84"/>
    </row>
    <row r="34" spans="1:22">
      <c r="A34" s="84"/>
      <c r="B34" s="91" t="s">
        <v>198</v>
      </c>
      <c r="C34" s="99">
        <v>21.142179489135742</v>
      </c>
      <c r="D34" s="99">
        <v>21.006193161010742</v>
      </c>
      <c r="E34" s="99">
        <v>21.079441070556641</v>
      </c>
      <c r="F34" s="100">
        <f t="shared" si="6"/>
        <v>21.075937906901043</v>
      </c>
      <c r="G34" s="84">
        <f t="shared" si="13"/>
        <v>135</v>
      </c>
      <c r="H34" s="101">
        <f t="shared" si="8"/>
        <v>7.0768155970508309</v>
      </c>
      <c r="I34" s="99">
        <f t="shared" si="9"/>
        <v>14.06536389208491</v>
      </c>
      <c r="J34" s="99">
        <f t="shared" si="10"/>
        <v>13.92937756395991</v>
      </c>
      <c r="K34" s="99">
        <f t="shared" si="11"/>
        <v>14.002625473505809</v>
      </c>
      <c r="L34" s="100">
        <f t="shared" si="12"/>
        <v>13.999122309850209</v>
      </c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spans="1:22">
      <c r="A35" s="84"/>
      <c r="B35" s="91" t="s">
        <v>199</v>
      </c>
      <c r="C35" s="99">
        <v>22.919816970825195</v>
      </c>
      <c r="D35" s="99">
        <v>22.845848083496094</v>
      </c>
      <c r="E35" s="99">
        <v>22.840835571289062</v>
      </c>
      <c r="F35" s="100">
        <f t="shared" si="6"/>
        <v>22.868833541870117</v>
      </c>
      <c r="G35" s="84">
        <f t="shared" si="13"/>
        <v>135</v>
      </c>
      <c r="H35" s="101">
        <f t="shared" si="8"/>
        <v>7.0768155970508309</v>
      </c>
      <c r="I35" s="99">
        <f t="shared" si="9"/>
        <v>15.843001373774364</v>
      </c>
      <c r="J35" s="99">
        <f t="shared" si="10"/>
        <v>15.769032486445262</v>
      </c>
      <c r="K35" s="99">
        <f t="shared" si="11"/>
        <v>15.764019974238231</v>
      </c>
      <c r="L35" s="100">
        <f t="shared" si="12"/>
        <v>15.792017944819285</v>
      </c>
      <c r="M35" s="84"/>
      <c r="N35" s="84"/>
      <c r="O35" s="84"/>
      <c r="P35" s="84"/>
      <c r="Q35" s="84"/>
      <c r="R35" s="84"/>
      <c r="S35" s="84"/>
      <c r="T35" s="84"/>
      <c r="U35" s="84"/>
      <c r="V35" s="84"/>
    </row>
    <row r="36" spans="1:22">
      <c r="A36" s="84"/>
      <c r="B36" s="91" t="s">
        <v>200</v>
      </c>
      <c r="C36" s="99">
        <v>23.948450088500977</v>
      </c>
      <c r="D36" s="99">
        <v>24.184415817260742</v>
      </c>
      <c r="E36" s="99">
        <v>24.005857467651367</v>
      </c>
      <c r="F36" s="100">
        <f t="shared" si="6"/>
        <v>24.046241124471027</v>
      </c>
      <c r="G36" s="84">
        <f t="shared" si="13"/>
        <v>135</v>
      </c>
      <c r="H36" s="101">
        <f t="shared" si="8"/>
        <v>7.0768155970508309</v>
      </c>
      <c r="I36" s="99">
        <f t="shared" si="9"/>
        <v>16.871634491450145</v>
      </c>
      <c r="J36" s="99">
        <f t="shared" si="10"/>
        <v>17.10760022020991</v>
      </c>
      <c r="K36" s="99">
        <f t="shared" si="11"/>
        <v>16.929041870600535</v>
      </c>
      <c r="L36" s="100">
        <f t="shared" si="12"/>
        <v>16.969425527420196</v>
      </c>
      <c r="M36" s="84"/>
      <c r="N36" s="84"/>
      <c r="O36" s="84"/>
      <c r="P36" s="84"/>
      <c r="Q36" s="84"/>
      <c r="R36" s="84"/>
      <c r="S36" s="84"/>
      <c r="T36" s="84"/>
      <c r="U36" s="84"/>
      <c r="V36" s="84"/>
    </row>
    <row r="37" spans="1:22">
      <c r="A37" s="84"/>
      <c r="B37" s="91" t="s">
        <v>201</v>
      </c>
      <c r="C37" s="99">
        <v>24.632528305053711</v>
      </c>
      <c r="D37" s="99">
        <v>24.451812744140625</v>
      </c>
      <c r="E37" s="99">
        <v>24.549453735351562</v>
      </c>
      <c r="F37" s="100">
        <f t="shared" si="6"/>
        <v>24.544598261515301</v>
      </c>
      <c r="G37" s="84">
        <f t="shared" si="13"/>
        <v>135</v>
      </c>
      <c r="H37" s="101">
        <f t="shared" si="8"/>
        <v>7.0768155970508309</v>
      </c>
      <c r="I37" s="99">
        <f t="shared" si="9"/>
        <v>17.555712708002879</v>
      </c>
      <c r="J37" s="99">
        <f t="shared" si="10"/>
        <v>17.374997147089793</v>
      </c>
      <c r="K37" s="99">
        <f t="shared" si="11"/>
        <v>17.472638138300731</v>
      </c>
      <c r="L37" s="100">
        <f t="shared" si="12"/>
        <v>17.467782664464469</v>
      </c>
      <c r="M37" s="84"/>
      <c r="N37" s="84"/>
      <c r="O37" s="84"/>
      <c r="P37" s="84"/>
      <c r="Q37" s="84"/>
      <c r="R37" s="84"/>
      <c r="S37" s="84"/>
      <c r="T37" s="84"/>
      <c r="U37" s="84"/>
      <c r="V37" s="84"/>
    </row>
    <row r="38" spans="1:22">
      <c r="A38" s="84"/>
      <c r="B38" s="91" t="s">
        <v>202</v>
      </c>
      <c r="C38" s="92"/>
      <c r="D38" s="92"/>
      <c r="E38" s="92"/>
      <c r="F38" s="100" t="e">
        <f t="shared" si="6"/>
        <v>#DIV/0!</v>
      </c>
      <c r="G38" s="84">
        <v>0</v>
      </c>
      <c r="H38" s="101">
        <v>0</v>
      </c>
      <c r="I38" s="99">
        <f t="shared" si="9"/>
        <v>0</v>
      </c>
      <c r="J38" s="99">
        <f t="shared" si="10"/>
        <v>0</v>
      </c>
      <c r="K38" s="99">
        <f t="shared" si="11"/>
        <v>0</v>
      </c>
      <c r="L38" s="100">
        <f t="shared" si="12"/>
        <v>0</v>
      </c>
      <c r="M38" s="84"/>
      <c r="N38" s="84"/>
      <c r="O38" s="84"/>
      <c r="P38" s="84"/>
      <c r="Q38" s="84"/>
      <c r="R38" s="84"/>
      <c r="S38" s="84"/>
      <c r="T38" s="84"/>
      <c r="U38" s="84"/>
      <c r="V38" s="84"/>
    </row>
    <row r="39" spans="1:22">
      <c r="A39" s="84"/>
      <c r="B39" s="84"/>
      <c r="C39" s="84"/>
      <c r="D39" s="84"/>
      <c r="E39" s="84"/>
      <c r="F39" s="101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</row>
    <row r="40" spans="1:22">
      <c r="A40" s="84"/>
      <c r="B40" s="91" t="s">
        <v>214</v>
      </c>
      <c r="C40" s="99">
        <v>14.390941619873047</v>
      </c>
      <c r="D40" s="99">
        <v>14.411395072937012</v>
      </c>
      <c r="E40" s="99">
        <v>14.301624298095703</v>
      </c>
      <c r="F40" s="100">
        <f>AVERAGE(C40:E40)</f>
        <v>14.367986996968588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</row>
    <row r="41" spans="1:22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</row>
    <row r="42" spans="1:22">
      <c r="A42" s="84"/>
      <c r="B42" s="95" t="s">
        <v>215</v>
      </c>
      <c r="C42" s="84" t="s">
        <v>216</v>
      </c>
      <c r="D42" s="84"/>
      <c r="E42" s="84"/>
      <c r="F42" t="s">
        <v>217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</row>
    <row r="43" spans="1:22">
      <c r="A43" s="84"/>
      <c r="B43" s="84" t="s">
        <v>218</v>
      </c>
      <c r="C43" s="84" t="s">
        <v>216</v>
      </c>
      <c r="D43" s="84"/>
      <c r="E43" s="84"/>
      <c r="F43">
        <v>0.35990572856564834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 spans="1:22">
      <c r="A44" s="84"/>
      <c r="B44" s="84"/>
      <c r="C44" s="102" t="s">
        <v>219</v>
      </c>
      <c r="D44" s="103">
        <v>-3.2483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 spans="1:22">
      <c r="A45" s="84"/>
      <c r="B45" s="84"/>
      <c r="C45" s="102" t="s">
        <v>220</v>
      </c>
      <c r="D45" s="104">
        <v>36.023000000000003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</row>
    <row r="46" spans="1:22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</row>
    <row r="47" spans="1:22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</row>
    <row r="48" spans="1:22">
      <c r="A48" s="84"/>
      <c r="B48" s="95" t="s">
        <v>221</v>
      </c>
      <c r="C48" s="84"/>
      <c r="D48" s="84">
        <f>-1+ POWER(10,-(1/D44))</f>
        <v>1.0316707994539165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spans="1:22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</row>
    <row r="50" spans="1:22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 spans="1:22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 spans="1:2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spans="1:22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 spans="1:22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 spans="1:22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opLeftCell="Q1" workbookViewId="0">
      <selection activeCell="AC30" sqref="AC30"/>
    </sheetView>
  </sheetViews>
  <sheetFormatPr baseColWidth="10" defaultRowHeight="14" x14ac:dyDescent="0"/>
  <cols>
    <col min="18" max="18" width="22.1640625" customWidth="1"/>
  </cols>
  <sheetData>
    <row r="1" spans="1:31">
      <c r="A1" s="105" t="s">
        <v>222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31">
      <c r="A2" s="117" t="s">
        <v>4</v>
      </c>
      <c r="B2" s="117" t="s">
        <v>118</v>
      </c>
      <c r="C2" s="117" t="s">
        <v>118</v>
      </c>
      <c r="D2" s="117" t="s">
        <v>5</v>
      </c>
      <c r="E2" s="131" t="s">
        <v>223</v>
      </c>
      <c r="F2" s="131" t="s">
        <v>224</v>
      </c>
      <c r="G2" s="131" t="s">
        <v>225</v>
      </c>
      <c r="H2" s="133" t="s">
        <v>226</v>
      </c>
      <c r="I2" s="133" t="s">
        <v>227</v>
      </c>
      <c r="J2" s="133" t="s">
        <v>228</v>
      </c>
      <c r="K2" s="131" t="s">
        <v>229</v>
      </c>
      <c r="L2" s="131" t="s">
        <v>230</v>
      </c>
      <c r="M2" s="131" t="s">
        <v>231</v>
      </c>
      <c r="N2" s="131" t="s">
        <v>232</v>
      </c>
      <c r="O2" s="131" t="s">
        <v>233</v>
      </c>
      <c r="P2" s="133" t="s">
        <v>234</v>
      </c>
      <c r="Q2" s="133" t="s">
        <v>235</v>
      </c>
      <c r="R2" s="133" t="s">
        <v>236</v>
      </c>
      <c r="S2" s="133" t="s">
        <v>237</v>
      </c>
      <c r="U2" s="148" t="s">
        <v>236</v>
      </c>
      <c r="V2" s="149"/>
      <c r="W2" s="149"/>
      <c r="X2" s="149"/>
      <c r="Z2" s="148" t="s">
        <v>237</v>
      </c>
      <c r="AA2" s="149"/>
      <c r="AB2" s="149"/>
      <c r="AC2" s="149"/>
      <c r="AD2" s="149"/>
      <c r="AE2" s="149"/>
    </row>
    <row r="3" spans="1:31">
      <c r="A3" s="118"/>
      <c r="B3" s="118"/>
      <c r="C3" s="118"/>
      <c r="D3" s="118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U3" s="150"/>
      <c r="V3" s="151"/>
      <c r="W3" s="151"/>
      <c r="X3" s="151"/>
      <c r="Z3" s="148"/>
      <c r="AA3" s="149"/>
      <c r="AB3" s="149"/>
      <c r="AC3" s="149"/>
      <c r="AD3" s="149"/>
      <c r="AE3" s="149"/>
    </row>
    <row r="4" spans="1:31">
      <c r="A4" s="41">
        <v>0</v>
      </c>
      <c r="B4" s="33">
        <v>10</v>
      </c>
      <c r="C4" s="33">
        <f>B4</f>
        <v>10</v>
      </c>
      <c r="D4" s="13">
        <f t="shared" ref="D4:D21" si="0">C4/60</f>
        <v>0.16666666666666666</v>
      </c>
      <c r="E4" s="99">
        <v>28.54680061340332</v>
      </c>
      <c r="F4" s="99">
        <v>28.517990112304688</v>
      </c>
      <c r="G4" s="100">
        <v>28.862045288085938</v>
      </c>
      <c r="H4" s="106">
        <f>E4-$H$76+$H$86</f>
        <v>29.086907227834065</v>
      </c>
      <c r="I4" s="106">
        <f t="shared" ref="I4:J19" si="1">F4-$H$76+$H$86</f>
        <v>29.058096726735432</v>
      </c>
      <c r="J4" s="106">
        <f t="shared" si="1"/>
        <v>29.402151902516682</v>
      </c>
      <c r="K4" s="100">
        <f>((H4-'Calibration F. prausnitzii'!$D$45)/('Calibration F. prausnitzii'!$D$44))+$B$70</f>
        <v>5.7885118310077228</v>
      </c>
      <c r="L4" s="100">
        <f>((I4-'Calibration F. prausnitzii'!$D$45)/('Calibration F. prausnitzii'!$D$44))+$B$70</f>
        <v>5.7973812399596767</v>
      </c>
      <c r="M4" s="100">
        <f>((J4-'Calibration F. prausnitzii'!$D$45)/('Calibration F. prausnitzii'!$D$44))+$B$70</f>
        <v>5.6914627054089122</v>
      </c>
      <c r="N4" s="107">
        <f>AVERAGE(K4:M4)</f>
        <v>5.7591185921254366</v>
      </c>
      <c r="O4" s="107">
        <f>STDEV(K4:M4)</f>
        <v>5.8759304449071743E-2</v>
      </c>
      <c r="P4" s="108">
        <f>(AVERAGE(POWER(10,K4),POWER(10,L4),POWER(10,M4)))*(Calculation!$I4/Calculation!$K3)</f>
        <v>577693.7065909853</v>
      </c>
      <c r="Q4" s="108">
        <f>(STDEV(POWER(10,K4),POWER(10,L4),POWER(10,M4))*(Calculation!$I4/Calculation!$K3))</f>
        <v>74974.018395268809</v>
      </c>
      <c r="R4" s="107">
        <f>LOG(P4)</f>
        <v>5.7616976363527419</v>
      </c>
      <c r="S4" s="107">
        <f>O4*(Calculation!$I4/Calculation!$K3)</f>
        <v>5.8759304449071743E-2</v>
      </c>
      <c r="U4" s="107">
        <v>5.7616976363527419</v>
      </c>
      <c r="V4" s="107">
        <v>5.7456059740754517</v>
      </c>
      <c r="W4" s="107">
        <v>5.863052928003551</v>
      </c>
      <c r="X4" s="107">
        <f>AVERAGE(U4:W4)</f>
        <v>5.7901188461439146</v>
      </c>
      <c r="Z4">
        <v>5.8759304449071743E-2</v>
      </c>
      <c r="AA4">
        <v>1.8251308040587933E-2</v>
      </c>
      <c r="AB4">
        <v>4.3432718405369407E-2</v>
      </c>
      <c r="AC4">
        <f>SUM(Z4:AB4)</f>
        <v>0.12044333089502909</v>
      </c>
      <c r="AD4">
        <f>STDEV(U4:W4)</f>
        <v>6.367315463555008E-2</v>
      </c>
      <c r="AE4">
        <f>AC4+AD4</f>
        <v>0.18411648553057919</v>
      </c>
    </row>
    <row r="5" spans="1:31">
      <c r="A5" s="41">
        <v>1</v>
      </c>
      <c r="B5" s="33">
        <v>110</v>
      </c>
      <c r="C5" s="33">
        <f>C4+B5</f>
        <v>120</v>
      </c>
      <c r="D5" s="13">
        <f t="shared" si="0"/>
        <v>2</v>
      </c>
      <c r="E5" s="99">
        <v>28.486600875854492</v>
      </c>
      <c r="F5" s="99">
        <v>28.7147216796875</v>
      </c>
      <c r="G5" s="100">
        <v>28.627704620361328</v>
      </c>
      <c r="H5" s="106">
        <f t="shared" ref="H5:H21" si="2">E5-$H$76+$H$86</f>
        <v>29.026707490285236</v>
      </c>
      <c r="I5" s="106">
        <f t="shared" si="1"/>
        <v>29.254828294118244</v>
      </c>
      <c r="J5" s="106">
        <f t="shared" si="1"/>
        <v>29.167811234792072</v>
      </c>
      <c r="K5" s="100">
        <f>((H5-'Calibration F. prausnitzii'!$D$45)/('Calibration F. prausnitzii'!$D$44))+$B$70</f>
        <v>5.8070445211991544</v>
      </c>
      <c r="L5" s="100">
        <f>((I5-'Calibration F. prausnitzii'!$D$45)/('Calibration F. prausnitzii'!$D$44))+$B$70</f>
        <v>5.7368167701192032</v>
      </c>
      <c r="M5" s="100">
        <f>((J5-'Calibration F. prausnitzii'!$D$45)/('Calibration F. prausnitzii'!$D$44))+$B$70</f>
        <v>5.7636052623539635</v>
      </c>
      <c r="N5" s="107">
        <f t="shared" ref="N5:N21" si="3">AVERAGE(K5:M5)</f>
        <v>5.7691555178907734</v>
      </c>
      <c r="O5" s="107">
        <f t="shared" ref="O5:O21" si="4">STDEV(K5:M5)</f>
        <v>3.5441335440835386E-2</v>
      </c>
      <c r="P5" s="108">
        <f>(AVERAGE(POWER(10,K5),POWER(10,L5),POWER(10,M5)))*(Calculation!$I5/Calculation!$K4)</f>
        <v>589013.25220186345</v>
      </c>
      <c r="Q5" s="108">
        <f>(STDEV(POWER(10,K5),POWER(10,L5),POWER(10,M5))*(Calculation!$I5/Calculation!$K4))</f>
        <v>48473.428726054772</v>
      </c>
      <c r="R5" s="107">
        <f t="shared" ref="R5:R21" si="5">LOG(P5)</f>
        <v>5.7701250660831915</v>
      </c>
      <c r="S5" s="107">
        <f>O5*(Calculation!$I5/Calculation!$K4)</f>
        <v>3.5441335440835386E-2</v>
      </c>
      <c r="U5" s="107">
        <v>5.7701250660831915</v>
      </c>
      <c r="V5" s="107">
        <v>5.8712947607636385</v>
      </c>
      <c r="W5" s="107">
        <v>7.0163870885419817</v>
      </c>
      <c r="X5" s="107">
        <f t="shared" ref="X5:X21" si="6">AVERAGE(U5:W5)</f>
        <v>6.2192689717962706</v>
      </c>
      <c r="Z5">
        <v>3.5441335440835386E-2</v>
      </c>
      <c r="AA5">
        <v>2.9770136569514324E-2</v>
      </c>
      <c r="AB5">
        <v>2.3867499529000545E-2</v>
      </c>
      <c r="AC5">
        <f t="shared" ref="AC5:AC21" si="7">SUM(Z5:AB5)</f>
        <v>8.9078971539350266E-2</v>
      </c>
      <c r="AD5">
        <f t="shared" ref="AD5:AD21" si="8">STDEV(U5:W5)</f>
        <v>0.69217540826990198</v>
      </c>
      <c r="AE5">
        <f t="shared" ref="AE5:AE21" si="9">AC5+AD5</f>
        <v>0.78125437980925228</v>
      </c>
    </row>
    <row r="6" spans="1:31">
      <c r="A6" s="41">
        <v>2</v>
      </c>
      <c r="B6" s="33">
        <v>80</v>
      </c>
      <c r="C6" s="33">
        <f>C5+B6</f>
        <v>200</v>
      </c>
      <c r="D6" s="13">
        <f t="shared" si="0"/>
        <v>3.3333333333333335</v>
      </c>
      <c r="E6" s="99">
        <v>25.251544952392578</v>
      </c>
      <c r="F6" s="99">
        <v>25.383199691772461</v>
      </c>
      <c r="G6" s="100">
        <v>25.409835815429688</v>
      </c>
      <c r="H6" s="106">
        <f t="shared" si="2"/>
        <v>25.791651566823322</v>
      </c>
      <c r="I6" s="106">
        <f t="shared" si="1"/>
        <v>25.923306306203205</v>
      </c>
      <c r="J6" s="106">
        <f t="shared" si="1"/>
        <v>25.949942429860432</v>
      </c>
      <c r="K6" s="100">
        <f>((H6-'Calibration F. prausnitzii'!$D$45)/('Calibration F. prausnitzii'!$D$44))+$B$70</f>
        <v>6.8029672880193113</v>
      </c>
      <c r="L6" s="100">
        <f>((I6-'Calibration F. prausnitzii'!$D$45)/('Calibration F. prausnitzii'!$D$44))+$B$70</f>
        <v>6.7624369369495572</v>
      </c>
      <c r="M6" s="100">
        <f>((J6-'Calibration F. prausnitzii'!$D$45)/('Calibration F. prausnitzii'!$D$44))+$B$70</f>
        <v>6.7542369173524675</v>
      </c>
      <c r="N6" s="107">
        <f t="shared" si="3"/>
        <v>6.7732137141071123</v>
      </c>
      <c r="O6" s="107">
        <f t="shared" si="4"/>
        <v>2.6091501504507064E-2</v>
      </c>
      <c r="P6" s="108">
        <f>(AVERAGE(POWER(10,K6),POWER(10,L6),POWER(10,M6)))*(Calculation!$I6/Calculation!$K5)</f>
        <v>5939384.4362878939</v>
      </c>
      <c r="Q6" s="108">
        <f>(STDEV(POWER(10,K6),POWER(10,L6),POWER(10,M6))*(Calculation!$I6/Calculation!$K5))</f>
        <v>362121.80904532387</v>
      </c>
      <c r="R6" s="107">
        <f t="shared" si="5"/>
        <v>6.7737414366013233</v>
      </c>
      <c r="S6" s="107">
        <f>O6*(Calculation!$I6/Calculation!$K5)</f>
        <v>2.6091501504507064E-2</v>
      </c>
      <c r="U6" s="107">
        <v>6.7737414366013233</v>
      </c>
      <c r="V6" s="107">
        <v>6.6180379530063833</v>
      </c>
      <c r="W6" s="107">
        <v>7.1551889720087809</v>
      </c>
      <c r="X6" s="107">
        <f t="shared" si="6"/>
        <v>6.8489894538721616</v>
      </c>
      <c r="Z6">
        <v>2.6091501504507064E-2</v>
      </c>
      <c r="AA6">
        <v>7.7334538291673235E-2</v>
      </c>
      <c r="AB6">
        <v>1.9536794318886531E-2</v>
      </c>
      <c r="AC6">
        <f t="shared" si="7"/>
        <v>0.12296283411506684</v>
      </c>
      <c r="AD6">
        <f t="shared" si="8"/>
        <v>0.27636841784332544</v>
      </c>
      <c r="AE6">
        <f t="shared" si="9"/>
        <v>0.39933125195839225</v>
      </c>
    </row>
    <row r="7" spans="1:31">
      <c r="A7" s="41">
        <v>3</v>
      </c>
      <c r="B7" s="33">
        <v>80</v>
      </c>
      <c r="C7" s="33">
        <f>C6+B7</f>
        <v>280</v>
      </c>
      <c r="D7" s="13">
        <f t="shared" si="0"/>
        <v>4.666666666666667</v>
      </c>
      <c r="E7" s="99">
        <v>27.526433944702148</v>
      </c>
      <c r="F7" s="99">
        <v>27.462318420410156</v>
      </c>
      <c r="G7" s="100">
        <v>27.43397331237793</v>
      </c>
      <c r="H7" s="106">
        <f t="shared" si="2"/>
        <v>28.066540559132893</v>
      </c>
      <c r="I7" s="106">
        <f t="shared" si="1"/>
        <v>28.002425034840901</v>
      </c>
      <c r="J7" s="106">
        <f t="shared" si="1"/>
        <v>27.974079926808674</v>
      </c>
      <c r="K7" s="100">
        <f>((H7-'Calibration F. prausnitzii'!$D$45)/('Calibration F. prausnitzii'!$D$44))+$B$70</f>
        <v>6.1026351166344117</v>
      </c>
      <c r="L7" s="100">
        <f>((I7-'Calibration F. prausnitzii'!$D$45)/('Calibration F. prausnitzii'!$D$44))+$B$70</f>
        <v>6.1223732948482441</v>
      </c>
      <c r="M7" s="100">
        <f>((J7-'Calibration F. prausnitzii'!$D$45)/('Calibration F. prausnitzii'!$D$44))+$B$70</f>
        <v>6.1310994309909113</v>
      </c>
      <c r="N7" s="107">
        <f t="shared" si="3"/>
        <v>6.1187026141578551</v>
      </c>
      <c r="O7" s="107">
        <f t="shared" si="4"/>
        <v>1.45828570758442E-2</v>
      </c>
      <c r="P7" s="108">
        <f>(AVERAGE(POWER(10,K7),POWER(10,L7),POWER(10,M7)))*(Calculation!$I7/Calculation!$K6)</f>
        <v>1315771.4315100017</v>
      </c>
      <c r="Q7" s="108">
        <f>(STDEV(POWER(10,K7),POWER(10,L7),POWER(10,M7))*(Calculation!$I7/Calculation!$K6))</f>
        <v>43912.131548667174</v>
      </c>
      <c r="R7" s="107">
        <f t="shared" si="5"/>
        <v>6.1191804526096876</v>
      </c>
      <c r="S7" s="107">
        <f>O7*(Calculation!$I7/Calculation!$K6)</f>
        <v>1.4593447385993686E-2</v>
      </c>
      <c r="U7" s="107">
        <v>6.1191804526096876</v>
      </c>
      <c r="V7" s="107">
        <v>6.3496504038574759</v>
      </c>
      <c r="W7" s="107">
        <v>6.291316066601528</v>
      </c>
      <c r="X7" s="107">
        <f t="shared" si="6"/>
        <v>6.2533823076895638</v>
      </c>
      <c r="Z7">
        <v>1.4593447385993686E-2</v>
      </c>
      <c r="AA7">
        <v>4.9894295571265679E-2</v>
      </c>
      <c r="AB7">
        <v>2.6070739693065857E-2</v>
      </c>
      <c r="AC7">
        <f t="shared" si="7"/>
        <v>9.0558482650325234E-2</v>
      </c>
      <c r="AD7">
        <f t="shared" si="8"/>
        <v>0.11982623734363335</v>
      </c>
      <c r="AE7">
        <f t="shared" si="9"/>
        <v>0.21038471999395858</v>
      </c>
    </row>
    <row r="8" spans="1:31">
      <c r="A8" s="41">
        <v>4</v>
      </c>
      <c r="B8" s="33">
        <v>80</v>
      </c>
      <c r="C8" s="33">
        <f t="shared" ref="C8:C18" si="10">C7+B8</f>
        <v>360</v>
      </c>
      <c r="D8" s="13">
        <f t="shared" si="0"/>
        <v>6</v>
      </c>
      <c r="E8" s="99">
        <v>27.238510131835938</v>
      </c>
      <c r="F8" s="99">
        <v>27.191713333129883</v>
      </c>
      <c r="G8" s="100">
        <v>27.149909973144531</v>
      </c>
      <c r="H8" s="106">
        <f t="shared" si="2"/>
        <v>27.778616746266682</v>
      </c>
      <c r="I8" s="106">
        <f t="shared" si="1"/>
        <v>27.731819947560627</v>
      </c>
      <c r="J8" s="106">
        <f t="shared" si="1"/>
        <v>27.690016587575276</v>
      </c>
      <c r="K8" s="100">
        <f>((H8-'Calibration F. prausnitzii'!$D$45)/('Calibration F. prausnitzii'!$D$44))+$B$70</f>
        <v>6.1912734237077149</v>
      </c>
      <c r="L8" s="100">
        <f>((I8-'Calibration F. prausnitzii'!$D$45)/('Calibration F. prausnitzii'!$D$44))+$B$70</f>
        <v>6.2056799744284161</v>
      </c>
      <c r="M8" s="100">
        <f>((J8-'Calibration F. prausnitzii'!$D$45)/('Calibration F. prausnitzii'!$D$44))+$B$70</f>
        <v>6.218549278367508</v>
      </c>
      <c r="N8" s="107">
        <f t="shared" si="3"/>
        <v>6.2051675588345461</v>
      </c>
      <c r="O8" s="107">
        <f t="shared" si="4"/>
        <v>1.364514525980467E-2</v>
      </c>
      <c r="P8" s="108">
        <f>(AVERAGE(POWER(10,K8),POWER(10,L8),POWER(10,M8)))*(Calculation!$I8/Calculation!$K7)</f>
        <v>1605556.6966984964</v>
      </c>
      <c r="Q8" s="108">
        <f>(STDEV(POWER(10,K8),POWER(10,L8),POWER(10,M8))*(Calculation!$I8/Calculation!$K7))</f>
        <v>50394.359685200601</v>
      </c>
      <c r="R8" s="107">
        <f t="shared" si="5"/>
        <v>6.2056256463264017</v>
      </c>
      <c r="S8" s="107">
        <f>O8*(Calculation!$I8/Calculation!$K7)</f>
        <v>1.3655054588243164E-2</v>
      </c>
      <c r="U8" s="107">
        <v>6.2056256463264017</v>
      </c>
      <c r="V8" s="107">
        <v>6.3691679398649885</v>
      </c>
      <c r="W8" s="107">
        <v>6.6927137878094509</v>
      </c>
      <c r="X8" s="107">
        <f t="shared" si="6"/>
        <v>6.422502458000281</v>
      </c>
      <c r="Z8">
        <v>1.3655054588243164E-2</v>
      </c>
      <c r="AA8">
        <v>1.3531015893986274E-2</v>
      </c>
      <c r="AB8">
        <v>4.9471813534947449E-3</v>
      </c>
      <c r="AC8">
        <f t="shared" si="7"/>
        <v>3.2133251835724179E-2</v>
      </c>
      <c r="AD8">
        <f t="shared" si="8"/>
        <v>0.24788534146232927</v>
      </c>
      <c r="AE8">
        <f t="shared" si="9"/>
        <v>0.28001859329805345</v>
      </c>
    </row>
    <row r="9" spans="1:31">
      <c r="A9" s="41">
        <v>5</v>
      </c>
      <c r="B9" s="33">
        <v>80</v>
      </c>
      <c r="C9" s="33">
        <f t="shared" si="10"/>
        <v>440</v>
      </c>
      <c r="D9" s="13">
        <f t="shared" si="0"/>
        <v>7.333333333333333</v>
      </c>
      <c r="E9" s="99">
        <v>24.634590148925781</v>
      </c>
      <c r="F9" s="99">
        <v>24.704156875610352</v>
      </c>
      <c r="G9" s="100">
        <v>24.743001937866211</v>
      </c>
      <c r="H9" s="106">
        <f t="shared" si="2"/>
        <v>25.174696763356526</v>
      </c>
      <c r="I9" s="106">
        <f t="shared" si="1"/>
        <v>25.244263490041096</v>
      </c>
      <c r="J9" s="106">
        <f t="shared" si="1"/>
        <v>25.283108552296955</v>
      </c>
      <c r="K9" s="100">
        <f>((H9-'Calibration F. prausnitzii'!$D$45)/('Calibration F. prausnitzii'!$D$44))+$B$70</f>
        <v>6.9928988840747239</v>
      </c>
      <c r="L9" s="100">
        <f>((I9-'Calibration F. prausnitzii'!$D$45)/('Calibration F. prausnitzii'!$D$44))+$B$70</f>
        <v>6.9714825350045739</v>
      </c>
      <c r="M9" s="100">
        <f>((J9-'Calibration F. prausnitzii'!$D$45)/('Calibration F. prausnitzii'!$D$44))+$B$70</f>
        <v>6.9595239528982837</v>
      </c>
      <c r="N9" s="107">
        <f t="shared" si="3"/>
        <v>6.9746351239925275</v>
      </c>
      <c r="O9" s="107">
        <f t="shared" si="4"/>
        <v>1.6909335313762427E-2</v>
      </c>
      <c r="P9" s="108">
        <f>(AVERAGE(POWER(10,K9),POWER(10,L9),POWER(10,M9)))*(Calculation!$I9/Calculation!$K8)</f>
        <v>9444317.9208889585</v>
      </c>
      <c r="Q9" s="108">
        <f>(STDEV(POWER(10,K9),POWER(10,L9),POWER(10,M9))*(Calculation!$I9/Calculation!$K8))</f>
        <v>369572.57559519878</v>
      </c>
      <c r="R9" s="107">
        <f t="shared" si="5"/>
        <v>6.9751705981614336</v>
      </c>
      <c r="S9" s="107">
        <f>O9*(Calculation!$I9/Calculation!$K8)</f>
        <v>1.6921615150591596E-2</v>
      </c>
      <c r="U9" s="107">
        <v>6.9751705981614336</v>
      </c>
      <c r="V9" s="107">
        <v>6.6127283395295207</v>
      </c>
      <c r="W9" s="107">
        <v>7.1504904508988405</v>
      </c>
      <c r="X9" s="107">
        <f t="shared" si="6"/>
        <v>6.9127964628632652</v>
      </c>
      <c r="Z9">
        <v>1.6921615150591596E-2</v>
      </c>
      <c r="AA9">
        <v>3.179703372400014E-2</v>
      </c>
      <c r="AB9">
        <v>3.383376290439425E-2</v>
      </c>
      <c r="AC9">
        <f t="shared" si="7"/>
        <v>8.2552411778985979E-2</v>
      </c>
      <c r="AD9">
        <f t="shared" si="8"/>
        <v>0.27425338953555867</v>
      </c>
      <c r="AE9">
        <f t="shared" si="9"/>
        <v>0.35680580131454465</v>
      </c>
    </row>
    <row r="10" spans="1:31">
      <c r="A10" s="41">
        <v>6</v>
      </c>
      <c r="B10" s="33">
        <v>80</v>
      </c>
      <c r="C10" s="33">
        <f t="shared" si="10"/>
        <v>520</v>
      </c>
      <c r="D10" s="13">
        <f t="shared" si="0"/>
        <v>8.6666666666666661</v>
      </c>
      <c r="E10" s="99">
        <v>25.17108154296875</v>
      </c>
      <c r="F10" s="99">
        <v>25.892335891723633</v>
      </c>
      <c r="G10" s="100">
        <v>26.714376449584961</v>
      </c>
      <c r="H10" s="106">
        <f t="shared" si="2"/>
        <v>25.711188157399494</v>
      </c>
      <c r="I10" s="106">
        <f t="shared" si="1"/>
        <v>26.432442506154377</v>
      </c>
      <c r="J10" s="106">
        <f t="shared" si="1"/>
        <v>27.254483064015705</v>
      </c>
      <c r="K10" s="100">
        <f>((H10-'Calibration F. prausnitzii'!$D$45)/('Calibration F. prausnitzii'!$D$44))+$B$70</f>
        <v>6.8277382172511647</v>
      </c>
      <c r="L10" s="100">
        <f>((I10-'Calibration F. prausnitzii'!$D$45)/('Calibration F. prausnitzii'!$D$44))+$B$70</f>
        <v>6.6056976579571085</v>
      </c>
      <c r="M10" s="100">
        <f>((J10-'Calibration F. prausnitzii'!$D$45)/('Calibration F. prausnitzii'!$D$44))+$B$70</f>
        <v>6.3526297276977948</v>
      </c>
      <c r="N10" s="107">
        <f t="shared" si="3"/>
        <v>6.5953552009686893</v>
      </c>
      <c r="O10" s="107">
        <f t="shared" si="4"/>
        <v>0.23772304058260554</v>
      </c>
      <c r="P10" s="108">
        <f>(AVERAGE(POWER(10,K10),POWER(10,L10),POWER(10,M10)))*(Calculation!$I10/Calculation!$K9)</f>
        <v>4340374.4960573027</v>
      </c>
      <c r="Q10" s="108">
        <f>(STDEV(POWER(10,K10),POWER(10,L10),POWER(10,M10))*(Calculation!$I10/Calculation!$K9))</f>
        <v>2253730.5518117812</v>
      </c>
      <c r="R10" s="107">
        <f t="shared" si="5"/>
        <v>6.6375272029121559</v>
      </c>
      <c r="S10" s="107">
        <f>O10*(Calculation!$I10/Calculation!$K9)</f>
        <v>0.2378956789563039</v>
      </c>
      <c r="U10" s="107">
        <v>6.6375272029121559</v>
      </c>
      <c r="V10" s="107">
        <v>6.3337671627327214</v>
      </c>
      <c r="W10" s="107">
        <v>6.1123774440524672</v>
      </c>
      <c r="X10" s="107">
        <f t="shared" si="6"/>
        <v>6.3612239365657812</v>
      </c>
      <c r="Z10">
        <v>0.2378956789563039</v>
      </c>
      <c r="AA10">
        <v>3.876198029604256E-2</v>
      </c>
      <c r="AB10">
        <v>8.1178844193678837E-2</v>
      </c>
      <c r="AC10">
        <f t="shared" si="7"/>
        <v>0.3578365034460253</v>
      </c>
      <c r="AD10">
        <f t="shared" si="8"/>
        <v>0.26364933743437924</v>
      </c>
      <c r="AE10">
        <f t="shared" si="9"/>
        <v>0.62148584088040448</v>
      </c>
    </row>
    <row r="11" spans="1:31">
      <c r="A11" s="41">
        <v>7</v>
      </c>
      <c r="B11" s="33">
        <v>80</v>
      </c>
      <c r="C11" s="33">
        <f t="shared" si="10"/>
        <v>600</v>
      </c>
      <c r="D11" s="13">
        <f t="shared" si="0"/>
        <v>10</v>
      </c>
      <c r="E11" s="99">
        <v>27.632602691650391</v>
      </c>
      <c r="F11" s="99">
        <v>27.513933181762695</v>
      </c>
      <c r="G11" s="100">
        <v>27.577005386352539</v>
      </c>
      <c r="H11" s="106">
        <f t="shared" si="2"/>
        <v>28.172709306081135</v>
      </c>
      <c r="I11" s="106">
        <f t="shared" si="1"/>
        <v>28.05403979619344</v>
      </c>
      <c r="J11" s="106">
        <f t="shared" si="1"/>
        <v>28.117112000783283</v>
      </c>
      <c r="K11" s="100">
        <f>((H11-'Calibration F. prausnitzii'!$D$45)/('Calibration F. prausnitzii'!$D$44))+$B$70</f>
        <v>6.069950713424042</v>
      </c>
      <c r="L11" s="100">
        <f>((I11-'Calibration F. prausnitzii'!$D$45)/('Calibration F. prausnitzii'!$D$44))+$B$70</f>
        <v>6.1064835182412374</v>
      </c>
      <c r="M11" s="100">
        <f>((J11-'Calibration F. prausnitzii'!$D$45)/('Calibration F. prausnitzii'!$D$44))+$B$70</f>
        <v>6.0870665294810111</v>
      </c>
      <c r="N11" s="107">
        <f t="shared" si="3"/>
        <v>6.0878335870487632</v>
      </c>
      <c r="O11" s="107">
        <f t="shared" si="4"/>
        <v>1.8278477505990685E-2</v>
      </c>
      <c r="P11" s="108">
        <f>(AVERAGE(POWER(10,K11),POWER(10,L11),POWER(10,M11)))*(Calculation!$I11/Calculation!$K10)</f>
        <v>1225760.1151911952</v>
      </c>
      <c r="Q11" s="108">
        <f>(STDEV(POWER(10,K11),POWER(10,L11),POWER(10,M11))*(Calculation!$I11/Calculation!$K10))</f>
        <v>51646.183330712993</v>
      </c>
      <c r="R11" s="107">
        <f t="shared" si="5"/>
        <v>6.0884054858085639</v>
      </c>
      <c r="S11" s="107">
        <f>O11*(Calculation!$I11/Calculation!$K10)</f>
        <v>1.8291751636350884E-2</v>
      </c>
      <c r="U11" s="107">
        <v>6.0884054858085639</v>
      </c>
      <c r="V11" s="107">
        <v>6.2610874042474256</v>
      </c>
      <c r="W11" s="107">
        <v>6.0436971352466085</v>
      </c>
      <c r="X11" s="107">
        <f t="shared" si="6"/>
        <v>6.1310633417675326</v>
      </c>
      <c r="Z11">
        <v>1.8291751636350884E-2</v>
      </c>
      <c r="AA11">
        <v>1.2298890667220754E-2</v>
      </c>
      <c r="AB11">
        <v>3.9887598499101506E-2</v>
      </c>
      <c r="AC11">
        <f t="shared" si="7"/>
        <v>7.0478240802673148E-2</v>
      </c>
      <c r="AD11">
        <f t="shared" si="8"/>
        <v>0.11480157564390832</v>
      </c>
      <c r="AE11">
        <f t="shared" si="9"/>
        <v>0.18527981644658148</v>
      </c>
    </row>
    <row r="12" spans="1:31">
      <c r="A12" s="41">
        <v>8</v>
      </c>
      <c r="B12" s="33">
        <v>80</v>
      </c>
      <c r="C12" s="33">
        <f t="shared" si="10"/>
        <v>680</v>
      </c>
      <c r="D12" s="13">
        <f t="shared" si="0"/>
        <v>11.333333333333334</v>
      </c>
      <c r="E12" s="99">
        <v>26.948770523071289</v>
      </c>
      <c r="F12" s="99">
        <v>27.099191665649414</v>
      </c>
      <c r="G12" s="100">
        <v>27.022184371948242</v>
      </c>
      <c r="H12" s="106">
        <f t="shared" si="2"/>
        <v>27.488877137502033</v>
      </c>
      <c r="I12" s="106">
        <f t="shared" si="1"/>
        <v>27.639298280080158</v>
      </c>
      <c r="J12" s="106">
        <f t="shared" si="1"/>
        <v>27.562290986378986</v>
      </c>
      <c r="K12" s="100">
        <f>((H12-'Calibration F. prausnitzii'!$D$45)/('Calibration F. prausnitzii'!$D$44))+$B$70</f>
        <v>6.2804707296106947</v>
      </c>
      <c r="L12" s="100">
        <f>((I12-'Calibration F. prausnitzii'!$D$45)/('Calibration F. prausnitzii'!$D$44))+$B$70</f>
        <v>6.2341630786615436</v>
      </c>
      <c r="M12" s="100">
        <f>((J12-'Calibration F. prausnitzii'!$D$45)/('Calibration F. prausnitzii'!$D$44))+$B$70</f>
        <v>6.2578700311293494</v>
      </c>
      <c r="N12" s="107">
        <f t="shared" si="3"/>
        <v>6.2575012798005289</v>
      </c>
      <c r="O12" s="107">
        <f t="shared" si="4"/>
        <v>2.3156027665901253E-2</v>
      </c>
      <c r="P12" s="108">
        <f>(AVERAGE(POWER(10,K12),POWER(10,L12),POWER(10,M12)))*(Calculation!$I12/Calculation!$K11)</f>
        <v>1813897.2289136488</v>
      </c>
      <c r="Q12" s="108">
        <f>(STDEV(POWER(10,K12),POWER(10,L12),POWER(10,M12))*(Calculation!$I12/Calculation!$K11))</f>
        <v>96618.821190505347</v>
      </c>
      <c r="R12" s="107">
        <f t="shared" si="5"/>
        <v>6.2586126773326347</v>
      </c>
      <c r="S12" s="107">
        <f>O12*(Calculation!$I12/Calculation!$K11)</f>
        <v>2.3193387254617316E-2</v>
      </c>
      <c r="U12" s="107">
        <v>6.2586126773326347</v>
      </c>
      <c r="V12" s="107">
        <v>6.6036584881394758</v>
      </c>
      <c r="W12" s="107">
        <v>7.1313188956114359</v>
      </c>
      <c r="X12" s="107">
        <f t="shared" si="6"/>
        <v>6.6645300203611813</v>
      </c>
      <c r="Z12">
        <v>2.3193387254617316E-2</v>
      </c>
      <c r="AA12">
        <v>5.977240955962965E-3</v>
      </c>
      <c r="AB12">
        <v>1.6857469651077518E-2</v>
      </c>
      <c r="AC12">
        <f t="shared" si="7"/>
        <v>4.6028097861657798E-2</v>
      </c>
      <c r="AD12">
        <f t="shared" si="8"/>
        <v>0.43952593032935539</v>
      </c>
      <c r="AE12">
        <f t="shared" si="9"/>
        <v>0.48555402819101318</v>
      </c>
    </row>
    <row r="13" spans="1:31">
      <c r="A13" s="41">
        <v>9</v>
      </c>
      <c r="B13" s="33">
        <v>80</v>
      </c>
      <c r="C13" s="33">
        <f t="shared" si="10"/>
        <v>760</v>
      </c>
      <c r="D13" s="13">
        <f t="shared" si="0"/>
        <v>12.666666666666666</v>
      </c>
      <c r="E13" s="99">
        <v>35.798778533935547</v>
      </c>
      <c r="F13" s="99">
        <v>34.160354614257812</v>
      </c>
      <c r="G13" s="100">
        <v>36.953769683837891</v>
      </c>
      <c r="H13" s="106">
        <f t="shared" si="2"/>
        <v>36.338885148366288</v>
      </c>
      <c r="I13" s="106">
        <f t="shared" si="1"/>
        <v>34.700461228688553</v>
      </c>
      <c r="J13" s="106">
        <f t="shared" si="1"/>
        <v>37.493876298268631</v>
      </c>
      <c r="K13" s="100">
        <f>((H13-'Calibration F. prausnitzii'!$D$45)/('Calibration F. prausnitzii'!$D$44))+$B$70</f>
        <v>3.5559662162146859</v>
      </c>
      <c r="L13" s="100">
        <f>((I13-'Calibration F. prausnitzii'!$D$45)/('Calibration F. prausnitzii'!$D$44))+$B$70</f>
        <v>4.0603604900433758</v>
      </c>
      <c r="M13" s="100">
        <f>((J13-'Calibration F. prausnitzii'!$D$45)/('Calibration F. prausnitzii'!$D$44))+$B$70</f>
        <v>3.2003983345835731</v>
      </c>
      <c r="N13" s="107">
        <f t="shared" si="3"/>
        <v>3.6055750136138784</v>
      </c>
      <c r="O13" s="107">
        <f t="shared" si="4"/>
        <v>0.43212209130095752</v>
      </c>
      <c r="P13" s="108">
        <f>(AVERAGE(POWER(10,K13),POWER(10,L13),POWER(10,M13)))*(Calculation!$I13/Calculation!$K12)</f>
        <v>5572.3185688089598</v>
      </c>
      <c r="Q13" s="108">
        <f>(STDEV(POWER(10,K13),POWER(10,L13),POWER(10,M13))*(Calculation!$I13/Calculation!$K12))</f>
        <v>5248.7464354115355</v>
      </c>
      <c r="R13" s="107">
        <f t="shared" si="5"/>
        <v>3.746035937027044</v>
      </c>
      <c r="S13" s="107">
        <f>O13*(Calculation!$I13/Calculation!$K12)</f>
        <v>0.43321891906959759</v>
      </c>
      <c r="U13" s="107">
        <v>3.746035937027044</v>
      </c>
      <c r="V13" s="107">
        <v>7.5807197577386995</v>
      </c>
      <c r="W13" s="107">
        <v>6.7975094576472328</v>
      </c>
      <c r="X13" s="107">
        <f>AVERAGE(V13:W13)</f>
        <v>7.1891146076929662</v>
      </c>
      <c r="Z13">
        <v>0.43321891906959759</v>
      </c>
      <c r="AA13">
        <v>4.2285294669445698E-3</v>
      </c>
      <c r="AB13">
        <v>7.6867695572040762E-2</v>
      </c>
      <c r="AC13">
        <f>SUM(AA13:AB13)</f>
        <v>8.1096225038985337E-2</v>
      </c>
      <c r="AD13">
        <f>STDEV(V13:W13)</f>
        <v>0.55381331428982705</v>
      </c>
      <c r="AE13">
        <f t="shared" si="9"/>
        <v>0.63490953932881244</v>
      </c>
    </row>
    <row r="14" spans="1:31">
      <c r="A14" s="41">
        <v>10</v>
      </c>
      <c r="B14" s="33">
        <v>80</v>
      </c>
      <c r="C14" s="33">
        <f t="shared" si="10"/>
        <v>840</v>
      </c>
      <c r="D14" s="13">
        <f t="shared" si="0"/>
        <v>14</v>
      </c>
      <c r="E14" s="99">
        <v>24.335090637207031</v>
      </c>
      <c r="F14" s="99">
        <v>24.300384521484375</v>
      </c>
      <c r="G14" s="100">
        <v>24.288106918334961</v>
      </c>
      <c r="H14" s="106">
        <f t="shared" si="2"/>
        <v>24.875197251637776</v>
      </c>
      <c r="I14" s="106">
        <f t="shared" si="1"/>
        <v>24.840491135915119</v>
      </c>
      <c r="J14" s="106">
        <f t="shared" si="1"/>
        <v>24.828213532765705</v>
      </c>
      <c r="K14" s="100">
        <f>((H14-'Calibration F. prausnitzii'!$D$45)/('Calibration F. prausnitzii'!$D$44))+$B$70</f>
        <v>7.0851008086872138</v>
      </c>
      <c r="L14" s="100">
        <f>((I14-'Calibration F. prausnitzii'!$D$45)/('Calibration F. prausnitzii'!$D$44))+$B$70</f>
        <v>7.0957852022846826</v>
      </c>
      <c r="M14" s="100">
        <f>((J14-'Calibration F. prausnitzii'!$D$45)/('Calibration F. prausnitzii'!$D$44))+$B$70</f>
        <v>7.0995649034050876</v>
      </c>
      <c r="N14" s="107">
        <f t="shared" si="3"/>
        <v>7.0934836381256616</v>
      </c>
      <c r="O14" s="107">
        <f t="shared" si="4"/>
        <v>7.501693621141464E-3</v>
      </c>
      <c r="P14" s="108">
        <f>(AVERAGE(POWER(10,K14),POWER(10,L14),POWER(10,M14)))*(Calculation!$I14/Calculation!$K13)</f>
        <v>12458462.883877976</v>
      </c>
      <c r="Q14" s="108">
        <f>(STDEV(POWER(10,K14),POWER(10,L14),POWER(10,M14))*(Calculation!$I14/Calculation!$K13))</f>
        <v>214414.46842672088</v>
      </c>
      <c r="R14" s="107">
        <f t="shared" si="5"/>
        <v>7.0954644626899448</v>
      </c>
      <c r="S14" s="107">
        <f>O14*(Calculation!$I14/Calculation!$K13)</f>
        <v>7.5352394806351428E-3</v>
      </c>
      <c r="U14" s="107">
        <v>7.0954644626899448</v>
      </c>
      <c r="V14" s="107">
        <v>7.3752616191234965</v>
      </c>
      <c r="W14" s="107">
        <v>7.1961793702058197</v>
      </c>
      <c r="X14" s="107">
        <f t="shared" si="6"/>
        <v>7.222301817339754</v>
      </c>
      <c r="Z14">
        <v>7.5352394806351428E-3</v>
      </c>
      <c r="AA14">
        <v>5.4980066304525545E-2</v>
      </c>
      <c r="AB14">
        <v>2.8682030361368214E-2</v>
      </c>
      <c r="AC14">
        <f t="shared" si="7"/>
        <v>9.1197336146528904E-2</v>
      </c>
      <c r="AD14">
        <f t="shared" si="8"/>
        <v>0.14171590902320827</v>
      </c>
      <c r="AE14">
        <f t="shared" si="9"/>
        <v>0.23291324516973716</v>
      </c>
    </row>
    <row r="15" spans="1:31">
      <c r="A15" s="41">
        <v>11</v>
      </c>
      <c r="B15" s="33">
        <v>80</v>
      </c>
      <c r="C15" s="33">
        <f t="shared" si="10"/>
        <v>920</v>
      </c>
      <c r="D15" s="13">
        <f t="shared" si="0"/>
        <v>15.333333333333334</v>
      </c>
      <c r="E15" s="99">
        <v>22.072895050048828</v>
      </c>
      <c r="F15" s="99">
        <v>22.22576904296875</v>
      </c>
      <c r="G15" s="100">
        <v>22.105779647827148</v>
      </c>
      <c r="H15" s="106">
        <f t="shared" si="2"/>
        <v>22.613001664479572</v>
      </c>
      <c r="I15" s="106">
        <f t="shared" si="1"/>
        <v>22.765875657399494</v>
      </c>
      <c r="J15" s="106">
        <f t="shared" si="1"/>
        <v>22.645886262257893</v>
      </c>
      <c r="K15" s="100">
        <f>((H15-'Calibration F. prausnitzii'!$D$45)/('Calibration F. prausnitzii'!$D$44))+$B$70</f>
        <v>7.7815252729171807</v>
      </c>
      <c r="L15" s="100">
        <f>((I15-'Calibration F. prausnitzii'!$D$45)/('Calibration F. prausnitzii'!$D$44))+$B$70</f>
        <v>7.7344625038010513</v>
      </c>
      <c r="M15" s="100">
        <f>((J15-'Calibration F. prausnitzii'!$D$45)/('Calibration F. prausnitzii'!$D$44))+$B$70</f>
        <v>7.7714016397003221</v>
      </c>
      <c r="N15" s="107">
        <f t="shared" si="3"/>
        <v>7.7624631388061855</v>
      </c>
      <c r="O15" s="107">
        <f t="shared" si="4"/>
        <v>2.4771932865551623E-2</v>
      </c>
      <c r="P15" s="108">
        <f>(AVERAGE(POWER(10,K15),POWER(10,L15),POWER(10,M15)))*(Calculation!$I15/Calculation!$K14)</f>
        <v>58368200.175091162</v>
      </c>
      <c r="Q15" s="108">
        <f>(STDEV(POWER(10,K15),POWER(10,L15),POWER(10,M15))*(Calculation!$I15/Calculation!$K14))</f>
        <v>3283000.6406237585</v>
      </c>
      <c r="R15" s="107">
        <f t="shared" si="5"/>
        <v>7.7661763017378176</v>
      </c>
      <c r="S15" s="107">
        <f>O15*(Calculation!$I15/Calculation!$K14)</f>
        <v>2.4957806002286347E-2</v>
      </c>
      <c r="U15" s="107">
        <v>7.7661763017378176</v>
      </c>
      <c r="V15" s="107">
        <v>7.2794749049730472</v>
      </c>
      <c r="W15" s="107">
        <v>7.5774229232365391</v>
      </c>
      <c r="X15" s="107">
        <f t="shared" si="6"/>
        <v>7.5410247099824685</v>
      </c>
      <c r="Z15">
        <v>2.4957806002286347E-2</v>
      </c>
      <c r="AA15">
        <v>7.6932083254599187E-2</v>
      </c>
      <c r="AB15">
        <v>0.12424587620448199</v>
      </c>
      <c r="AC15">
        <f t="shared" si="7"/>
        <v>0.22613576546136754</v>
      </c>
      <c r="AD15">
        <f t="shared" si="8"/>
        <v>0.24538375017360309</v>
      </c>
      <c r="AE15">
        <f t="shared" si="9"/>
        <v>0.47151951563497063</v>
      </c>
    </row>
    <row r="16" spans="1:31">
      <c r="A16" s="41">
        <v>12</v>
      </c>
      <c r="B16" s="33">
        <v>80</v>
      </c>
      <c r="C16" s="33">
        <f t="shared" si="10"/>
        <v>1000</v>
      </c>
      <c r="D16" s="13">
        <f t="shared" si="0"/>
        <v>16.666666666666668</v>
      </c>
      <c r="E16" s="99">
        <v>22.481861114501953</v>
      </c>
      <c r="F16" s="99">
        <v>22.592107772827148</v>
      </c>
      <c r="G16" s="100">
        <v>22.590785980224609</v>
      </c>
      <c r="H16" s="106">
        <f t="shared" si="2"/>
        <v>23.021967728932697</v>
      </c>
      <c r="I16" s="106">
        <f t="shared" si="1"/>
        <v>23.132214387257893</v>
      </c>
      <c r="J16" s="106">
        <f t="shared" si="1"/>
        <v>23.130892594655354</v>
      </c>
      <c r="K16" s="100">
        <f>((H16-'Calibration F. prausnitzii'!$D$45)/('Calibration F. prausnitzii'!$D$44))+$B$70</f>
        <v>7.6556237045727773</v>
      </c>
      <c r="L16" s="100">
        <f>((I16-'Calibration F. prausnitzii'!$D$45)/('Calibration F. prausnitzii'!$D$44))+$B$70</f>
        <v>7.621683902730215</v>
      </c>
      <c r="M16" s="100">
        <f>((J16-'Calibration F. prausnitzii'!$D$45)/('Calibration F. prausnitzii'!$D$44))+$B$70</f>
        <v>7.6220908209959362</v>
      </c>
      <c r="N16" s="107">
        <f t="shared" si="3"/>
        <v>7.6331328094329765</v>
      </c>
      <c r="O16" s="107">
        <f t="shared" si="4"/>
        <v>1.9478749158015573E-2</v>
      </c>
      <c r="P16" s="108">
        <f>(AVERAGE(POWER(10,K16),POWER(10,L16),POWER(10,M16)))*(Calculation!$I16/Calculation!$K15)</f>
        <v>45622151.836722694</v>
      </c>
      <c r="Q16" s="108">
        <f>(STDEV(POWER(10,K16),POWER(10,L16),POWER(10,M16))*(Calculation!$I16/Calculation!$K15))</f>
        <v>2071993.463295154</v>
      </c>
      <c r="R16" s="107">
        <f t="shared" si="5"/>
        <v>7.6591757655696302</v>
      </c>
      <c r="S16" s="107">
        <f>O16*(Calculation!$I16/Calculation!$K15)</f>
        <v>2.0668565798150493E-2</v>
      </c>
      <c r="U16" s="107">
        <v>7.6591757655696302</v>
      </c>
      <c r="V16" s="107">
        <v>7.6334455101765091</v>
      </c>
      <c r="W16" s="107">
        <v>7.5723129829982216</v>
      </c>
      <c r="X16" s="107">
        <f t="shared" si="6"/>
        <v>7.6216447529147873</v>
      </c>
      <c r="Z16">
        <v>2.0668565798150493E-2</v>
      </c>
      <c r="AA16">
        <v>7.1893476911439498E-3</v>
      </c>
      <c r="AB16">
        <v>2.5942325620081953E-2</v>
      </c>
      <c r="AC16">
        <f t="shared" si="7"/>
        <v>5.3800239109376397E-2</v>
      </c>
      <c r="AD16">
        <f t="shared" si="8"/>
        <v>4.4617587933174004E-2</v>
      </c>
      <c r="AE16">
        <f t="shared" si="9"/>
        <v>9.8417827042550393E-2</v>
      </c>
    </row>
    <row r="17" spans="1:31">
      <c r="A17" s="41">
        <v>13</v>
      </c>
      <c r="B17" s="33">
        <v>80</v>
      </c>
      <c r="C17" s="33">
        <f t="shared" si="10"/>
        <v>1080</v>
      </c>
      <c r="D17" s="13">
        <f t="shared" si="0"/>
        <v>18</v>
      </c>
      <c r="E17" s="99">
        <v>22.439212799072266</v>
      </c>
      <c r="F17" s="99">
        <v>22.468496322631836</v>
      </c>
      <c r="G17" s="100">
        <v>22.432867050170898</v>
      </c>
      <c r="H17" s="106">
        <f t="shared" si="2"/>
        <v>22.97931941350301</v>
      </c>
      <c r="I17" s="106">
        <f t="shared" si="1"/>
        <v>23.00860293706258</v>
      </c>
      <c r="J17" s="106">
        <f t="shared" si="1"/>
        <v>22.972973664601643</v>
      </c>
      <c r="K17" s="100">
        <f>((H17-'Calibration F. prausnitzii'!$D$45)/('Calibration F. prausnitzii'!$D$44))+$B$70</f>
        <v>7.6687531308664347</v>
      </c>
      <c r="L17" s="100">
        <f>((I17-'Calibration F. prausnitzii'!$D$45)/('Calibration F. prausnitzii'!$D$44))+$B$70</f>
        <v>7.6597381003706158</v>
      </c>
      <c r="M17" s="100">
        <f>((J17-'Calibration F. prausnitzii'!$D$45)/('Calibration F. prausnitzii'!$D$44))+$B$70</f>
        <v>7.6707066908520787</v>
      </c>
      <c r="N17" s="107">
        <f t="shared" si="3"/>
        <v>7.6663993073630436</v>
      </c>
      <c r="O17" s="107">
        <f t="shared" si="4"/>
        <v>5.8508852408288674E-3</v>
      </c>
      <c r="P17" s="108">
        <f>(AVERAGE(POWER(10,K17),POWER(10,L17),POWER(10,M17)))*(Calculation!$I17/Calculation!$K16)</f>
        <v>49325149.383055463</v>
      </c>
      <c r="Q17" s="108">
        <f>(STDEV(POWER(10,K17),POWER(10,L17),POWER(10,M17))*(Calculation!$I17/Calculation!$K16))</f>
        <v>662233.58550664689</v>
      </c>
      <c r="R17" s="107">
        <f t="shared" si="5"/>
        <v>7.6930684092032644</v>
      </c>
      <c r="S17" s="107">
        <f>O17*(Calculation!$I17/Calculation!$K16)</f>
        <v>6.2210611056869513E-3</v>
      </c>
      <c r="U17" s="107">
        <v>7.6930684092032644</v>
      </c>
      <c r="V17" s="107">
        <v>8.1508128792244179</v>
      </c>
      <c r="W17" s="107">
        <v>8.2762733405863074</v>
      </c>
      <c r="X17" s="107">
        <f t="shared" si="6"/>
        <v>8.0400515430046635</v>
      </c>
      <c r="Z17">
        <v>6.2210611056869513E-3</v>
      </c>
      <c r="AA17">
        <v>1.3744618075941226E-2</v>
      </c>
      <c r="AB17">
        <v>4.3176545740968575E-2</v>
      </c>
      <c r="AC17">
        <f t="shared" si="7"/>
        <v>6.3142224922596746E-2</v>
      </c>
      <c r="AD17">
        <f t="shared" si="8"/>
        <v>0.30697402691150294</v>
      </c>
      <c r="AE17">
        <f t="shared" si="9"/>
        <v>0.37011625183409969</v>
      </c>
    </row>
    <row r="18" spans="1:31">
      <c r="A18" s="41">
        <v>14</v>
      </c>
      <c r="B18" s="33">
        <v>80</v>
      </c>
      <c r="C18" s="33">
        <f t="shared" si="10"/>
        <v>1160</v>
      </c>
      <c r="D18" s="13">
        <f t="shared" si="0"/>
        <v>19.333333333333332</v>
      </c>
      <c r="E18" s="99">
        <v>20.541423797607422</v>
      </c>
      <c r="F18" s="99">
        <v>20.735755920410156</v>
      </c>
      <c r="G18" s="100">
        <v>20.650968551635742</v>
      </c>
      <c r="H18" s="106">
        <f t="shared" si="2"/>
        <v>21.081530412038166</v>
      </c>
      <c r="I18" s="106">
        <f t="shared" si="1"/>
        <v>21.275862534840901</v>
      </c>
      <c r="J18" s="106">
        <f t="shared" si="1"/>
        <v>21.191075166066486</v>
      </c>
      <c r="K18" s="100">
        <f>((H18-'Calibration F. prausnitzii'!$D$45)/('Calibration F. prausnitzii'!$D$44))+$B$70</f>
        <v>8.2529938110575642</v>
      </c>
      <c r="L18" s="100">
        <f>((I18-'Calibration F. prausnitzii'!$D$45)/('Calibration F. prausnitzii'!$D$44))+$B$70</f>
        <v>8.1931680182420195</v>
      </c>
      <c r="M18" s="100">
        <f>((J18-'Calibration F. prausnitzii'!$D$45)/('Calibration F. prausnitzii'!$D$44))+$B$70</f>
        <v>8.2192700927962203</v>
      </c>
      <c r="N18" s="107">
        <f t="shared" si="3"/>
        <v>8.2218106406986013</v>
      </c>
      <c r="O18" s="107">
        <f t="shared" si="4"/>
        <v>2.9993701992840797E-2</v>
      </c>
      <c r="P18" s="108">
        <f>(AVERAGE(POWER(10,K18),POWER(10,L18),POWER(10,M18)))*(Calculation!$I18/Calculation!$K17)</f>
        <v>177668110.66977304</v>
      </c>
      <c r="Q18" s="108">
        <f>(STDEV(POWER(10,K18),POWER(10,L18),POWER(10,M18))*(Calculation!$I18/Calculation!$K17))</f>
        <v>12316207.634768413</v>
      </c>
      <c r="R18" s="107">
        <f t="shared" si="5"/>
        <v>8.2496094840631908</v>
      </c>
      <c r="S18" s="107">
        <f>O18*(Calculation!$I18/Calculation!$K17)</f>
        <v>3.192542603717867E-2</v>
      </c>
      <c r="U18" s="107">
        <v>8.2496094840631908</v>
      </c>
      <c r="V18" s="107">
        <v>7.7778890068537168</v>
      </c>
      <c r="W18" s="107">
        <v>7.8011284804283294</v>
      </c>
      <c r="X18" s="107">
        <f t="shared" si="6"/>
        <v>7.9428756571150787</v>
      </c>
      <c r="Z18">
        <v>3.192542603717867E-2</v>
      </c>
      <c r="AA18">
        <v>8.8309056997398938E-2</v>
      </c>
      <c r="AB18">
        <v>7.399480027517881E-2</v>
      </c>
      <c r="AC18">
        <f t="shared" si="7"/>
        <v>0.19422928330975642</v>
      </c>
      <c r="AD18">
        <f t="shared" si="8"/>
        <v>0.26589330327911975</v>
      </c>
      <c r="AE18">
        <f t="shared" si="9"/>
        <v>0.46012258658887617</v>
      </c>
    </row>
    <row r="19" spans="1:31">
      <c r="A19" s="41">
        <v>15</v>
      </c>
      <c r="B19" s="33">
        <v>280</v>
      </c>
      <c r="C19" s="33">
        <f>C18+B19</f>
        <v>1440</v>
      </c>
      <c r="D19" s="13">
        <f t="shared" si="0"/>
        <v>24</v>
      </c>
      <c r="E19" s="99">
        <v>22.632104873657227</v>
      </c>
      <c r="F19" s="99">
        <v>22.427692413330078</v>
      </c>
      <c r="G19" s="100">
        <v>22.583070755004883</v>
      </c>
      <c r="H19" s="106">
        <f t="shared" si="2"/>
        <v>23.172211488087971</v>
      </c>
      <c r="I19" s="106">
        <f t="shared" si="1"/>
        <v>22.967799027760822</v>
      </c>
      <c r="J19" s="106">
        <f t="shared" si="1"/>
        <v>23.123177369435627</v>
      </c>
      <c r="K19" s="100">
        <f>((H19-'Calibration F. prausnitzii'!$D$45)/('Calibration F. prausnitzii'!$D$44))+$B$70</f>
        <v>7.6093706617025774</v>
      </c>
      <c r="L19" s="100">
        <f>((I19-'Calibration F. prausnitzii'!$D$45)/('Calibration F. prausnitzii'!$D$44))+$B$70</f>
        <v>7.672299720079927</v>
      </c>
      <c r="M19" s="100">
        <f>((J19-'Calibration F. prausnitzii'!$D$45)/('Calibration F. prausnitzii'!$D$44))+$B$70</f>
        <v>7.6244659788384155</v>
      </c>
      <c r="N19" s="107">
        <f t="shared" si="3"/>
        <v>7.6353787868736402</v>
      </c>
      <c r="O19" s="107">
        <f t="shared" si="4"/>
        <v>3.2853213411707757E-2</v>
      </c>
      <c r="P19" s="108">
        <f>(AVERAGE(POWER(10,K19),POWER(10,L19),POWER(10,M19)))*(Calculation!$I19/Calculation!$K18)</f>
        <v>46215125.779409781</v>
      </c>
      <c r="Q19" s="108">
        <f>(STDEV(POWER(10,K19),POWER(10,L19),POWER(10,M19))*(Calculation!$I19/Calculation!$K18))</f>
        <v>3551531.5509925047</v>
      </c>
      <c r="R19" s="107">
        <f t="shared" si="5"/>
        <v>7.6647841393531317</v>
      </c>
      <c r="S19" s="107">
        <f>O19*(Calculation!$I19/Calculation!$K18)</f>
        <v>3.5086975729245559E-2</v>
      </c>
      <c r="U19" s="107">
        <v>7.6647841393531317</v>
      </c>
      <c r="V19" s="107">
        <v>7.8559191745457424</v>
      </c>
      <c r="W19" s="107">
        <v>8.0414292592550041</v>
      </c>
      <c r="X19" s="107">
        <f t="shared" si="6"/>
        <v>7.854044191051293</v>
      </c>
      <c r="Y19" s="84"/>
      <c r="Z19">
        <v>3.5086975729245559E-2</v>
      </c>
      <c r="AA19">
        <v>2.0494355251105437E-2</v>
      </c>
      <c r="AB19">
        <v>3.8432346519506659E-2</v>
      </c>
      <c r="AC19">
        <f t="shared" si="7"/>
        <v>9.4013677499857645E-2</v>
      </c>
      <c r="AD19">
        <f t="shared" si="8"/>
        <v>0.18832956023631098</v>
      </c>
      <c r="AE19">
        <f t="shared" si="9"/>
        <v>0.28234323773616865</v>
      </c>
    </row>
    <row r="20" spans="1:31">
      <c r="A20" s="41">
        <v>16</v>
      </c>
      <c r="B20" s="33">
        <v>360</v>
      </c>
      <c r="C20" s="33">
        <f>C19+B20</f>
        <v>1800</v>
      </c>
      <c r="D20" s="13">
        <f t="shared" si="0"/>
        <v>30</v>
      </c>
      <c r="E20" s="99" t="s">
        <v>245</v>
      </c>
      <c r="F20" s="99">
        <v>22.026500701904297</v>
      </c>
      <c r="G20" s="100">
        <v>22.090997695922852</v>
      </c>
      <c r="H20" s="106" t="e">
        <f t="shared" si="2"/>
        <v>#VALUE!</v>
      </c>
      <c r="I20" s="106">
        <f t="shared" ref="I20:I21" si="11">F20-$H$76+$H$86</f>
        <v>22.566607316335041</v>
      </c>
      <c r="J20" s="106">
        <f t="shared" ref="J20:J21" si="12">G20-$H$76+$H$86</f>
        <v>22.631104310353596</v>
      </c>
      <c r="K20" s="100" t="e">
        <f>((H20-'Calibration F. prausnitzii'!$D$45)/('Calibration F. prausnitzii'!$D$44))+$B$70</f>
        <v>#VALUE!</v>
      </c>
      <c r="L20" s="100">
        <f>((I20-'Calibration F. prausnitzii'!$D$45)/('Calibration F. prausnitzii'!$D$44))+$B$70</f>
        <v>7.7958079278888679</v>
      </c>
      <c r="M20" s="100">
        <f>((J20-'Calibration F. prausnitzii'!$D$45)/('Calibration F. prausnitzii'!$D$44))+$B$70</f>
        <v>7.7759523129461119</v>
      </c>
      <c r="N20" s="107">
        <f>AVERAGE(L20:M20)</f>
        <v>7.7858801204174899</v>
      </c>
      <c r="O20" s="107">
        <f>STDEV(L20:M20)</f>
        <v>1.4040039970651714E-2</v>
      </c>
      <c r="P20" s="108">
        <f>(AVERAGE(POWER(10,L20),POWER(10,M20)))*(Calculation!$I20/Calculation!$K19)</f>
        <v>65323480.310493678</v>
      </c>
      <c r="Q20" s="108">
        <f>(STDEV(POWER(10,L20),POWER(10,M20))*(Calculation!$I20/Calculation!$K19))</f>
        <v>2111434.9621551358</v>
      </c>
      <c r="R20" s="107">
        <f>LOG(P20)</f>
        <v>7.815069315063063</v>
      </c>
      <c r="S20" s="107">
        <f>O20*(Calculation!$I20/Calculation!$K19)</f>
        <v>1.5012190808329259E-2</v>
      </c>
      <c r="U20" s="107">
        <v>7.815069315063063</v>
      </c>
      <c r="V20" s="107">
        <v>8.1896060264163832</v>
      </c>
      <c r="W20" s="107">
        <v>7.7805522572845183</v>
      </c>
      <c r="X20" s="107">
        <f t="shared" si="6"/>
        <v>7.9284091995879891</v>
      </c>
      <c r="Y20" s="84"/>
      <c r="Z20">
        <v>1.5012190808329259E-2</v>
      </c>
      <c r="AA20">
        <v>7.2227186290670809E-3</v>
      </c>
      <c r="AB20">
        <v>0.10378522505825884</v>
      </c>
      <c r="AC20">
        <f t="shared" si="7"/>
        <v>0.12602013449565519</v>
      </c>
      <c r="AD20">
        <f t="shared" si="8"/>
        <v>0.22686051568825016</v>
      </c>
      <c r="AE20">
        <f t="shared" si="9"/>
        <v>0.35288065018390535</v>
      </c>
    </row>
    <row r="21" spans="1:31">
      <c r="A21" s="41">
        <v>17</v>
      </c>
      <c r="B21" s="33">
        <v>1080</v>
      </c>
      <c r="C21" s="33">
        <f>C20+B21</f>
        <v>2880</v>
      </c>
      <c r="D21" s="13">
        <f t="shared" si="0"/>
        <v>48</v>
      </c>
      <c r="E21" s="99">
        <v>24.718008041381836</v>
      </c>
      <c r="F21" s="99">
        <v>24.688125610351562</v>
      </c>
      <c r="G21" s="100">
        <v>24.664077758789062</v>
      </c>
      <c r="H21" s="106">
        <f t="shared" si="2"/>
        <v>25.25811465581258</v>
      </c>
      <c r="I21" s="106">
        <f t="shared" si="11"/>
        <v>25.228232224782307</v>
      </c>
      <c r="J21" s="106">
        <f t="shared" si="12"/>
        <v>25.204184373219807</v>
      </c>
      <c r="K21" s="100">
        <f>((H21-'Calibration F. prausnitzii'!$D$45)/('Calibration F. prausnitzii'!$D$44))+$B$70</f>
        <v>6.9672184073773575</v>
      </c>
      <c r="L21" s="100">
        <f>((I21-'Calibration F. prausnitzii'!$D$45)/('Calibration F. prausnitzii'!$D$44))+$B$70</f>
        <v>6.9764178135375872</v>
      </c>
      <c r="M21" s="100">
        <f>((J21-'Calibration F. prausnitzii'!$D$45)/('Calibration F. prausnitzii'!$D$44))+$B$70</f>
        <v>6.9838210249289308</v>
      </c>
      <c r="N21" s="107">
        <f t="shared" si="3"/>
        <v>6.9758190819479582</v>
      </c>
      <c r="O21" s="107">
        <f t="shared" si="4"/>
        <v>8.3174868216466819E-3</v>
      </c>
      <c r="P21" s="108">
        <f>(AVERAGE(POWER(10,K21),POWER(10,L21),POWER(10,M21)))*(Calculation!$I21/Calculation!$K20)</f>
        <v>10127006.235715704</v>
      </c>
      <c r="Q21" s="108">
        <f>(STDEV(POWER(10,K21),POWER(10,L21),POWER(10,M21))*(Calculation!$I21/Calculation!$K20))</f>
        <v>193741.13928942179</v>
      </c>
      <c r="R21" s="107">
        <f t="shared" si="5"/>
        <v>7.0054810773968086</v>
      </c>
      <c r="S21" s="107">
        <f>O21*(Calculation!$I21/Calculation!$K20)</f>
        <v>8.9043261045928888E-3</v>
      </c>
      <c r="U21" s="107">
        <v>7.0054810773968086</v>
      </c>
      <c r="V21" s="107">
        <v>6.837298075082332</v>
      </c>
      <c r="W21" s="107">
        <v>6.8786003086581928</v>
      </c>
      <c r="X21" s="107">
        <f t="shared" si="6"/>
        <v>6.9071264870457769</v>
      </c>
      <c r="Z21">
        <v>8.9043261045928888E-3</v>
      </c>
      <c r="AA21">
        <v>1.7577692463466099E-3</v>
      </c>
      <c r="AB21">
        <v>2.801687100062332E-2</v>
      </c>
      <c r="AC21">
        <f t="shared" si="7"/>
        <v>3.8678966351562816E-2</v>
      </c>
      <c r="AD21">
        <f t="shared" si="8"/>
        <v>8.7645237788074079E-2</v>
      </c>
      <c r="AE21">
        <f t="shared" si="9"/>
        <v>0.12632420413963691</v>
      </c>
    </row>
    <row r="22" spans="1:31">
      <c r="A22" s="10"/>
      <c r="B22" s="10"/>
      <c r="C22" s="10"/>
      <c r="D22" s="152"/>
      <c r="E22" s="153"/>
      <c r="F22" s="153"/>
      <c r="G22" s="154"/>
      <c r="H22" s="155"/>
      <c r="I22" s="155"/>
      <c r="J22" s="155"/>
      <c r="K22" s="154"/>
      <c r="L22" s="154"/>
      <c r="M22" s="154"/>
      <c r="N22" s="156"/>
      <c r="O22" s="156"/>
      <c r="P22" s="157"/>
      <c r="Q22" s="157"/>
      <c r="R22" s="156"/>
      <c r="S22" s="156"/>
    </row>
    <row r="23" spans="1:31">
      <c r="A23" s="105" t="s">
        <v>222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</row>
    <row r="24" spans="1:31">
      <c r="A24" s="117" t="s">
        <v>4</v>
      </c>
      <c r="B24" s="117" t="s">
        <v>118</v>
      </c>
      <c r="C24" s="117" t="s">
        <v>118</v>
      </c>
      <c r="D24" s="117" t="s">
        <v>5</v>
      </c>
      <c r="E24" s="131" t="s">
        <v>223</v>
      </c>
      <c r="F24" s="131" t="s">
        <v>224</v>
      </c>
      <c r="G24" s="131" t="s">
        <v>225</v>
      </c>
      <c r="H24" s="133" t="s">
        <v>226</v>
      </c>
      <c r="I24" s="133" t="s">
        <v>227</v>
      </c>
      <c r="J24" s="133" t="s">
        <v>228</v>
      </c>
      <c r="K24" s="131" t="s">
        <v>229</v>
      </c>
      <c r="L24" s="131" t="s">
        <v>230</v>
      </c>
      <c r="M24" s="131" t="s">
        <v>231</v>
      </c>
      <c r="N24" s="131" t="s">
        <v>232</v>
      </c>
      <c r="O24" s="131" t="s">
        <v>233</v>
      </c>
      <c r="P24" s="133" t="s">
        <v>234</v>
      </c>
      <c r="Q24" s="133" t="s">
        <v>235</v>
      </c>
      <c r="R24" s="133" t="s">
        <v>236</v>
      </c>
      <c r="S24" s="133" t="s">
        <v>237</v>
      </c>
    </row>
    <row r="25" spans="1:31">
      <c r="A25" s="118"/>
      <c r="B25" s="118"/>
      <c r="C25" s="118"/>
      <c r="D25" s="118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</row>
    <row r="26" spans="1:31">
      <c r="A26" s="41">
        <v>0</v>
      </c>
      <c r="B26" s="33">
        <v>10</v>
      </c>
      <c r="C26" s="33">
        <f>B26</f>
        <v>10</v>
      </c>
      <c r="D26" s="13">
        <f t="shared" ref="D26:D43" si="13">C26/60</f>
        <v>0.16666666666666666</v>
      </c>
      <c r="E26" s="99">
        <v>29.720108032226562</v>
      </c>
      <c r="F26" s="99">
        <v>29.606626510620117</v>
      </c>
      <c r="G26" s="100">
        <v>29.693130493164062</v>
      </c>
      <c r="H26" s="106">
        <f>E26-$H$81+$H$86</f>
        <v>29.273933569590248</v>
      </c>
      <c r="I26" s="106">
        <f t="shared" ref="I26:J41" si="14">F26-$H$81+$H$86</f>
        <v>29.160452047983803</v>
      </c>
      <c r="J26" s="106">
        <f t="shared" si="14"/>
        <v>29.246956030527748</v>
      </c>
      <c r="K26" s="100">
        <f>((H26-'Calibration F. prausnitzii'!$D$45)/('Calibration F. prausnitzii'!$D$44))+$B$70</f>
        <v>5.7309351472789469</v>
      </c>
      <c r="L26" s="100">
        <f>((I26-'Calibration F. prausnitzii'!$D$45)/('Calibration F. prausnitzii'!$D$44))+$B$70</f>
        <v>5.7658708125827811</v>
      </c>
      <c r="M26" s="100">
        <f>((J26-'Calibration F. prausnitzii'!$D$45)/('Calibration F. prausnitzii'!$D$44))+$B$70</f>
        <v>5.7392402727484235</v>
      </c>
      <c r="N26" s="107">
        <f>AVERAGE(K26:M26)</f>
        <v>5.7453487442033833</v>
      </c>
      <c r="O26" s="107">
        <f>STDEV(K26:M26)</f>
        <v>1.8251308040587933E-2</v>
      </c>
      <c r="P26" s="108">
        <f>(AVERAGE(POWER(10,K26),POWER(10,L26),POWER(10,M26)))*(Calculation!$I4/Calculation!$K3)</f>
        <v>556680.45569280046</v>
      </c>
      <c r="Q26" s="108">
        <f>(STDEV(POWER(10,K26),POWER(10,L26),POWER(10,M26))*(Calculation!$I4/Calculation!$K3))</f>
        <v>23607.389142134223</v>
      </c>
      <c r="R26" s="107">
        <f>LOG(P26)</f>
        <v>5.7456059740754517</v>
      </c>
      <c r="S26" s="107">
        <f>O26*(Calculation!$I4/Calculation!$K3)</f>
        <v>1.8251308040587933E-2</v>
      </c>
    </row>
    <row r="27" spans="1:31">
      <c r="A27" s="41">
        <v>1</v>
      </c>
      <c r="B27" s="33">
        <v>110</v>
      </c>
      <c r="C27" s="33">
        <f>C26+B27</f>
        <v>120</v>
      </c>
      <c r="D27" s="13">
        <f t="shared" si="13"/>
        <v>2</v>
      </c>
      <c r="E27" s="99">
        <v>29.190542221069336</v>
      </c>
      <c r="F27" s="99">
        <v>29.233283996582031</v>
      </c>
      <c r="G27" s="100">
        <v>29.375265121459961</v>
      </c>
      <c r="H27" s="106">
        <f t="shared" ref="H27:H43" si="15">E27-$H$81+$H$86</f>
        <v>28.744367758433022</v>
      </c>
      <c r="I27" s="106">
        <f t="shared" si="14"/>
        <v>28.787109533945717</v>
      </c>
      <c r="J27" s="106">
        <f t="shared" si="14"/>
        <v>28.929090658823647</v>
      </c>
      <c r="K27" s="100">
        <f>((H27-'Calibration F. prausnitzii'!$D$45)/('Calibration F. prausnitzii'!$D$44))+$B$70</f>
        <v>5.8939637502888989</v>
      </c>
      <c r="L27" s="100">
        <f>((I27-'Calibration F. prausnitzii'!$D$45)/('Calibration F. prausnitzii'!$D$44))+$B$70</f>
        <v>5.8808055519966551</v>
      </c>
      <c r="M27" s="100">
        <f>((J27-'Calibration F. prausnitzii'!$D$45)/('Calibration F. prausnitzii'!$D$44))+$B$70</f>
        <v>5.8370961886749395</v>
      </c>
      <c r="N27" s="107">
        <f t="shared" ref="N27:N43" si="16">AVERAGE(K27:M27)</f>
        <v>5.8706218303201645</v>
      </c>
      <c r="O27" s="107">
        <f t="shared" ref="O27:O43" si="17">STDEV(K27:M27)</f>
        <v>2.9770136569514324E-2</v>
      </c>
      <c r="P27" s="108">
        <f>(AVERAGE(POWER(10,K27),POWER(10,L27),POWER(10,M27)))*(Calculation!$I5/Calculation!$K4)</f>
        <v>743523.60488336754</v>
      </c>
      <c r="Q27" s="108">
        <f>(STDEV(POWER(10,K27),POWER(10,L27),POWER(10,M27))*(Calculation!$I5/Calculation!$K4))</f>
        <v>50141.352173235318</v>
      </c>
      <c r="R27" s="107">
        <f t="shared" ref="R27:R43" si="18">LOG(P27)</f>
        <v>5.8712947607636385</v>
      </c>
      <c r="S27" s="107">
        <f>O27*(Calculation!$I5/Calculation!$K4)</f>
        <v>2.9770136569514324E-2</v>
      </c>
    </row>
    <row r="28" spans="1:31">
      <c r="A28" s="41">
        <v>2</v>
      </c>
      <c r="B28" s="33">
        <v>80</v>
      </c>
      <c r="C28" s="33">
        <f>C27+B28</f>
        <v>200</v>
      </c>
      <c r="D28" s="13">
        <f t="shared" si="13"/>
        <v>3.3333333333333335</v>
      </c>
      <c r="E28" s="99">
        <v>27.032426834106445</v>
      </c>
      <c r="F28" s="99">
        <v>26.962554931640625</v>
      </c>
      <c r="G28" s="100">
        <v>26.566617965698242</v>
      </c>
      <c r="H28" s="106">
        <f t="shared" si="15"/>
        <v>26.586252371470131</v>
      </c>
      <c r="I28" s="106">
        <f t="shared" si="14"/>
        <v>26.516380469004311</v>
      </c>
      <c r="J28" s="106">
        <f t="shared" si="14"/>
        <v>26.120443503061928</v>
      </c>
      <c r="K28" s="100">
        <f>((H28-'Calibration F. prausnitzii'!$D$45)/('Calibration F. prausnitzii'!$D$44))+$B$70</f>
        <v>6.558346777399354</v>
      </c>
      <c r="L28" s="100">
        <f>((I28-'Calibration F. prausnitzii'!$D$45)/('Calibration F. prausnitzii'!$D$44))+$B$70</f>
        <v>6.5798570758526438</v>
      </c>
      <c r="M28" s="100">
        <f>((J28-'Calibration F. prausnitzii'!$D$45)/('Calibration F. prausnitzii'!$D$44))+$B$70</f>
        <v>6.7017475927206611</v>
      </c>
      <c r="N28" s="107">
        <f t="shared" si="16"/>
        <v>6.6133171486575533</v>
      </c>
      <c r="O28" s="107">
        <f t="shared" si="17"/>
        <v>7.7334538291673235E-2</v>
      </c>
      <c r="P28" s="108">
        <f>(AVERAGE(POWER(10,K28),POWER(10,L28),POWER(10,M28)))*(Calculation!$I6/Calculation!$K5)</f>
        <v>4149903.0706379339</v>
      </c>
      <c r="Q28" s="108">
        <f>(STDEV(POWER(10,K28),POWER(10,L28),POWER(10,M28))*(Calculation!$I6/Calculation!$K5))</f>
        <v>769487.14566660859</v>
      </c>
      <c r="R28" s="107">
        <f t="shared" si="18"/>
        <v>6.6180379530063833</v>
      </c>
      <c r="S28" s="107">
        <f>O28*(Calculation!$I6/Calculation!$K5)</f>
        <v>7.7334538291673235E-2</v>
      </c>
    </row>
    <row r="29" spans="1:31">
      <c r="A29" s="41">
        <v>3</v>
      </c>
      <c r="B29" s="33">
        <v>80</v>
      </c>
      <c r="C29" s="33">
        <f>C28+B29</f>
        <v>280</v>
      </c>
      <c r="D29" s="13">
        <f t="shared" si="13"/>
        <v>4.666666666666667</v>
      </c>
      <c r="E29" s="99">
        <v>27.899864196777344</v>
      </c>
      <c r="F29" s="99">
        <v>27.590581893920898</v>
      </c>
      <c r="G29" s="100">
        <v>27.661882400512695</v>
      </c>
      <c r="H29" s="106">
        <f t="shared" si="15"/>
        <v>27.45368973414103</v>
      </c>
      <c r="I29" s="106">
        <f t="shared" si="14"/>
        <v>27.144407431284584</v>
      </c>
      <c r="J29" s="106">
        <f t="shared" si="14"/>
        <v>27.215707937876381</v>
      </c>
      <c r="K29" s="100">
        <f>((H29-'Calibration F. prausnitzii'!$D$45)/('Calibration F. prausnitzii'!$D$44))+$B$70</f>
        <v>6.291303289214488</v>
      </c>
      <c r="L29" s="100">
        <f>((I29-'Calibration F. prausnitzii'!$D$45)/('Calibration F. prausnitzii'!$D$44))+$B$70</f>
        <v>6.3865168787402231</v>
      </c>
      <c r="M29" s="100">
        <f>((J29-'Calibration F. prausnitzii'!$D$45)/('Calibration F. prausnitzii'!$D$44))+$B$70</f>
        <v>6.3645667797371148</v>
      </c>
      <c r="N29" s="107">
        <f t="shared" si="16"/>
        <v>6.3474623158972747</v>
      </c>
      <c r="O29" s="107">
        <f t="shared" si="17"/>
        <v>4.9858087809602936E-2</v>
      </c>
      <c r="P29" s="108">
        <f>(AVERAGE(POWER(10,K29),POWER(10,L29),POWER(10,M29)))*(Calculation!$I7/Calculation!$K6)</f>
        <v>2236919.7494527944</v>
      </c>
      <c r="Q29" s="108">
        <f>(STDEV(POWER(10,K29),POWER(10,L29),POWER(10,M29))*(Calculation!$I7/Calculation!$K6))</f>
        <v>249639.8059047054</v>
      </c>
      <c r="R29" s="107">
        <f t="shared" si="18"/>
        <v>6.3496504038574759</v>
      </c>
      <c r="S29" s="107">
        <f>O29*(Calculation!$I7/Calculation!$K6)</f>
        <v>4.9894295571265679E-2</v>
      </c>
    </row>
    <row r="30" spans="1:31">
      <c r="A30" s="41">
        <v>4</v>
      </c>
      <c r="B30" s="33">
        <v>80</v>
      </c>
      <c r="C30" s="33">
        <f t="shared" ref="C30:C40" si="19">C29+B30</f>
        <v>360</v>
      </c>
      <c r="D30" s="13">
        <f t="shared" si="13"/>
        <v>6</v>
      </c>
      <c r="E30" s="99">
        <v>27.653549194335938</v>
      </c>
      <c r="F30" s="99">
        <v>27.689546585083008</v>
      </c>
      <c r="G30" s="100">
        <v>27.602155685424805</v>
      </c>
      <c r="H30" s="106">
        <f t="shared" si="15"/>
        <v>27.207374731699623</v>
      </c>
      <c r="I30" s="106">
        <f t="shared" si="14"/>
        <v>27.243372122446694</v>
      </c>
      <c r="J30" s="106">
        <f t="shared" si="14"/>
        <v>27.15598122278849</v>
      </c>
      <c r="K30" s="100">
        <f>((H30-'Calibration F. prausnitzii'!$D$45)/('Calibration F. prausnitzii'!$D$44))+$B$70</f>
        <v>6.3671321850804503</v>
      </c>
      <c r="L30" s="100">
        <f>((I30-'Calibration F. prausnitzii'!$D$45)/('Calibration F. prausnitzii'!$D$44))+$B$70</f>
        <v>6.3560502681555757</v>
      </c>
      <c r="M30" s="100">
        <f>((J30-'Calibration F. prausnitzii'!$D$45)/('Calibration F. prausnitzii'!$D$44))+$B$70</f>
        <v>6.3829538483846822</v>
      </c>
      <c r="N30" s="107">
        <f t="shared" si="16"/>
        <v>6.3687121005402361</v>
      </c>
      <c r="O30" s="107">
        <f t="shared" si="17"/>
        <v>1.3521196579114004E-2</v>
      </c>
      <c r="P30" s="108">
        <f>(AVERAGE(POWER(10,K30),POWER(10,L30),POWER(10,M30)))*(Calculation!$I8/Calculation!$K7)</f>
        <v>2339741.8321557501</v>
      </c>
      <c r="Q30" s="108">
        <f>(STDEV(POWER(10,K30),POWER(10,L30),POWER(10,M30))*(Calculation!$I8/Calculation!$K7))</f>
        <v>73031.696276405011</v>
      </c>
      <c r="R30" s="107">
        <f t="shared" si="18"/>
        <v>6.3691679398649885</v>
      </c>
      <c r="S30" s="107">
        <f>O30*(Calculation!$I8/Calculation!$K7)</f>
        <v>1.3531015893986274E-2</v>
      </c>
    </row>
    <row r="31" spans="1:31">
      <c r="A31" s="41">
        <v>5</v>
      </c>
      <c r="B31" s="33">
        <v>80</v>
      </c>
      <c r="C31" s="33">
        <f t="shared" si="19"/>
        <v>440</v>
      </c>
      <c r="D31" s="13">
        <f t="shared" si="13"/>
        <v>7.333333333333333</v>
      </c>
      <c r="E31" s="99">
        <v>26.803565979003906</v>
      </c>
      <c r="F31" s="99">
        <v>26.97838020324707</v>
      </c>
      <c r="G31" s="100">
        <v>26.795906066894531</v>
      </c>
      <c r="H31" s="106">
        <f t="shared" si="15"/>
        <v>26.357391516367592</v>
      </c>
      <c r="I31" s="106">
        <f t="shared" si="14"/>
        <v>26.532205740610756</v>
      </c>
      <c r="J31" s="106">
        <f t="shared" si="14"/>
        <v>26.349731604258217</v>
      </c>
      <c r="K31" s="100">
        <f>((H31-'Calibration F. prausnitzii'!$D$45)/('Calibration F. prausnitzii'!$D$44))+$B$70</f>
        <v>6.6288023557334173</v>
      </c>
      <c r="L31" s="100">
        <f>((I31-'Calibration F. prausnitzii'!$D$45)/('Calibration F. prausnitzii'!$D$44))+$B$70</f>
        <v>6.5749852131532478</v>
      </c>
      <c r="M31" s="100">
        <f>((J31-'Calibration F. prausnitzii'!$D$45)/('Calibration F. prausnitzii'!$D$44))+$B$70</f>
        <v>6.6311604852502031</v>
      </c>
      <c r="N31" s="107">
        <f t="shared" si="16"/>
        <v>6.6116493513789552</v>
      </c>
      <c r="O31" s="107">
        <f t="shared" si="17"/>
        <v>3.1773958953518276E-2</v>
      </c>
      <c r="P31" s="108">
        <f>(AVERAGE(POWER(10,K31),POWER(10,L31),POWER(10,M31)))*(Calculation!$I9/Calculation!$K8)</f>
        <v>4099475.9179743803</v>
      </c>
      <c r="Q31" s="108">
        <f>(STDEV(POWER(10,K31),POWER(10,L31),POWER(10,M31))*(Calculation!$I9/Calculation!$K8))</f>
        <v>293379.05245090905</v>
      </c>
      <c r="R31" s="107">
        <f t="shared" si="18"/>
        <v>6.6127283395295207</v>
      </c>
      <c r="S31" s="107">
        <f>O31*(Calculation!$I9/Calculation!$K8)</f>
        <v>3.179703372400014E-2</v>
      </c>
    </row>
    <row r="32" spans="1:31">
      <c r="A32" s="41">
        <v>6</v>
      </c>
      <c r="B32" s="33">
        <v>80</v>
      </c>
      <c r="C32" s="33">
        <f t="shared" si="19"/>
        <v>520</v>
      </c>
      <c r="D32" s="13">
        <f t="shared" si="13"/>
        <v>8.6666666666666661</v>
      </c>
      <c r="E32" s="99">
        <v>27.79530143737793</v>
      </c>
      <c r="F32" s="99">
        <v>27.629077911376953</v>
      </c>
      <c r="G32" s="100">
        <v>27.875801086425781</v>
      </c>
      <c r="H32" s="106">
        <f t="shared" si="15"/>
        <v>27.349126974741615</v>
      </c>
      <c r="I32" s="106">
        <f t="shared" si="14"/>
        <v>27.182903448740639</v>
      </c>
      <c r="J32" s="106">
        <f t="shared" si="14"/>
        <v>27.429626623789467</v>
      </c>
      <c r="K32" s="100">
        <f>((H32-'Calibration F. prausnitzii'!$D$45)/('Calibration F. prausnitzii'!$D$44))+$B$70</f>
        <v>6.3234932837960889</v>
      </c>
      <c r="L32" s="100">
        <f>((I32-'Calibration F. prausnitzii'!$D$45)/('Calibration F. prausnitzii'!$D$44))+$B$70</f>
        <v>6.3746657512408991</v>
      </c>
      <c r="M32" s="100">
        <f>((J32-'Calibration F. prausnitzii'!$D$45)/('Calibration F. prausnitzii'!$D$44))+$B$70</f>
        <v>6.2987111980749884</v>
      </c>
      <c r="N32" s="107">
        <f t="shared" si="16"/>
        <v>6.3322900777039921</v>
      </c>
      <c r="O32" s="107">
        <f t="shared" si="17"/>
        <v>3.873385113762743E-2</v>
      </c>
      <c r="P32" s="108">
        <f>(AVERAGE(POWER(10,K32),POWER(10,L32),POWER(10,M32)))*(Calculation!$I10/Calculation!$K9)</f>
        <v>2156587.8928243225</v>
      </c>
      <c r="Q32" s="108">
        <f>(STDEV(POWER(10,K32),POWER(10,L32),POWER(10,M32))*(Calculation!$I10/Calculation!$K9))</f>
        <v>194892.25071002112</v>
      </c>
      <c r="R32" s="107">
        <f t="shared" si="18"/>
        <v>6.3337671627327214</v>
      </c>
      <c r="S32" s="107">
        <f>O32*(Calculation!$I10/Calculation!$K9)</f>
        <v>3.876198029604256E-2</v>
      </c>
    </row>
    <row r="33" spans="1:19">
      <c r="A33" s="41">
        <v>7</v>
      </c>
      <c r="B33" s="33">
        <v>80</v>
      </c>
      <c r="C33" s="33">
        <f t="shared" si="19"/>
        <v>600</v>
      </c>
      <c r="D33" s="13">
        <f t="shared" si="13"/>
        <v>10</v>
      </c>
      <c r="E33" s="99">
        <v>28.027549743652344</v>
      </c>
      <c r="F33" s="99">
        <v>27.971092224121094</v>
      </c>
      <c r="G33" s="100" t="s">
        <v>245</v>
      </c>
      <c r="H33" s="106">
        <f t="shared" si="15"/>
        <v>27.58137528101603</v>
      </c>
      <c r="I33" s="106">
        <f t="shared" si="14"/>
        <v>27.52491776148478</v>
      </c>
      <c r="J33" s="106" t="e">
        <f t="shared" si="14"/>
        <v>#VALUE!</v>
      </c>
      <c r="K33" s="100">
        <f>((H33-'Calibration F. prausnitzii'!$D$45)/('Calibration F. prausnitzii'!$D$44))+$B$70</f>
        <v>6.2519948673091843</v>
      </c>
      <c r="L33" s="100">
        <f>((I33-'Calibration F. prausnitzii'!$D$45)/('Calibration F. prausnitzii'!$D$44))+$B$70</f>
        <v>6.2693755031898757</v>
      </c>
      <c r="M33" s="100" t="e">
        <f>((J33-'Calibration F. prausnitzii'!$D$45)/('Calibration F. prausnitzii'!$D$44))+$B$70</f>
        <v>#VALUE!</v>
      </c>
      <c r="N33" s="107">
        <f>AVERAGE(K33:L33)</f>
        <v>6.26068518524953</v>
      </c>
      <c r="O33" s="107">
        <f>STDEV(K33:L33)</f>
        <v>1.22899654925711E-2</v>
      </c>
      <c r="P33" s="108">
        <f>(AVERAGE(POWER(10,K33),POWER(10,L33))*(Calculation!$I11/Calculation!$K10))</f>
        <v>1824262.8086971713</v>
      </c>
      <c r="Q33" s="108">
        <f>(STDEV(POWER(10,K33),POWER(10,L33))*(Calculation!$I11/Calculation!$K10))</f>
        <v>51617.360989896428</v>
      </c>
      <c r="R33" s="107">
        <f t="shared" si="18"/>
        <v>6.2610874042474256</v>
      </c>
      <c r="S33" s="107">
        <f>O33*(Calculation!$I11/Calculation!$K10)</f>
        <v>1.2298890667220754E-2</v>
      </c>
    </row>
    <row r="34" spans="1:19">
      <c r="A34" s="41">
        <v>8</v>
      </c>
      <c r="B34" s="33">
        <v>80</v>
      </c>
      <c r="C34" s="33">
        <f t="shared" si="19"/>
        <v>680</v>
      </c>
      <c r="D34" s="13">
        <f t="shared" si="13"/>
        <v>11.333333333333334</v>
      </c>
      <c r="E34" s="99">
        <v>26.868696212768555</v>
      </c>
      <c r="F34" s="99">
        <v>26.907432556152344</v>
      </c>
      <c r="G34" s="100">
        <v>26.886682510375977</v>
      </c>
      <c r="H34" s="106">
        <f t="shared" si="15"/>
        <v>26.42252175013224</v>
      </c>
      <c r="I34" s="106">
        <f t="shared" si="14"/>
        <v>26.46125809351603</v>
      </c>
      <c r="J34" s="106">
        <f t="shared" si="14"/>
        <v>26.440508047739662</v>
      </c>
      <c r="K34" s="100">
        <f>((H34-'Calibration F. prausnitzii'!$D$45)/('Calibration F. prausnitzii'!$D$44))+$B$70</f>
        <v>6.6087517958206483</v>
      </c>
      <c r="L34" s="100">
        <f>((I34-'Calibration F. prausnitzii'!$D$45)/('Calibration F. prausnitzii'!$D$44))+$B$70</f>
        <v>6.5968266831821021</v>
      </c>
      <c r="M34" s="100">
        <f>((J34-'Calibration F. prausnitzii'!$D$45)/('Calibration F. prausnitzii'!$D$44))+$B$70</f>
        <v>6.603214654051901</v>
      </c>
      <c r="N34" s="107">
        <f t="shared" si="16"/>
        <v>6.6029310443515499</v>
      </c>
      <c r="O34" s="107">
        <f t="shared" si="17"/>
        <v>5.9676128985636677E-3</v>
      </c>
      <c r="P34" s="108">
        <f>(AVERAGE(POWER(10,K34),POWER(10,L34),POWER(10,M34)))*(Calculation!$I12/Calculation!$K11)</f>
        <v>4014749.8277263432</v>
      </c>
      <c r="Q34" s="108">
        <f>(STDEV(POWER(10,K34),POWER(10,L34),POWER(10,M34))*(Calculation!$I12/Calculation!$K11))</f>
        <v>55138.158018389055</v>
      </c>
      <c r="R34" s="107">
        <f t="shared" si="18"/>
        <v>6.6036584881394758</v>
      </c>
      <c r="S34" s="107">
        <f>O34*(Calculation!$I12/Calculation!$K11)</f>
        <v>5.977240955962965E-3</v>
      </c>
    </row>
    <row r="35" spans="1:19">
      <c r="A35" s="41">
        <v>9</v>
      </c>
      <c r="B35" s="33">
        <v>80</v>
      </c>
      <c r="C35" s="33">
        <f t="shared" si="19"/>
        <v>760</v>
      </c>
      <c r="D35" s="13">
        <f t="shared" si="13"/>
        <v>12.666666666666666</v>
      </c>
      <c r="E35" s="99">
        <v>23.700443267822266</v>
      </c>
      <c r="F35" s="99">
        <v>23.717174530029297</v>
      </c>
      <c r="G35" s="100">
        <v>23.727602005004883</v>
      </c>
      <c r="H35" s="106">
        <f t="shared" si="15"/>
        <v>23.254268805185951</v>
      </c>
      <c r="I35" s="106">
        <f t="shared" si="14"/>
        <v>23.271000067392983</v>
      </c>
      <c r="J35" s="106">
        <f t="shared" si="14"/>
        <v>23.281427542368569</v>
      </c>
      <c r="K35" s="100">
        <f>((H35-'Calibration F. prausnitzii'!$D$45)/('Calibration F. prausnitzii'!$D$44))+$B$70</f>
        <v>7.5841090426717059</v>
      </c>
      <c r="L35" s="100">
        <f>((I35-'Calibration F. prausnitzii'!$D$45)/('Calibration F. prausnitzii'!$D$44))+$B$70</f>
        <v>7.5789582677411165</v>
      </c>
      <c r="M35" s="100">
        <f>((J35-'Calibration F. prausnitzii'!$D$45)/('Calibration F. prausnitzii'!$D$44))+$B$70</f>
        <v>7.5757481347559903</v>
      </c>
      <c r="N35" s="107">
        <f t="shared" si="16"/>
        <v>7.5796051483896036</v>
      </c>
      <c r="O35" s="107">
        <f t="shared" si="17"/>
        <v>4.2178236359300377E-3</v>
      </c>
      <c r="P35" s="108">
        <f>(AVERAGE(POWER(10,K35),POWER(10,L35),POWER(10,M35)))*(Calculation!$I13/Calculation!$K12)</f>
        <v>38082000.792787299</v>
      </c>
      <c r="Q35" s="108">
        <f>(STDEV(POWER(10,K35),POWER(10,L35),POWER(10,M35))*(Calculation!$I13/Calculation!$K12))</f>
        <v>370247.35102594952</v>
      </c>
      <c r="R35" s="107">
        <f t="shared" si="18"/>
        <v>7.5807197577386995</v>
      </c>
      <c r="S35" s="107">
        <f>O35*(Calculation!$I13/Calculation!$K12)</f>
        <v>4.2285294669445698E-3</v>
      </c>
    </row>
    <row r="36" spans="1:19">
      <c r="A36" s="41">
        <v>10</v>
      </c>
      <c r="B36" s="33">
        <v>80</v>
      </c>
      <c r="C36" s="33">
        <f t="shared" si="19"/>
        <v>840</v>
      </c>
      <c r="D36" s="13">
        <f t="shared" si="13"/>
        <v>14</v>
      </c>
      <c r="E36" s="99">
        <v>24.187978744506836</v>
      </c>
      <c r="F36" s="99">
        <v>24.482669830322266</v>
      </c>
      <c r="G36" s="100">
        <v>24.507669448852539</v>
      </c>
      <c r="H36" s="106">
        <f t="shared" si="15"/>
        <v>23.741804281870522</v>
      </c>
      <c r="I36" s="106">
        <f t="shared" si="14"/>
        <v>24.036495367685951</v>
      </c>
      <c r="J36" s="106">
        <f t="shared" si="14"/>
        <v>24.061494986216225</v>
      </c>
      <c r="K36" s="100">
        <f>((H36-'Calibration F. prausnitzii'!$D$45)/('Calibration F. prausnitzii'!$D$44))+$B$70</f>
        <v>7.4340196184545544</v>
      </c>
      <c r="L36" s="100">
        <f>((I36-'Calibration F. prausnitzii'!$D$45)/('Calibration F. prausnitzii'!$D$44))+$B$70</f>
        <v>7.3432979838101469</v>
      </c>
      <c r="M36" s="100">
        <f>((J36-'Calibration F. prausnitzii'!$D$45)/('Calibration F. prausnitzii'!$D$44))+$B$70</f>
        <v>7.3356017677801395</v>
      </c>
      <c r="N36" s="107">
        <f t="shared" si="16"/>
        <v>7.3709731233482811</v>
      </c>
      <c r="O36" s="107">
        <f t="shared" si="17"/>
        <v>5.4735302540355267E-2</v>
      </c>
      <c r="P36" s="108">
        <f>(AVERAGE(POWER(10,K36),POWER(10,L36),POWER(10,M36)))*(Calculation!$I14/Calculation!$K13)</f>
        <v>23728026.522343755</v>
      </c>
      <c r="Q36" s="108">
        <f>(STDEV(POWER(10,K36),POWER(10,L36),POWER(10,M36))*(Calculation!$I14/Calculation!$K13))</f>
        <v>3088375.4538040361</v>
      </c>
      <c r="R36" s="107">
        <f t="shared" si="18"/>
        <v>7.3752616191234965</v>
      </c>
      <c r="S36" s="107">
        <f>O36*(Calculation!$I14/Calculation!$K13)</f>
        <v>5.4980066304525545E-2</v>
      </c>
    </row>
    <row r="37" spans="1:19">
      <c r="A37" s="41">
        <v>11</v>
      </c>
      <c r="B37" s="33">
        <v>80</v>
      </c>
      <c r="C37" s="33">
        <f t="shared" si="19"/>
        <v>920</v>
      </c>
      <c r="D37" s="13">
        <f t="shared" si="13"/>
        <v>15.333333333333334</v>
      </c>
      <c r="E37" s="99">
        <v>24.583728790283203</v>
      </c>
      <c r="F37" s="99">
        <v>25.0006103515625</v>
      </c>
      <c r="G37" s="100">
        <v>24.559307098388672</v>
      </c>
      <c r="H37" s="106">
        <f t="shared" si="15"/>
        <v>24.137554327646889</v>
      </c>
      <c r="I37" s="106">
        <f t="shared" si="14"/>
        <v>24.554435888926186</v>
      </c>
      <c r="J37" s="106">
        <f t="shared" si="14"/>
        <v>24.113132635752358</v>
      </c>
      <c r="K37" s="100">
        <f>((H37-'Calibration F. prausnitzii'!$D$45)/('Calibration F. prausnitzii'!$D$44))+$B$70</f>
        <v>7.3121866455837097</v>
      </c>
      <c r="L37" s="100">
        <f>((I37-'Calibration F. prausnitzii'!$D$45)/('Calibration F. prausnitzii'!$D$44))+$B$70</f>
        <v>7.1838482651141415</v>
      </c>
      <c r="M37" s="100">
        <f>((J37-'Calibration F. prausnitzii'!$D$45)/('Calibration F. prausnitzii'!$D$44))+$B$70</f>
        <v>7.3197049449693976</v>
      </c>
      <c r="N37" s="107">
        <f t="shared" si="16"/>
        <v>7.2719132852224169</v>
      </c>
      <c r="O37" s="107">
        <f t="shared" si="17"/>
        <v>7.6359131945146777E-2</v>
      </c>
      <c r="P37" s="108">
        <f>(AVERAGE(POWER(10,K37),POWER(10,L37),POWER(10,M37)))*(Calculation!$I15/Calculation!$K14)</f>
        <v>19031582.633772895</v>
      </c>
      <c r="Q37" s="108">
        <f>(STDEV(POWER(10,K37),POWER(10,L37),POWER(10,M37))*(Calculation!$I15/Calculation!$K14))</f>
        <v>3163271.3889447176</v>
      </c>
      <c r="R37" s="107">
        <f t="shared" si="18"/>
        <v>7.2794749049730472</v>
      </c>
      <c r="S37" s="107">
        <f>O37*(Calculation!$I15/Calculation!$K14)</f>
        <v>7.6932083254599187E-2</v>
      </c>
    </row>
    <row r="38" spans="1:19">
      <c r="A38" s="41">
        <v>12</v>
      </c>
      <c r="B38" s="33">
        <v>80</v>
      </c>
      <c r="C38" s="33">
        <f t="shared" si="19"/>
        <v>1000</v>
      </c>
      <c r="D38" s="13">
        <f t="shared" si="13"/>
        <v>16.666666666666668</v>
      </c>
      <c r="E38" s="99">
        <v>23.601158142089844</v>
      </c>
      <c r="F38" s="99">
        <v>23.645084381103516</v>
      </c>
      <c r="G38" s="100">
        <v>23.625576019287109</v>
      </c>
      <c r="H38" s="106">
        <f t="shared" si="15"/>
        <v>23.15498367945353</v>
      </c>
      <c r="I38" s="106">
        <f t="shared" si="14"/>
        <v>23.198909918467201</v>
      </c>
      <c r="J38" s="106">
        <f t="shared" si="14"/>
        <v>23.179401556650795</v>
      </c>
      <c r="K38" s="100">
        <f>((H38-'Calibration F. prausnitzii'!$D$45)/('Calibration F. prausnitzii'!$D$44))+$B$70</f>
        <v>7.6146743001086481</v>
      </c>
      <c r="L38" s="100">
        <f>((I38-'Calibration F. prausnitzii'!$D$45)/('Calibration F. prausnitzii'!$D$44))+$B$70</f>
        <v>7.6011514607730968</v>
      </c>
      <c r="M38" s="100">
        <f>((J38-'Calibration F. prausnitzii'!$D$45)/('Calibration F. prausnitzii'!$D$44))+$B$70</f>
        <v>7.6071571750902489</v>
      </c>
      <c r="N38" s="107">
        <f t="shared" si="16"/>
        <v>7.6076609786573313</v>
      </c>
      <c r="O38" s="107">
        <f t="shared" si="17"/>
        <v>6.7754822300288833E-3</v>
      </c>
      <c r="P38" s="108">
        <f>(AVERAGE(POWER(10,K38),POWER(10,L38),POWER(10,M38)))*(Calculation!$I16/Calculation!$K15)</f>
        <v>42997728.209061734</v>
      </c>
      <c r="Q38" s="108">
        <f>(STDEV(POWER(10,K38),POWER(10,L38),POWER(10,M38))*(Calculation!$I16/Calculation!$K15))</f>
        <v>671372.58784779534</v>
      </c>
      <c r="R38" s="107">
        <f t="shared" si="18"/>
        <v>7.6334455101765091</v>
      </c>
      <c r="S38" s="107">
        <f>O38*(Calculation!$I16/Calculation!$K15)</f>
        <v>7.1893476911439498E-3</v>
      </c>
    </row>
    <row r="39" spans="1:19">
      <c r="A39" s="41">
        <v>13</v>
      </c>
      <c r="B39" s="33">
        <v>80</v>
      </c>
      <c r="C39" s="33">
        <f t="shared" si="19"/>
        <v>1080</v>
      </c>
      <c r="D39" s="13">
        <f t="shared" si="13"/>
        <v>18</v>
      </c>
      <c r="E39" s="99">
        <v>21.994541168212891</v>
      </c>
      <c r="F39" s="99">
        <v>21.916448593139648</v>
      </c>
      <c r="G39" s="100">
        <v>21.928743362426758</v>
      </c>
      <c r="H39" s="106">
        <f t="shared" si="15"/>
        <v>21.548366705576576</v>
      </c>
      <c r="I39" s="106">
        <f t="shared" si="14"/>
        <v>21.470274130503334</v>
      </c>
      <c r="J39" s="106">
        <f t="shared" si="14"/>
        <v>21.482568899790444</v>
      </c>
      <c r="K39" s="100">
        <f>((H39-'Calibration F. prausnitzii'!$D$45)/('Calibration F. prausnitzii'!$D$44))+$B$70</f>
        <v>8.1092766994796897</v>
      </c>
      <c r="L39" s="100">
        <f>((I39-'Calibration F. prausnitzii'!$D$45)/('Calibration F. prausnitzii'!$D$44))+$B$70</f>
        <v>8.1333177594412831</v>
      </c>
      <c r="M39" s="100">
        <f>((J39-'Calibration F. prausnitzii'!$D$45)/('Calibration F. prausnitzii'!$D$44))+$B$70</f>
        <v>8.1295327736680747</v>
      </c>
      <c r="N39" s="107">
        <f t="shared" si="16"/>
        <v>8.1240424108630158</v>
      </c>
      <c r="O39" s="107">
        <f t="shared" si="17"/>
        <v>1.2926763083526107E-2</v>
      </c>
      <c r="P39" s="108">
        <f>(AVERAGE(POWER(10,K39),POWER(10,L39),POWER(10,M39)))*(Calculation!$I17/Calculation!$K16)</f>
        <v>141518390.03096706</v>
      </c>
      <c r="Q39" s="108">
        <f>(STDEV(POWER(10,K39),POWER(10,L39),POWER(10,M39))*(Calculation!$I17/Calculation!$K16))</f>
        <v>4178975.4298102525</v>
      </c>
      <c r="R39" s="107">
        <f t="shared" si="18"/>
        <v>8.1508128792244179</v>
      </c>
      <c r="S39" s="107">
        <f>O39*(Calculation!$I17/Calculation!$K16)</f>
        <v>1.3744618075941226E-2</v>
      </c>
    </row>
    <row r="40" spans="1:19">
      <c r="A40" s="41">
        <v>14</v>
      </c>
      <c r="B40" s="33">
        <v>80</v>
      </c>
      <c r="C40" s="33">
        <f t="shared" si="19"/>
        <v>1160</v>
      </c>
      <c r="D40" s="13">
        <f t="shared" si="13"/>
        <v>19.333333333333332</v>
      </c>
      <c r="E40" s="99">
        <v>22.957441329956055</v>
      </c>
      <c r="F40" s="99">
        <v>23.092720031738281</v>
      </c>
      <c r="G40" s="100">
        <v>23.476922988891602</v>
      </c>
      <c r="H40" s="106">
        <f t="shared" si="15"/>
        <v>22.51126686731974</v>
      </c>
      <c r="I40" s="106">
        <f t="shared" si="14"/>
        <v>22.646545569101967</v>
      </c>
      <c r="J40" s="106">
        <f t="shared" si="14"/>
        <v>23.030748526255287</v>
      </c>
      <c r="K40" s="100">
        <f>((H40-'Calibration F. prausnitzii'!$D$45)/('Calibration F. prausnitzii'!$D$44))+$B$70</f>
        <v>7.8128446698816951</v>
      </c>
      <c r="L40" s="100">
        <f>((I40-'Calibration F. prausnitzii'!$D$45)/('Calibration F. prausnitzii'!$D$44))+$B$70</f>
        <v>7.7711986698871662</v>
      </c>
      <c r="M40" s="100">
        <f>((J40-'Calibration F. prausnitzii'!$D$45)/('Calibration F. prausnitzii'!$D$44))+$B$70</f>
        <v>7.6529205068008386</v>
      </c>
      <c r="N40" s="107">
        <f t="shared" si="16"/>
        <v>7.7456546155232333</v>
      </c>
      <c r="O40" s="107">
        <f t="shared" si="17"/>
        <v>8.2965706887175805E-2</v>
      </c>
      <c r="P40" s="108">
        <f>(AVERAGE(POWER(10,K40),POWER(10,L40),POWER(10,M40)))*(Calculation!$I18/Calculation!$K17)</f>
        <v>59963780.653845489</v>
      </c>
      <c r="Q40" s="108">
        <f>(STDEV(POWER(10,K40),POWER(10,L40),POWER(10,M40))*(Calculation!$I18/Calculation!$K17))</f>
        <v>10943934.17462506</v>
      </c>
      <c r="R40" s="107">
        <f t="shared" si="18"/>
        <v>7.7778890068537168</v>
      </c>
      <c r="S40" s="107">
        <f>O40*(Calculation!$I18/Calculation!$K17)</f>
        <v>8.8309056997398938E-2</v>
      </c>
    </row>
    <row r="41" spans="1:19">
      <c r="A41" s="41">
        <v>15</v>
      </c>
      <c r="B41" s="33">
        <v>280</v>
      </c>
      <c r="C41" s="33">
        <f>C40+B41</f>
        <v>1440</v>
      </c>
      <c r="D41" s="13">
        <f t="shared" si="13"/>
        <v>24</v>
      </c>
      <c r="E41" s="99">
        <v>22.860044479370117</v>
      </c>
      <c r="F41" s="99">
        <v>22.980648040771484</v>
      </c>
      <c r="G41" s="100">
        <v>22.89300537109375</v>
      </c>
      <c r="H41" s="106">
        <f t="shared" si="15"/>
        <v>22.413870016733803</v>
      </c>
      <c r="I41" s="106">
        <f t="shared" si="14"/>
        <v>22.53447357813517</v>
      </c>
      <c r="J41" s="106">
        <f t="shared" si="14"/>
        <v>22.446830908457436</v>
      </c>
      <c r="K41" s="100">
        <f>((H41-'Calibration F. prausnitzii'!$D$45)/('Calibration F. prausnitzii'!$D$44))+$B$70</f>
        <v>7.8428286155104665</v>
      </c>
      <c r="L41" s="100">
        <f>((I41-'Calibration F. prausnitzii'!$D$45)/('Calibration F. prausnitzii'!$D$44))+$B$70</f>
        <v>7.8057004064776283</v>
      </c>
      <c r="M41" s="100">
        <f>((J41-'Calibration F. prausnitzii'!$D$45)/('Calibration F. prausnitzii'!$D$44))+$B$70</f>
        <v>7.8326814949478241</v>
      </c>
      <c r="N41" s="107">
        <f t="shared" si="16"/>
        <v>7.8270701723119727</v>
      </c>
      <c r="O41" s="107">
        <f t="shared" si="17"/>
        <v>1.9189611324600696E-2</v>
      </c>
      <c r="P41" s="108">
        <f>(AVERAGE(POWER(10,K41),POWER(10,L41),POWER(10,M41)))*(Calculation!$I19/Calculation!$K18)</f>
        <v>71766071.681025907</v>
      </c>
      <c r="Q41" s="108">
        <f>(STDEV(POWER(10,K41),POWER(10,L41),POWER(10,M41))*(Calculation!$I19/Calculation!$K18))</f>
        <v>3142059.795911687</v>
      </c>
      <c r="R41" s="107">
        <f t="shared" si="18"/>
        <v>7.8559191745457424</v>
      </c>
      <c r="S41" s="107">
        <f>O41*(Calculation!$I19/Calculation!$K18)</f>
        <v>2.0494355251105437E-2</v>
      </c>
    </row>
    <row r="42" spans="1:19">
      <c r="A42" s="41">
        <v>16</v>
      </c>
      <c r="B42" s="33">
        <v>360</v>
      </c>
      <c r="C42" s="33">
        <f>C41+B42</f>
        <v>1800</v>
      </c>
      <c r="D42" s="13">
        <f t="shared" si="13"/>
        <v>30</v>
      </c>
      <c r="E42" s="99">
        <v>21.811277389526367</v>
      </c>
      <c r="F42" s="99">
        <v>21.852968215942383</v>
      </c>
      <c r="G42" s="100">
        <v>21.820257186889648</v>
      </c>
      <c r="H42" s="106">
        <f t="shared" si="15"/>
        <v>21.365102926890053</v>
      </c>
      <c r="I42" s="106">
        <f t="shared" ref="I42:I43" si="20">F42-$H$81+$H$86</f>
        <v>21.406793753306069</v>
      </c>
      <c r="J42" s="106">
        <f t="shared" ref="J42:J43" si="21">G42-$H$81+$H$86</f>
        <v>21.374082724253334</v>
      </c>
      <c r="K42" s="100">
        <f>((H42-'Calibration F. prausnitzii'!$D$45)/('Calibration F. prausnitzii'!$D$44))+$B$70</f>
        <v>8.1656950656055169</v>
      </c>
      <c r="L42" s="100">
        <f>((I42-'Calibration F. prausnitzii'!$D$45)/('Calibration F. prausnitzii'!$D$44))+$B$70</f>
        <v>8.1528604055014569</v>
      </c>
      <c r="M42" s="100">
        <f>((J42-'Calibration F. prausnitzii'!$D$45)/('Calibration F. prausnitzii'!$D$44))+$B$70</f>
        <v>8.1629306050066557</v>
      </c>
      <c r="N42" s="107">
        <f>AVERAGE(K42:M42)</f>
        <v>8.1604953587045443</v>
      </c>
      <c r="O42" s="107">
        <f>STDEV(K42:M42)</f>
        <v>6.7549939608153977E-3</v>
      </c>
      <c r="P42" s="108">
        <f>(AVERAGE(POWER(10,K42),POWER(10,L42),POWER(10,M42)))*(Calculation!$I20/Calculation!$K19)</f>
        <v>154741223.50848192</v>
      </c>
      <c r="Q42" s="108">
        <f>(STDEV(POWER(10,K42),POWER(10,L42),POWER(10,M42))*(Calculation!$I20/Calculation!$K19))</f>
        <v>2397942.5607648096</v>
      </c>
      <c r="R42" s="107">
        <f>LOG(P42)</f>
        <v>8.1896060264163832</v>
      </c>
      <c r="S42" s="107">
        <f>O42*(Calculation!$I20/Calculation!$K19)</f>
        <v>7.2227186290670809E-3</v>
      </c>
    </row>
    <row r="43" spans="1:19">
      <c r="A43" s="41">
        <v>17</v>
      </c>
      <c r="B43" s="33">
        <v>1080</v>
      </c>
      <c r="C43" s="33">
        <f>C42+B43</f>
        <v>2880</v>
      </c>
      <c r="D43" s="13">
        <f t="shared" si="13"/>
        <v>48</v>
      </c>
      <c r="E43" s="99">
        <v>26.227592468261719</v>
      </c>
      <c r="F43" s="99">
        <v>26.222938537597656</v>
      </c>
      <c r="G43" s="100">
        <v>26.216953277587891</v>
      </c>
      <c r="H43" s="106">
        <f t="shared" si="15"/>
        <v>25.781418005625405</v>
      </c>
      <c r="I43" s="106">
        <f t="shared" si="20"/>
        <v>25.776764074961342</v>
      </c>
      <c r="J43" s="106">
        <f t="shared" si="21"/>
        <v>25.770778814951576</v>
      </c>
      <c r="K43" s="100">
        <f>((H43-'Calibration F. prausnitzii'!$D$45)/('Calibration F. prausnitzii'!$D$44))+$B$70</f>
        <v>6.8061177240005684</v>
      </c>
      <c r="L43" s="100">
        <f>((I43-'Calibration F. prausnitzii'!$D$45)/('Calibration F. prausnitzii'!$D$44))+$B$70</f>
        <v>6.8075504520934365</v>
      </c>
      <c r="M43" s="100">
        <f>((J43-'Calibration F. prausnitzii'!$D$45)/('Calibration F. prausnitzii'!$D$44))+$B$70</f>
        <v>6.8093930343702471</v>
      </c>
      <c r="N43" s="107">
        <f t="shared" ref="N43" si="22">AVERAGE(K43:M43)</f>
        <v>6.8076870701547518</v>
      </c>
      <c r="O43" s="107">
        <f t="shared" ref="O43" si="23">STDEV(K43:M43)</f>
        <v>1.6419235291082362E-3</v>
      </c>
      <c r="P43" s="108">
        <f>(AVERAGE(POWER(10,K43),POWER(10,L43),POWER(10,M43)))*(Calculation!$I21/Calculation!$K20)</f>
        <v>6875401.6665893737</v>
      </c>
      <c r="Q43" s="108">
        <f>(STDEV(POWER(10,K43),POWER(10,L43),POWER(10,M43))*(Calculation!$I21/Calculation!$K20))</f>
        <v>25999.658528667122</v>
      </c>
      <c r="R43" s="107">
        <f t="shared" ref="R43" si="24">LOG(P43)</f>
        <v>6.837298075082332</v>
      </c>
      <c r="S43" s="107">
        <f>O43*(Calculation!$I21/Calculation!$K20)</f>
        <v>1.7577692463466099E-3</v>
      </c>
    </row>
    <row r="44" spans="1:19">
      <c r="A44" s="10"/>
      <c r="B44" s="10"/>
      <c r="C44" s="10"/>
      <c r="D44" s="152"/>
      <c r="E44" s="153"/>
      <c r="F44" s="153"/>
      <c r="G44" s="154"/>
      <c r="H44" s="155"/>
      <c r="I44" s="155"/>
      <c r="J44" s="155"/>
      <c r="K44" s="154"/>
      <c r="L44" s="154"/>
      <c r="M44" s="154"/>
      <c r="N44" s="156"/>
      <c r="O44" s="156"/>
      <c r="P44" s="157"/>
      <c r="Q44" s="157"/>
      <c r="R44" s="156"/>
      <c r="S44" s="156"/>
    </row>
    <row r="45" spans="1:19">
      <c r="A45" s="105" t="s">
        <v>222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</row>
    <row r="46" spans="1:19">
      <c r="A46" s="117" t="s">
        <v>4</v>
      </c>
      <c r="B46" s="117" t="s">
        <v>118</v>
      </c>
      <c r="C46" s="117" t="s">
        <v>118</v>
      </c>
      <c r="D46" s="117" t="s">
        <v>5</v>
      </c>
      <c r="E46" s="131" t="s">
        <v>223</v>
      </c>
      <c r="F46" s="131" t="s">
        <v>224</v>
      </c>
      <c r="G46" s="131" t="s">
        <v>225</v>
      </c>
      <c r="H46" s="133" t="s">
        <v>226</v>
      </c>
      <c r="I46" s="133" t="s">
        <v>227</v>
      </c>
      <c r="J46" s="133" t="s">
        <v>228</v>
      </c>
      <c r="K46" s="131" t="s">
        <v>229</v>
      </c>
      <c r="L46" s="131" t="s">
        <v>230</v>
      </c>
      <c r="M46" s="131" t="s">
        <v>231</v>
      </c>
      <c r="N46" s="131" t="s">
        <v>232</v>
      </c>
      <c r="O46" s="131" t="s">
        <v>233</v>
      </c>
      <c r="P46" s="133" t="s">
        <v>234</v>
      </c>
      <c r="Q46" s="133" t="s">
        <v>235</v>
      </c>
      <c r="R46" s="133" t="s">
        <v>236</v>
      </c>
      <c r="S46" s="133" t="s">
        <v>237</v>
      </c>
    </row>
    <row r="47" spans="1:19">
      <c r="A47" s="118"/>
      <c r="B47" s="118"/>
      <c r="C47" s="118"/>
      <c r="D47" s="118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</row>
    <row r="48" spans="1:19">
      <c r="A48" s="41">
        <v>0</v>
      </c>
      <c r="B48" s="33">
        <v>10</v>
      </c>
      <c r="C48" s="33">
        <f>B48</f>
        <v>10</v>
      </c>
      <c r="D48" s="13">
        <f t="shared" ref="D48:D65" si="25">C48/60</f>
        <v>0.16666666666666666</v>
      </c>
      <c r="E48" s="99">
        <v>29.150325775146484</v>
      </c>
      <c r="F48" s="99">
        <v>29.432065963745117</v>
      </c>
      <c r="G48" s="100">
        <v>29.304599761962891</v>
      </c>
      <c r="H48" s="106">
        <f>E48-$H$81+$H$86</f>
        <v>28.70415131251017</v>
      </c>
      <c r="I48" s="106">
        <f t="shared" ref="I48:J48" si="26">F48-$H$81+$H$86</f>
        <v>28.985891501108803</v>
      </c>
      <c r="J48" s="106">
        <f t="shared" si="26"/>
        <v>28.858425299326576</v>
      </c>
      <c r="K48" s="100">
        <f>((H48-'Calibration F. prausnitzii'!$D$45)/('Calibration F. prausnitzii'!$D$44))+$B$70</f>
        <v>5.9063445174356684</v>
      </c>
      <c r="L48" s="100">
        <f>((I48-'Calibration F. prausnitzii'!$D$45)/('Calibration F. prausnitzii'!$D$44))+$B$70</f>
        <v>5.8196098597382164</v>
      </c>
      <c r="M48" s="100">
        <f>((J48-'Calibration F. prausnitzii'!$D$45)/('Calibration F. prausnitzii'!$D$44))+$B$70</f>
        <v>5.8588507555243901</v>
      </c>
      <c r="N48" s="107">
        <f>AVERAGE(K48:M48)</f>
        <v>5.8616017108994249</v>
      </c>
      <c r="O48" s="107">
        <f>STDEV(K48:M48)</f>
        <v>4.3432718405369407E-2</v>
      </c>
      <c r="P48" s="108">
        <f>(AVERAGE(POWER(10,K48),POWER(10,L48),POWER(10,M48)))*(Calculation!$I4/Calculation!$K3)</f>
        <v>729546.41555740952</v>
      </c>
      <c r="Q48" s="108">
        <f>(STDEV(POWER(10,K48),POWER(10,L48),POWER(10,M48))*(Calculation!$I4/Calculation!$K3))</f>
        <v>73211.910247444786</v>
      </c>
      <c r="R48" s="107">
        <f>LOG(P48)</f>
        <v>5.863052928003551</v>
      </c>
      <c r="S48" s="107">
        <f>O48*(Calculation!$I4/Calculation!$K3)</f>
        <v>4.3432718405369407E-2</v>
      </c>
    </row>
    <row r="49" spans="1:19">
      <c r="A49" s="41">
        <v>1</v>
      </c>
      <c r="B49" s="33">
        <v>110</v>
      </c>
      <c r="C49" s="33">
        <f>C48+B49</f>
        <v>120</v>
      </c>
      <c r="D49" s="13">
        <f t="shared" si="25"/>
        <v>2</v>
      </c>
      <c r="E49" s="99">
        <v>25.533107757568359</v>
      </c>
      <c r="F49" s="99">
        <v>25.475706100463867</v>
      </c>
      <c r="G49" s="100">
        <v>25.629150390625</v>
      </c>
      <c r="H49" s="106">
        <f>E49-$H$81+$H$86</f>
        <v>25.086933294932045</v>
      </c>
      <c r="I49" s="106">
        <f t="shared" ref="I49" si="27">F49-$H$81+$H$86</f>
        <v>25.029531637827553</v>
      </c>
      <c r="J49" s="106">
        <f t="shared" ref="J49" si="28">G49-$H$81+$H$86</f>
        <v>25.182975927988686</v>
      </c>
      <c r="K49" s="100">
        <f>((H49-'Calibration F. prausnitzii'!$D$45)/('Calibration F. prausnitzii'!$D$44))+$B$70</f>
        <v>7.0199171608424118</v>
      </c>
      <c r="L49" s="100">
        <f>((I49-'Calibration F. prausnitzii'!$D$45)/('Calibration F. prausnitzii'!$D$44))+$B$70</f>
        <v>7.0375884526271886</v>
      </c>
      <c r="M49" s="100">
        <f>((J49-'Calibration F. prausnitzii'!$D$45)/('Calibration F. prausnitzii'!$D$44))+$B$70</f>
        <v>6.9903501156013199</v>
      </c>
      <c r="N49" s="107">
        <f t="shared" ref="N49:N65" si="29">AVERAGE(K49:M49)</f>
        <v>7.0159519096903074</v>
      </c>
      <c r="O49" s="107">
        <f t="shared" ref="O49:O65" si="30">STDEV(K49:M49)</f>
        <v>2.3867499529000545E-2</v>
      </c>
      <c r="P49" s="108">
        <f>(AVERAGE(POWER(10,K49),POWER(10,L49),POWER(10,M49)))*(Calculation!$I5/Calculation!$K4)</f>
        <v>10384535.816039579</v>
      </c>
      <c r="Q49" s="108">
        <f>(STDEV(POWER(10,K49),POWER(10,L49),POWER(10,M49))*(Calculation!$I5/Calculation!$K4))</f>
        <v>566679.41488648951</v>
      </c>
      <c r="R49" s="107">
        <f t="shared" ref="R49:R65" si="31">LOG(P49)</f>
        <v>7.0163870885419817</v>
      </c>
      <c r="S49" s="107">
        <f>O49*(Calculation!$I5/Calculation!$K4)</f>
        <v>2.3867499529000545E-2</v>
      </c>
    </row>
    <row r="50" spans="1:19">
      <c r="A50" s="41">
        <v>2</v>
      </c>
      <c r="B50" s="33">
        <v>80</v>
      </c>
      <c r="C50" s="33">
        <f>C49+B50</f>
        <v>200</v>
      </c>
      <c r="D50" s="13">
        <f t="shared" si="25"/>
        <v>3.3333333333333335</v>
      </c>
      <c r="E50" s="99">
        <v>24.155055999755859</v>
      </c>
      <c r="F50" s="99">
        <v>24.274433135986328</v>
      </c>
      <c r="G50" s="100">
        <v>24.177410125732422</v>
      </c>
      <c r="H50" s="106">
        <f>E50-$H$82+$H$86</f>
        <v>24.60123046239217</v>
      </c>
      <c r="I50" s="106">
        <f t="shared" ref="I50:J65" si="32">F50-$H$82+$H$86</f>
        <v>24.720607598622639</v>
      </c>
      <c r="J50" s="106">
        <f t="shared" si="32"/>
        <v>24.623584588368733</v>
      </c>
      <c r="K50" s="100">
        <f>((H50-'Calibration F. prausnitzii'!$D$45)/('Calibration F. prausnitzii'!$D$44))+$B$70</f>
        <v>7.1694423994410252</v>
      </c>
      <c r="L50" s="100">
        <f>((I50-'Calibration F. prausnitzii'!$D$45)/('Calibration F. prausnitzii'!$D$44))+$B$70</f>
        <v>7.1326917494916771</v>
      </c>
      <c r="M50" s="100">
        <f>((J50-'Calibration F. prausnitzii'!$D$45)/('Calibration F. prausnitzii'!$D$44))+$B$70</f>
        <v>7.1625606071261032</v>
      </c>
      <c r="N50" s="107">
        <f t="shared" si="29"/>
        <v>7.1548982520196018</v>
      </c>
      <c r="O50" s="107">
        <f t="shared" si="30"/>
        <v>1.9536794318886531E-2</v>
      </c>
      <c r="P50" s="108">
        <f>(AVERAGE(POWER(10,K50),POWER(10,L50),POWER(10,M50)))*(Calculation!$I6/Calculation!$K5)</f>
        <v>14295158.400402686</v>
      </c>
      <c r="Q50" s="108">
        <f>(STDEV(POWER(10,K50),POWER(10,L50),POWER(10,M50))*(Calculation!$I6/Calculation!$K5))</f>
        <v>635672.43556098116</v>
      </c>
      <c r="R50" s="107">
        <f t="shared" si="31"/>
        <v>7.1551889720087809</v>
      </c>
      <c r="S50" s="107">
        <f>O50*(Calculation!$I6/Calculation!$K5)</f>
        <v>1.9536794318886531E-2</v>
      </c>
    </row>
    <row r="51" spans="1:19">
      <c r="A51" s="41">
        <v>3</v>
      </c>
      <c r="B51" s="33">
        <v>80</v>
      </c>
      <c r="C51" s="33">
        <f>C50+B51</f>
        <v>280</v>
      </c>
      <c r="D51" s="13">
        <f t="shared" si="25"/>
        <v>4.666666666666667</v>
      </c>
      <c r="E51" s="99">
        <v>27.069604873657227</v>
      </c>
      <c r="F51" s="99">
        <v>26.949928283691406</v>
      </c>
      <c r="G51" s="100" t="s">
        <v>245</v>
      </c>
      <c r="H51" s="106">
        <f t="shared" ref="H51:H65" si="33">E51-$H$82+$H$86</f>
        <v>27.515779336293537</v>
      </c>
      <c r="I51" s="106">
        <f t="shared" si="32"/>
        <v>27.396102746327717</v>
      </c>
      <c r="J51" s="106" t="e">
        <f t="shared" si="32"/>
        <v>#VALUE!</v>
      </c>
      <c r="K51" s="100">
        <f>((H51-'Calibration F. prausnitzii'!$D$45)/('Calibration F. prausnitzii'!$D$44))+$B$70</f>
        <v>6.2721887978951809</v>
      </c>
      <c r="L51" s="100">
        <f>((I51-'Calibration F. prausnitzii'!$D$45)/('Calibration F. prausnitzii'!$D$44))+$B$70</f>
        <v>6.3090316356767335</v>
      </c>
      <c r="M51" s="100" t="e">
        <f>((J51-'Calibration F. prausnitzii'!$D$45)/('Calibration F. prausnitzii'!$D$44))+$B$70</f>
        <v>#VALUE!</v>
      </c>
      <c r="N51" s="107">
        <f>AVERAGE(K51:L51)</f>
        <v>6.2906102167859572</v>
      </c>
      <c r="O51" s="107">
        <f>STDEV(K51:L51)</f>
        <v>2.6051820433491791E-2</v>
      </c>
      <c r="P51" s="108">
        <f>(AVERAGE(POWER(10,K51),POWER(10,L51))*(Calculation!$I7/Calculation!$K6))</f>
        <v>1955762.2835631412</v>
      </c>
      <c r="Q51" s="108">
        <f>(STDEV(POWER(10,K51),POWER(10,L51))*(Calculation!$I7/Calculation!$K6))</f>
        <v>117249.09005186295</v>
      </c>
      <c r="R51" s="107">
        <f t="shared" si="31"/>
        <v>6.291316066601528</v>
      </c>
      <c r="S51" s="107">
        <f>O51*(Calculation!$I7/Calculation!$K6)</f>
        <v>2.6070739693065857E-2</v>
      </c>
    </row>
    <row r="52" spans="1:19">
      <c r="A52" s="41">
        <v>4</v>
      </c>
      <c r="B52" s="33">
        <v>80</v>
      </c>
      <c r="C52" s="33">
        <f t="shared" ref="C52:C62" si="34">C51+B52</f>
        <v>360</v>
      </c>
      <c r="D52" s="13">
        <f t="shared" si="25"/>
        <v>6</v>
      </c>
      <c r="E52" s="99">
        <v>25.703224182128906</v>
      </c>
      <c r="F52" s="99">
        <v>25.689428329467773</v>
      </c>
      <c r="G52" s="100">
        <v>25.721443176269531</v>
      </c>
      <c r="H52" s="106">
        <f t="shared" si="33"/>
        <v>26.149398644765217</v>
      </c>
      <c r="I52" s="106">
        <f t="shared" si="32"/>
        <v>26.135602792104084</v>
      </c>
      <c r="J52" s="106">
        <f t="shared" si="32"/>
        <v>26.167617638905842</v>
      </c>
      <c r="K52" s="100">
        <f>((H52-'Calibration F. prausnitzii'!$D$45)/('Calibration F. prausnitzii'!$D$44))+$B$70</f>
        <v>6.6928336556756562</v>
      </c>
      <c r="L52" s="100">
        <f>((I52-'Calibration F. prausnitzii'!$D$45)/('Calibration F. prausnitzii'!$D$44))+$B$70</f>
        <v>6.6970807549771783</v>
      </c>
      <c r="M52" s="100">
        <f>((J52-'Calibration F. prausnitzii'!$D$45)/('Calibration F. prausnitzii'!$D$44))+$B$70</f>
        <v>6.6872248775022651</v>
      </c>
      <c r="N52" s="107">
        <f t="shared" si="29"/>
        <v>6.6923797627183674</v>
      </c>
      <c r="O52" s="107">
        <f t="shared" si="30"/>
        <v>4.9435912364022231E-3</v>
      </c>
      <c r="P52" s="108">
        <f>(AVERAGE(POWER(10,K52),POWER(10,L52),POWER(10,M52)))*(Calculation!$I8/Calculation!$K7)</f>
        <v>4928488.9572060378</v>
      </c>
      <c r="Q52" s="108">
        <f>(STDEV(POWER(10,K52),POWER(10,L52),POWER(10,M52))*(Calculation!$I8/Calculation!$K7))</f>
        <v>56056.657455177126</v>
      </c>
      <c r="R52" s="107">
        <f t="shared" si="31"/>
        <v>6.6927137878094509</v>
      </c>
      <c r="S52" s="107">
        <f>O52*(Calculation!$I8/Calculation!$K7)</f>
        <v>4.9471813534947449E-3</v>
      </c>
    </row>
    <row r="53" spans="1:19">
      <c r="A53" s="41">
        <v>5</v>
      </c>
      <c r="B53" s="33">
        <v>80</v>
      </c>
      <c r="C53" s="33">
        <f t="shared" si="34"/>
        <v>440</v>
      </c>
      <c r="D53" s="13">
        <f t="shared" si="25"/>
        <v>7.333333333333333</v>
      </c>
      <c r="E53" s="99">
        <v>24.09929084777832</v>
      </c>
      <c r="F53" s="99">
        <v>24.248893737792969</v>
      </c>
      <c r="G53" s="100">
        <v>24.313365936279297</v>
      </c>
      <c r="H53" s="106">
        <f t="shared" si="33"/>
        <v>24.545465310414631</v>
      </c>
      <c r="I53" s="106">
        <f t="shared" si="32"/>
        <v>24.695068200429279</v>
      </c>
      <c r="J53" s="106">
        <f t="shared" si="32"/>
        <v>24.759540398915608</v>
      </c>
      <c r="K53" s="100">
        <f>((H53-'Calibration F. prausnitzii'!$D$45)/('Calibration F. prausnitzii'!$D$44))+$B$70</f>
        <v>7.1866098876587206</v>
      </c>
      <c r="L53" s="100">
        <f>((I53-'Calibration F. prausnitzii'!$D$45)/('Calibration F. prausnitzii'!$D$44))+$B$70</f>
        <v>7.140554138493111</v>
      </c>
      <c r="M53" s="100">
        <f>((J53-'Calibration F. prausnitzii'!$D$45)/('Calibration F. prausnitzii'!$D$44))+$B$70</f>
        <v>7.120706156937735</v>
      </c>
      <c r="N53" s="107">
        <f t="shared" si="29"/>
        <v>7.1492900610298555</v>
      </c>
      <c r="O53" s="107">
        <f t="shared" si="30"/>
        <v>3.3809210101125454E-2</v>
      </c>
      <c r="P53" s="108">
        <f>(AVERAGE(POWER(10,K53),POWER(10,L53),POWER(10,M53)))*(Calculation!$I9/Calculation!$K8)</f>
        <v>14141336.312982578</v>
      </c>
      <c r="Q53" s="108">
        <f>(STDEV(POWER(10,K53),POWER(10,L53),POWER(10,M53))*(Calculation!$I9/Calculation!$K8))</f>
        <v>1115398.861484474</v>
      </c>
      <c r="R53" s="107">
        <f t="shared" si="31"/>
        <v>7.1504904508988405</v>
      </c>
      <c r="S53" s="107">
        <f>O53*(Calculation!$I9/Calculation!$K8)</f>
        <v>3.383376290439425E-2</v>
      </c>
    </row>
    <row r="54" spans="1:19">
      <c r="A54" s="41">
        <v>6</v>
      </c>
      <c r="B54" s="33">
        <v>80</v>
      </c>
      <c r="C54" s="33">
        <f t="shared" si="34"/>
        <v>520</v>
      </c>
      <c r="D54" s="13">
        <f t="shared" si="25"/>
        <v>8.6666666666666661</v>
      </c>
      <c r="E54" s="99">
        <v>27.909662246704102</v>
      </c>
      <c r="F54" s="99">
        <v>27.445934295654297</v>
      </c>
      <c r="G54" s="100">
        <v>27.460964202880859</v>
      </c>
      <c r="H54" s="106">
        <f t="shared" si="33"/>
        <v>28.355836709340412</v>
      </c>
      <c r="I54" s="106">
        <f t="shared" si="32"/>
        <v>27.892108758290608</v>
      </c>
      <c r="J54" s="106">
        <f t="shared" si="32"/>
        <v>27.90713866551717</v>
      </c>
      <c r="K54" s="100">
        <f>((H54-'Calibration F. prausnitzii'!$D$45)/('Calibration F. prausnitzii'!$D$44))+$B$70</f>
        <v>6.0135743309288054</v>
      </c>
      <c r="L54" s="100">
        <f>((I54-'Calibration F. prausnitzii'!$D$45)/('Calibration F. prausnitzii'!$D$44))+$B$70</f>
        <v>6.1563345288938347</v>
      </c>
      <c r="M54" s="100">
        <f>((J54-'Calibration F. prausnitzii'!$D$45)/('Calibration F. prausnitzii'!$D$44))+$B$70</f>
        <v>6.1517075217742452</v>
      </c>
      <c r="N54" s="107">
        <f t="shared" si="29"/>
        <v>6.1072054605322954</v>
      </c>
      <c r="O54" s="107">
        <f t="shared" si="30"/>
        <v>8.1119933566542637E-2</v>
      </c>
      <c r="P54" s="108">
        <f>(AVERAGE(POWER(10,K54),POWER(10,L54),POWER(10,M54)))*(Calculation!$I10/Calculation!$K9)</f>
        <v>1295321.1121500579</v>
      </c>
      <c r="Q54" s="108">
        <f>(STDEV(POWER(10,K54),POWER(10,L54),POWER(10,M54))*(Calculation!$I10/Calculation!$K9))</f>
        <v>227737.54475092865</v>
      </c>
      <c r="R54" s="107">
        <f t="shared" si="31"/>
        <v>6.1123774440524672</v>
      </c>
      <c r="S54" s="107">
        <f>O54*(Calculation!$I10/Calculation!$K9)</f>
        <v>8.1178844193678837E-2</v>
      </c>
    </row>
    <row r="55" spans="1:19">
      <c r="A55" s="41">
        <v>7</v>
      </c>
      <c r="B55" s="33">
        <v>80</v>
      </c>
      <c r="C55" s="33">
        <f t="shared" si="34"/>
        <v>600</v>
      </c>
      <c r="D55" s="13">
        <f t="shared" si="25"/>
        <v>10</v>
      </c>
      <c r="E55" s="99">
        <v>27.965646743774414</v>
      </c>
      <c r="F55" s="99">
        <v>27.730829238891602</v>
      </c>
      <c r="G55" s="100">
        <v>27.753711700439453</v>
      </c>
      <c r="H55" s="106">
        <f t="shared" si="33"/>
        <v>28.411821206410725</v>
      </c>
      <c r="I55" s="106">
        <f t="shared" si="32"/>
        <v>28.177003701527912</v>
      </c>
      <c r="J55" s="106">
        <f t="shared" si="32"/>
        <v>28.199886163075764</v>
      </c>
      <c r="K55" s="100">
        <f>((H55-'Calibration F. prausnitzii'!$D$45)/('Calibration F. prausnitzii'!$D$44))+$B$70</f>
        <v>5.9963393165919801</v>
      </c>
      <c r="L55" s="100">
        <f>((I55-'Calibration F. prausnitzii'!$D$45)/('Calibration F. prausnitzii'!$D$44))+$B$70</f>
        <v>6.0686286694481852</v>
      </c>
      <c r="M55" s="100">
        <f>((J55-'Calibration F. prausnitzii'!$D$45)/('Calibration F. prausnitzii'!$D$44))+$B$70</f>
        <v>6.0615842272637028</v>
      </c>
      <c r="N55" s="107">
        <f t="shared" si="29"/>
        <v>6.0421840711012891</v>
      </c>
      <c r="O55" s="107">
        <f t="shared" si="30"/>
        <v>3.9858652491482412E-2</v>
      </c>
      <c r="P55" s="108">
        <f>(AVERAGE(POWER(10,K55),POWER(10,L55),POWER(10,M55)))*(Calculation!$I11/Calculation!$K10)</f>
        <v>1105852.3247123419</v>
      </c>
      <c r="Q55" s="108">
        <f>(STDEV(POWER(10,K55),POWER(10,L55),POWER(10,M55))*(Calculation!$I11/Calculation!$K10))</f>
        <v>98767.333195613624</v>
      </c>
      <c r="R55" s="107">
        <f t="shared" si="31"/>
        <v>6.0436971352466085</v>
      </c>
      <c r="S55" s="107">
        <f>O55*(Calculation!$I11/Calculation!$K10)</f>
        <v>3.9887598499101506E-2</v>
      </c>
    </row>
    <row r="56" spans="1:19">
      <c r="A56" s="41">
        <v>8</v>
      </c>
      <c r="B56" s="33">
        <v>80</v>
      </c>
      <c r="C56" s="33">
        <f t="shared" si="34"/>
        <v>680</v>
      </c>
      <c r="D56" s="13">
        <f t="shared" si="25"/>
        <v>11.333333333333334</v>
      </c>
      <c r="E56" s="99">
        <v>24.312263488769531</v>
      </c>
      <c r="F56" s="99">
        <v>24.314605712890625</v>
      </c>
      <c r="G56" s="100">
        <v>24.218765258789062</v>
      </c>
      <c r="H56" s="106">
        <f t="shared" si="33"/>
        <v>24.758437951405842</v>
      </c>
      <c r="I56" s="106">
        <f t="shared" si="32"/>
        <v>24.760780175526936</v>
      </c>
      <c r="J56" s="106">
        <f t="shared" si="32"/>
        <v>24.664939721425373</v>
      </c>
      <c r="K56" s="100">
        <f>((H56-'Calibration F. prausnitzii'!$D$45)/('Calibration F. prausnitzii'!$D$44))+$B$70</f>
        <v>7.1210455490843234</v>
      </c>
      <c r="L56" s="100">
        <f>((I56-'Calibration F. prausnitzii'!$D$45)/('Calibration F. prausnitzii'!$D$44))+$B$70</f>
        <v>7.120324487568733</v>
      </c>
      <c r="M56" s="100">
        <f>((J56-'Calibration F. prausnitzii'!$D$45)/('Calibration F. prausnitzii'!$D$44))+$B$70</f>
        <v>7.1498292913434955</v>
      </c>
      <c r="N56" s="107">
        <f t="shared" si="29"/>
        <v>7.1303997759988507</v>
      </c>
      <c r="O56" s="107">
        <f t="shared" si="30"/>
        <v>1.6830315871164136E-2</v>
      </c>
      <c r="P56" s="108">
        <f>(AVERAGE(POWER(10,K56),POWER(10,L56),POWER(10,M56)))*(Calculation!$I12/Calculation!$K11)</f>
        <v>13530657.334143708</v>
      </c>
      <c r="Q56" s="108">
        <f>(STDEV(POWER(10,K56),POWER(10,L56),POWER(10,M56))*(Calculation!$I12/Calculation!$K11))</f>
        <v>530075.901511729</v>
      </c>
      <c r="R56" s="107">
        <f t="shared" si="31"/>
        <v>7.1313188956114359</v>
      </c>
      <c r="S56" s="107">
        <f>O56*(Calculation!$I12/Calculation!$K11)</f>
        <v>1.6857469651077518E-2</v>
      </c>
    </row>
    <row r="57" spans="1:19">
      <c r="A57" s="41">
        <v>9</v>
      </c>
      <c r="B57" s="33">
        <v>80</v>
      </c>
      <c r="C57" s="33">
        <f t="shared" si="34"/>
        <v>760</v>
      </c>
      <c r="D57" s="13">
        <f t="shared" si="25"/>
        <v>12.666666666666666</v>
      </c>
      <c r="E57" s="99">
        <v>25.195259094238281</v>
      </c>
      <c r="F57" s="99">
        <v>25.283672332763672</v>
      </c>
      <c r="G57" s="100">
        <v>25.663995742797852</v>
      </c>
      <c r="H57" s="106">
        <f t="shared" si="33"/>
        <v>25.641433556874592</v>
      </c>
      <c r="I57" s="106">
        <f t="shared" si="32"/>
        <v>25.729846795399983</v>
      </c>
      <c r="J57" s="106">
        <f t="shared" si="32"/>
        <v>26.110170205434162</v>
      </c>
      <c r="K57" s="100">
        <f>((H57-'Calibration F. prausnitzii'!$D$45)/('Calibration F. prausnitzii'!$D$44))+$B$70</f>
        <v>6.8492124039103093</v>
      </c>
      <c r="L57" s="100">
        <f>((I57-'Calibration F. prausnitzii'!$D$45)/('Calibration F. prausnitzii'!$D$44))+$B$70</f>
        <v>6.8219940932476888</v>
      </c>
      <c r="M57" s="100">
        <f>((J57-'Calibration F. prausnitzii'!$D$45)/('Calibration F. prausnitzii'!$D$44))+$B$70</f>
        <v>6.704910261694514</v>
      </c>
      <c r="N57" s="107">
        <f t="shared" si="29"/>
        <v>6.7920389196175037</v>
      </c>
      <c r="O57" s="107">
        <f t="shared" si="30"/>
        <v>7.6673081211255559E-2</v>
      </c>
      <c r="P57" s="108">
        <f>(AVERAGE(POWER(10,K57),POWER(10,L57),POWER(10,M57)))*(Calculation!$I13/Calculation!$K12)</f>
        <v>6273493.5764579</v>
      </c>
      <c r="Q57" s="108">
        <f>(STDEV(POWER(10,K57),POWER(10,L57),POWER(10,M57))*(Calculation!$I13/Calculation!$K12))</f>
        <v>1054295.9759719919</v>
      </c>
      <c r="R57" s="107">
        <f t="shared" si="31"/>
        <v>6.7975094576472328</v>
      </c>
      <c r="S57" s="107">
        <f>O57*(Calculation!$I13/Calculation!$K12)</f>
        <v>7.6867695572040762E-2</v>
      </c>
    </row>
    <row r="58" spans="1:19">
      <c r="A58" s="41">
        <v>10</v>
      </c>
      <c r="B58" s="33">
        <v>80</v>
      </c>
      <c r="C58" s="33">
        <f t="shared" si="34"/>
        <v>840</v>
      </c>
      <c r="D58" s="13">
        <f t="shared" si="25"/>
        <v>14</v>
      </c>
      <c r="E58" s="99">
        <v>24.180915832519531</v>
      </c>
      <c r="F58" s="99">
        <v>24.003620147705078</v>
      </c>
      <c r="G58" s="100">
        <v>24.045001983642578</v>
      </c>
      <c r="H58" s="106">
        <f t="shared" si="33"/>
        <v>24.627090295155842</v>
      </c>
      <c r="I58" s="106">
        <f t="shared" si="32"/>
        <v>24.449794610341389</v>
      </c>
      <c r="J58" s="106">
        <f t="shared" si="32"/>
        <v>24.491176446278889</v>
      </c>
      <c r="K58" s="100">
        <f>((H58-'Calibration F. prausnitzii'!$D$45)/('Calibration F. prausnitzii'!$D$44))+$B$70</f>
        <v>7.1614813635872947</v>
      </c>
      <c r="L58" s="100">
        <f>((I58-'Calibration F. prausnitzii'!$D$45)/('Calibration F. prausnitzii'!$D$44))+$B$70</f>
        <v>7.216062432089112</v>
      </c>
      <c r="M58" s="100">
        <f>((J58-'Calibration F. prausnitzii'!$D$45)/('Calibration F. prausnitzii'!$D$44))+$B$70</f>
        <v>7.2033228957354805</v>
      </c>
      <c r="N58" s="107">
        <f t="shared" si="29"/>
        <v>7.1936222304706279</v>
      </c>
      <c r="O58" s="107">
        <f t="shared" si="30"/>
        <v>2.8554341870117399E-2</v>
      </c>
      <c r="P58" s="108">
        <f>(AVERAGE(POWER(10,K58),POWER(10,L58),POWER(10,M58)))*(Calculation!$I14/Calculation!$K13)</f>
        <v>15710115.219375402</v>
      </c>
      <c r="Q58" s="108">
        <f>(STDEV(POWER(10,K58),POWER(10,L58),POWER(10,M58))*(Calculation!$I14/Calculation!$K13))</f>
        <v>1016971.8565258461</v>
      </c>
      <c r="R58" s="107">
        <f t="shared" si="31"/>
        <v>7.1961793702058197</v>
      </c>
      <c r="S58" s="107">
        <f>O58*(Calculation!$I14/Calculation!$K13)</f>
        <v>2.8682030361368214E-2</v>
      </c>
    </row>
    <row r="59" spans="1:19">
      <c r="A59" s="41">
        <v>11</v>
      </c>
      <c r="B59" s="33">
        <v>80</v>
      </c>
      <c r="C59" s="33">
        <f t="shared" si="34"/>
        <v>920</v>
      </c>
      <c r="D59" s="13">
        <f t="shared" si="25"/>
        <v>15.333333333333334</v>
      </c>
      <c r="E59" s="99">
        <v>23.043933868408203</v>
      </c>
      <c r="F59" s="99">
        <v>22.423242568969727</v>
      </c>
      <c r="G59" s="100">
        <v>23.172285079956055</v>
      </c>
      <c r="H59" s="106">
        <f t="shared" si="33"/>
        <v>23.490108331044514</v>
      </c>
      <c r="I59" s="106">
        <f t="shared" si="32"/>
        <v>22.869417031606037</v>
      </c>
      <c r="J59" s="106">
        <f t="shared" si="32"/>
        <v>23.618459542592365</v>
      </c>
      <c r="K59" s="100">
        <f>((H59-'Calibration F. prausnitzii'!$D$45)/('Calibration F. prausnitzii'!$D$44))+$B$70</f>
        <v>7.511505057245925</v>
      </c>
      <c r="L59" s="100">
        <f>((I59-'Calibration F. prausnitzii'!$D$45)/('Calibration F. prausnitzii'!$D$44))+$B$70</f>
        <v>7.7025869460611442</v>
      </c>
      <c r="M59" s="100">
        <f>((J59-'Calibration F. prausnitzii'!$D$45)/('Calibration F. prausnitzii'!$D$44))+$B$70</f>
        <v>7.4719917082486491</v>
      </c>
      <c r="N59" s="107">
        <f t="shared" si="29"/>
        <v>7.5620279038519058</v>
      </c>
      <c r="O59" s="107">
        <f t="shared" si="30"/>
        <v>0.12332055565609863</v>
      </c>
      <c r="P59" s="108">
        <f>(AVERAGE(POWER(10,K59),POWER(10,L59),POWER(10,M59)))*(Calculation!$I15/Calculation!$K14)</f>
        <v>37794005.613305077</v>
      </c>
      <c r="Q59" s="108">
        <f>(STDEV(POWER(10,K59),POWER(10,L59),POWER(10,M59))*(Calculation!$I15/Calculation!$K14))</f>
        <v>11349960.178082326</v>
      </c>
      <c r="R59" s="107">
        <f t="shared" si="31"/>
        <v>7.5774229232365391</v>
      </c>
      <c r="S59" s="107">
        <f>O59*(Calculation!$I15/Calculation!$K14)</f>
        <v>0.12424587620448199</v>
      </c>
    </row>
    <row r="60" spans="1:19">
      <c r="A60" s="41">
        <v>12</v>
      </c>
      <c r="B60" s="33">
        <v>80</v>
      </c>
      <c r="C60" s="33">
        <f t="shared" si="34"/>
        <v>1000</v>
      </c>
      <c r="D60" s="13">
        <f t="shared" si="25"/>
        <v>16.666666666666668</v>
      </c>
      <c r="E60" s="99">
        <v>22.864561080932617</v>
      </c>
      <c r="F60" s="99">
        <v>22.9107666015625</v>
      </c>
      <c r="G60" s="100">
        <v>23.019269943237305</v>
      </c>
      <c r="H60" s="106">
        <f t="shared" si="33"/>
        <v>23.310735543568928</v>
      </c>
      <c r="I60" s="106">
        <f t="shared" si="32"/>
        <v>23.356941064198811</v>
      </c>
      <c r="J60" s="106">
        <f t="shared" si="32"/>
        <v>23.465444405873615</v>
      </c>
      <c r="K60" s="100">
        <f>((H60-'Calibration F. prausnitzii'!$D$45)/('Calibration F. prausnitzii'!$D$44))+$B$70</f>
        <v>7.5667255687367305</v>
      </c>
      <c r="L60" s="100">
        <f>((I60-'Calibration F. prausnitzii'!$D$45)/('Calibration F. prausnitzii'!$D$44))+$B$70</f>
        <v>7.5525010449458616</v>
      </c>
      <c r="M60" s="100">
        <f>((J60-'Calibration F. prausnitzii'!$D$45)/('Calibration F. prausnitzii'!$D$44))+$B$70</f>
        <v>7.5190979289544799</v>
      </c>
      <c r="N60" s="107">
        <f t="shared" si="29"/>
        <v>7.546108180879024</v>
      </c>
      <c r="O60" s="107">
        <f t="shared" si="30"/>
        <v>2.4448917175199238E-2</v>
      </c>
      <c r="P60" s="108">
        <f>(AVERAGE(POWER(10,K60),POWER(10,L60),POWER(10,M60)))*(Calculation!$I16/Calculation!$K15)</f>
        <v>37351924.493160307</v>
      </c>
      <c r="Q60" s="108">
        <f>(STDEV(POWER(10,K60),POWER(10,L60),POWER(10,M60))*(Calculation!$I16/Calculation!$K15))</f>
        <v>2080212.2888882593</v>
      </c>
      <c r="R60" s="107">
        <f t="shared" si="31"/>
        <v>7.5723129829982216</v>
      </c>
      <c r="S60" s="107">
        <f>O60*(Calculation!$I16/Calculation!$K15)</f>
        <v>2.5942325620081953E-2</v>
      </c>
    </row>
    <row r="61" spans="1:19">
      <c r="A61" s="41">
        <v>13</v>
      </c>
      <c r="B61" s="33">
        <v>80</v>
      </c>
      <c r="C61" s="33">
        <f t="shared" si="34"/>
        <v>1080</v>
      </c>
      <c r="D61" s="13">
        <f t="shared" si="25"/>
        <v>18</v>
      </c>
      <c r="E61" s="99">
        <v>20.562589645385742</v>
      </c>
      <c r="F61" s="99">
        <v>20.586355209350586</v>
      </c>
      <c r="G61" s="100">
        <v>20.802009582519531</v>
      </c>
      <c r="H61" s="106">
        <f t="shared" si="33"/>
        <v>21.008764108022053</v>
      </c>
      <c r="I61" s="106">
        <f t="shared" si="32"/>
        <v>21.032529671986897</v>
      </c>
      <c r="J61" s="106">
        <f t="shared" si="32"/>
        <v>21.248184045155842</v>
      </c>
      <c r="K61" s="100">
        <f>((H61-'Calibration F. prausnitzii'!$D$45)/('Calibration F. prausnitzii'!$D$44))+$B$70</f>
        <v>8.275395160691561</v>
      </c>
      <c r="L61" s="100">
        <f>((I61-'Calibration F. prausnitzii'!$D$45)/('Calibration F. prausnitzii'!$D$44))+$B$70</f>
        <v>8.268078852479622</v>
      </c>
      <c r="M61" s="100">
        <f>((J61-'Calibration F. prausnitzii'!$D$45)/('Calibration F. prausnitzii'!$D$44))+$B$70</f>
        <v>8.2016889337008934</v>
      </c>
      <c r="N61" s="107">
        <f t="shared" si="29"/>
        <v>8.24838764895736</v>
      </c>
      <c r="O61" s="107">
        <f t="shared" si="30"/>
        <v>4.0607383520935576E-2</v>
      </c>
      <c r="P61" s="108">
        <f>(AVERAGE(POWER(10,K61),POWER(10,L61),POWER(10,M61)))*(Calculation!$I17/Calculation!$K16)</f>
        <v>188918000.59198359</v>
      </c>
      <c r="Q61" s="108">
        <f>(STDEV(POWER(10,K61),POWER(10,L61),POWER(10,M61))*(Calculation!$I17/Calculation!$K16))</f>
        <v>17181197.939144555</v>
      </c>
      <c r="R61" s="107">
        <f t="shared" si="31"/>
        <v>8.2762733405863074</v>
      </c>
      <c r="S61" s="107">
        <f>O61*(Calculation!$I17/Calculation!$K16)</f>
        <v>4.3176545740968575E-2</v>
      </c>
    </row>
    <row r="62" spans="1:19">
      <c r="A62" s="41">
        <v>14</v>
      </c>
      <c r="B62" s="33">
        <v>80</v>
      </c>
      <c r="C62" s="33">
        <f t="shared" si="34"/>
        <v>1160</v>
      </c>
      <c r="D62" s="13">
        <f t="shared" si="25"/>
        <v>19.333333333333332</v>
      </c>
      <c r="E62" s="99">
        <v>21.94459342956543</v>
      </c>
      <c r="F62" s="99">
        <v>22.359331130981445</v>
      </c>
      <c r="G62" s="100">
        <v>22.306785583496094</v>
      </c>
      <c r="H62" s="106">
        <f t="shared" si="33"/>
        <v>22.39076789220174</v>
      </c>
      <c r="I62" s="106">
        <f t="shared" si="32"/>
        <v>22.805505593617756</v>
      </c>
      <c r="J62" s="106">
        <f t="shared" si="32"/>
        <v>22.752960046132404</v>
      </c>
      <c r="K62" s="100">
        <f>((H62-'Calibration F. prausnitzii'!$D$45)/('Calibration F. prausnitzii'!$D$44))+$B$70</f>
        <v>7.8499406816780191</v>
      </c>
      <c r="L62" s="100">
        <f>((I62-'Calibration F. prausnitzii'!$D$45)/('Calibration F. prausnitzii'!$D$44))+$B$70</f>
        <v>7.7222622956250024</v>
      </c>
      <c r="M62" s="100">
        <f>((J62-'Calibration F. prausnitzii'!$D$45)/('Calibration F. prausnitzii'!$D$44))+$B$70</f>
        <v>7.7384386178505817</v>
      </c>
      <c r="N62" s="107">
        <f t="shared" si="29"/>
        <v>7.7702138650512014</v>
      </c>
      <c r="O62" s="107">
        <f t="shared" si="30"/>
        <v>6.9517568407353958E-2</v>
      </c>
      <c r="P62" s="108">
        <f>(AVERAGE(POWER(10,K62),POWER(10,L62),POWER(10,M62)))*(Calculation!$I18/Calculation!$K17)</f>
        <v>63259896.995330572</v>
      </c>
      <c r="Q62" s="108">
        <f>(STDEV(POWER(10,K62),POWER(10,L62),POWER(10,M62))*(Calculation!$I18/Calculation!$K17))</f>
        <v>10519036.838470163</v>
      </c>
      <c r="R62" s="107">
        <f t="shared" si="31"/>
        <v>7.8011284804283294</v>
      </c>
      <c r="S62" s="107">
        <f>O62*(Calculation!$I18/Calculation!$K17)</f>
        <v>7.399480027517881E-2</v>
      </c>
    </row>
    <row r="63" spans="1:19">
      <c r="A63" s="41">
        <v>15</v>
      </c>
      <c r="B63" s="33">
        <v>280</v>
      </c>
      <c r="C63" s="33">
        <f>C62+B63</f>
        <v>1440</v>
      </c>
      <c r="D63" s="13">
        <f t="shared" si="25"/>
        <v>24</v>
      </c>
      <c r="E63" s="99">
        <v>21.454599380493164</v>
      </c>
      <c r="F63" s="99">
        <v>21.287996292114258</v>
      </c>
      <c r="G63" s="100">
        <v>21.513332366943359</v>
      </c>
      <c r="H63" s="106">
        <f t="shared" si="33"/>
        <v>21.900773843129475</v>
      </c>
      <c r="I63" s="106">
        <f t="shared" si="32"/>
        <v>21.734170754750568</v>
      </c>
      <c r="J63" s="106">
        <f t="shared" si="32"/>
        <v>21.95950682957967</v>
      </c>
      <c r="K63" s="100">
        <f>((H63-'Calibration F. prausnitzii'!$D$45)/('Calibration F. prausnitzii'!$D$44))+$B$70</f>
        <v>8.0007869856130824</v>
      </c>
      <c r="L63" s="100">
        <f>((I63-'Calibration F. prausnitzii'!$D$45)/('Calibration F. prausnitzii'!$D$44))+$B$70</f>
        <v>8.0520763026031723</v>
      </c>
      <c r="M63" s="100">
        <f>((J63-'Calibration F. prausnitzii'!$D$45)/('Calibration F. prausnitzii'!$D$44))+$B$70</f>
        <v>7.9827058396443622</v>
      </c>
      <c r="N63" s="107">
        <f t="shared" si="29"/>
        <v>8.0118563759535402</v>
      </c>
      <c r="O63" s="107">
        <f t="shared" si="30"/>
        <v>3.598560593712375E-2</v>
      </c>
      <c r="P63" s="108">
        <f>(AVERAGE(POWER(10,K63),POWER(10,L63),POWER(10,M63)))*(Calculation!$I19/Calculation!$K18)</f>
        <v>110009264.03678362</v>
      </c>
      <c r="Q63" s="108">
        <f>(STDEV(POWER(10,K63),POWER(10,L63),POWER(10,M63))*(Calculation!$I19/Calculation!$K18))</f>
        <v>9263470.7997481767</v>
      </c>
      <c r="R63" s="107">
        <f t="shared" si="31"/>
        <v>8.0414292592550041</v>
      </c>
      <c r="S63" s="107">
        <f>O63*(Calculation!$I19/Calculation!$K18)</f>
        <v>3.8432346519506659E-2</v>
      </c>
    </row>
    <row r="64" spans="1:19">
      <c r="A64" s="41">
        <v>16</v>
      </c>
      <c r="B64" s="33">
        <v>360</v>
      </c>
      <c r="C64" s="33">
        <f>C63+B64</f>
        <v>1800</v>
      </c>
      <c r="D64" s="13">
        <f t="shared" si="25"/>
        <v>30</v>
      </c>
      <c r="E64" s="99">
        <v>22.631118774414062</v>
      </c>
      <c r="F64" s="99">
        <v>22.219049453735352</v>
      </c>
      <c r="G64" s="100">
        <v>22.011707305908203</v>
      </c>
      <c r="H64" s="106">
        <f t="shared" si="33"/>
        <v>23.077293237050373</v>
      </c>
      <c r="I64" s="106">
        <f t="shared" si="32"/>
        <v>22.665223916371662</v>
      </c>
      <c r="J64" s="106">
        <f t="shared" si="32"/>
        <v>22.457881768544514</v>
      </c>
      <c r="K64" s="100">
        <f>((H64-'Calibration F. prausnitzii'!$D$45)/('Calibration F. prausnitzii'!$D$44))+$B$70</f>
        <v>7.6385915621851677</v>
      </c>
      <c r="L64" s="100">
        <f>((I64-'Calibration F. prausnitzii'!$D$45)/('Calibration F. prausnitzii'!$D$44))+$B$70</f>
        <v>7.7654484783193638</v>
      </c>
      <c r="M64" s="100">
        <f>((J64-'Calibration F. prausnitzii'!$D$45)/('Calibration F. prausnitzii'!$D$44))+$B$70</f>
        <v>7.8292794507748482</v>
      </c>
      <c r="N64" s="107">
        <f>AVERAGE(K64:M64)</f>
        <v>7.7444398304264608</v>
      </c>
      <c r="O64" s="107">
        <f>STDEV(K64:M64)</f>
        <v>9.7064361010690312E-2</v>
      </c>
      <c r="P64" s="108">
        <f>(AVERAGE(POWER(10,K64),POWER(10,L64),POWER(10,M64)))*(Calculation!$I20/Calculation!$K19)</f>
        <v>60332629.990891434</v>
      </c>
      <c r="Q64" s="108">
        <f>(STDEV(POWER(10,K64),POWER(10,L64),POWER(10,M64))*(Calculation!$I20/Calculation!$K19))</f>
        <v>12936681.182094702</v>
      </c>
      <c r="R64" s="107">
        <f>LOG(P64)</f>
        <v>7.7805522572845183</v>
      </c>
      <c r="S64" s="107">
        <f>O64*(Calculation!$I20/Calculation!$K19)</f>
        <v>0.10378522505825884</v>
      </c>
    </row>
    <row r="65" spans="1:19">
      <c r="A65" s="41">
        <v>17</v>
      </c>
      <c r="B65" s="33">
        <v>1080</v>
      </c>
      <c r="C65" s="33">
        <f>C64+B65</f>
        <v>2880</v>
      </c>
      <c r="D65" s="13">
        <f t="shared" si="25"/>
        <v>48</v>
      </c>
      <c r="E65" s="99">
        <v>25.136774063110352</v>
      </c>
      <c r="F65" s="99">
        <v>25.161436080932617</v>
      </c>
      <c r="G65" s="100">
        <v>25.294788360595703</v>
      </c>
      <c r="H65" s="106">
        <f t="shared" si="33"/>
        <v>25.582948525746662</v>
      </c>
      <c r="I65" s="106">
        <f t="shared" si="32"/>
        <v>25.607610543568928</v>
      </c>
      <c r="J65" s="106">
        <f t="shared" si="32"/>
        <v>25.740962823232014</v>
      </c>
      <c r="K65" s="100">
        <f>((H65-'Calibration F. prausnitzii'!$D$45)/('Calibration F. prausnitzii'!$D$44))+$B$70</f>
        <v>6.8672172160052298</v>
      </c>
      <c r="L65" s="100">
        <f>((I65-'Calibration F. prausnitzii'!$D$45)/('Calibration F. prausnitzii'!$D$44))+$B$70</f>
        <v>6.8596249314803206</v>
      </c>
      <c r="M65" s="100">
        <f>((J65-'Calibration F. prausnitzii'!$D$45)/('Calibration F. prausnitzii'!$D$44))+$B$70</f>
        <v>6.8185719869668553</v>
      </c>
      <c r="N65" s="107">
        <f t="shared" ref="N65" si="35">AVERAGE(K65:M65)</f>
        <v>6.8484713781508022</v>
      </c>
      <c r="O65" s="107">
        <f t="shared" ref="O65" si="36">STDEV(K65:M65)</f>
        <v>2.6170420152431494E-2</v>
      </c>
      <c r="P65" s="108">
        <f>(AVERAGE(POWER(10,K65),POWER(10,L65),POWER(10,M65)))*(Calculation!$I21/Calculation!$K20)</f>
        <v>7561366.844727667</v>
      </c>
      <c r="Q65" s="108">
        <f>(STDEV(POWER(10,K65),POWER(10,L65),POWER(10,M65))*(Calculation!$I21/Calculation!$K20))</f>
        <v>448210.54714184243</v>
      </c>
      <c r="R65" s="107">
        <f t="shared" ref="R65" si="37">LOG(P65)</f>
        <v>6.8786003086581928</v>
      </c>
      <c r="S65" s="107">
        <f>O65*(Calculation!$I21/Calculation!$K20)</f>
        <v>2.801687100062332E-2</v>
      </c>
    </row>
    <row r="66" spans="1:19">
      <c r="A66" s="10"/>
      <c r="B66" s="10"/>
      <c r="C66" s="10"/>
      <c r="D66" s="152"/>
      <c r="E66" s="153"/>
      <c r="F66" s="153"/>
      <c r="G66" s="154"/>
      <c r="H66" s="155"/>
      <c r="I66" s="155"/>
      <c r="J66" s="155"/>
      <c r="K66" s="154"/>
      <c r="L66" s="154"/>
      <c r="M66" s="154"/>
      <c r="N66" s="156"/>
      <c r="O66" s="156"/>
      <c r="P66" s="157"/>
      <c r="Q66" s="157"/>
      <c r="R66" s="156"/>
      <c r="S66" s="156"/>
    </row>
    <row r="67" spans="1:19">
      <c r="A67" s="10"/>
      <c r="B67" s="10"/>
      <c r="C67" s="10"/>
      <c r="D67" s="152"/>
      <c r="E67" s="153"/>
      <c r="F67" s="153"/>
      <c r="G67" s="154"/>
      <c r="H67" s="155"/>
      <c r="I67" s="155"/>
      <c r="J67" s="155"/>
      <c r="K67" s="154"/>
      <c r="L67" s="154"/>
      <c r="M67" s="154"/>
      <c r="N67" s="156"/>
      <c r="O67" s="156"/>
      <c r="P67" s="157"/>
      <c r="Q67" s="157"/>
      <c r="R67" s="156"/>
      <c r="S67" s="156"/>
    </row>
    <row r="68" spans="1:19"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</row>
    <row r="69" spans="1:1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>
      <c r="A70" s="102" t="s">
        <v>238</v>
      </c>
      <c r="B70" s="109">
        <f>LOG(B71)</f>
        <v>3.6532125137753435</v>
      </c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</row>
    <row r="71" spans="1:19">
      <c r="A71" s="84" t="s">
        <v>239</v>
      </c>
      <c r="B71" s="84">
        <f>20*1800/4/2</f>
        <v>4500</v>
      </c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</row>
    <row r="72" spans="1:19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</row>
    <row r="73" spans="1:19">
      <c r="A73" s="95" t="s">
        <v>242</v>
      </c>
      <c r="B73" s="84"/>
      <c r="C73" s="84"/>
      <c r="D73" s="84"/>
      <c r="E73" s="110">
        <v>14.390941619873047</v>
      </c>
      <c r="F73" s="106">
        <v>14.411395072937012</v>
      </c>
      <c r="G73" s="106">
        <v>14.301624298095703</v>
      </c>
      <c r="H73" s="106">
        <f>AVERAGE(E73:G73)</f>
        <v>14.367986996968588</v>
      </c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</row>
    <row r="74" spans="1:19">
      <c r="A74" s="111" t="s">
        <v>243</v>
      </c>
      <c r="C74" s="84"/>
      <c r="D74" s="84"/>
      <c r="E74" s="110">
        <v>13.95859432220459</v>
      </c>
      <c r="F74" s="106">
        <v>13.837825775146484</v>
      </c>
      <c r="G74" s="106">
        <v>14.070391654968262</v>
      </c>
      <c r="H74" s="106">
        <f t="shared" ref="H74:H81" si="38">AVERAGE(E74:G74)</f>
        <v>13.955603917439779</v>
      </c>
    </row>
    <row r="75" spans="1:19">
      <c r="A75" s="111" t="s">
        <v>244</v>
      </c>
      <c r="E75" s="110">
        <v>14.085451126098633</v>
      </c>
      <c r="F75" s="106">
        <v>14.111333847045898</v>
      </c>
      <c r="G75" s="106">
        <v>14.077548980712891</v>
      </c>
      <c r="H75" s="106">
        <f t="shared" si="38"/>
        <v>14.091444651285807</v>
      </c>
    </row>
    <row r="76" spans="1:19">
      <c r="A76" s="111" t="s">
        <v>241</v>
      </c>
      <c r="E76" s="110">
        <v>13.838394165039062</v>
      </c>
      <c r="F76" s="106">
        <v>14.03663444519043</v>
      </c>
      <c r="G76" s="106">
        <v>13.97320556640625</v>
      </c>
      <c r="H76" s="106">
        <f t="shared" si="38"/>
        <v>13.949411392211914</v>
      </c>
    </row>
    <row r="77" spans="1:19">
      <c r="A77" s="111" t="s">
        <v>246</v>
      </c>
      <c r="E77" s="110">
        <v>11.618982315063477</v>
      </c>
      <c r="F77" s="106">
        <v>11.485271453857422</v>
      </c>
      <c r="G77" s="106">
        <v>11.470490455627441</v>
      </c>
      <c r="H77" s="106">
        <f t="shared" si="38"/>
        <v>11.524914741516113</v>
      </c>
    </row>
    <row r="78" spans="1:19">
      <c r="A78" s="111" t="s">
        <v>247</v>
      </c>
      <c r="E78" s="110">
        <v>14.489413261413574</v>
      </c>
      <c r="F78" s="106">
        <v>14.78773021697998</v>
      </c>
      <c r="G78" s="106">
        <v>14.708776473999023</v>
      </c>
      <c r="H78" s="106">
        <f t="shared" si="38"/>
        <v>14.661973317464193</v>
      </c>
    </row>
    <row r="79" spans="1:19">
      <c r="A79" s="111" t="s">
        <v>248</v>
      </c>
      <c r="E79" s="110">
        <v>14.322483062744141</v>
      </c>
      <c r="F79" s="106">
        <v>14.812288284301758</v>
      </c>
      <c r="G79" s="106">
        <v>14.651363372802734</v>
      </c>
      <c r="H79" s="106">
        <f t="shared" si="38"/>
        <v>14.595378239949545</v>
      </c>
    </row>
    <row r="80" spans="1:19">
      <c r="A80" s="111" t="s">
        <v>249</v>
      </c>
      <c r="E80" s="110">
        <v>13.079689025878906</v>
      </c>
      <c r="F80" s="106">
        <v>13.297797203063965</v>
      </c>
      <c r="G80" s="106">
        <v>14.48363208770752</v>
      </c>
      <c r="H80" s="106">
        <f t="shared" si="38"/>
        <v>13.620372772216797</v>
      </c>
    </row>
    <row r="81" spans="1:8">
      <c r="A81" s="111" t="s">
        <v>250</v>
      </c>
      <c r="B81" s="84"/>
      <c r="C81" s="84"/>
      <c r="D81" s="84"/>
      <c r="E81" s="110">
        <v>14.77447509765625</v>
      </c>
      <c r="F81" s="106">
        <v>15.046281814575195</v>
      </c>
      <c r="G81" s="106">
        <v>14.986320495605469</v>
      </c>
      <c r="H81" s="106">
        <f t="shared" si="38"/>
        <v>14.935692469278971</v>
      </c>
    </row>
    <row r="82" spans="1:8">
      <c r="A82" s="111" t="s">
        <v>250</v>
      </c>
      <c r="C82" s="84"/>
      <c r="D82" s="84"/>
      <c r="E82" s="110">
        <v>13.851560592651367</v>
      </c>
      <c r="F82" s="106">
        <v>14.262241363525391</v>
      </c>
      <c r="G82" s="106">
        <v>14.016228675842285</v>
      </c>
      <c r="H82" s="106">
        <f>AVERAGE(E82:G82)</f>
        <v>14.043343544006348</v>
      </c>
    </row>
    <row r="83" spans="1:8">
      <c r="A83" s="111"/>
      <c r="E83" s="110"/>
      <c r="F83" s="106"/>
      <c r="G83" s="106"/>
      <c r="H83" s="106"/>
    </row>
    <row r="84" spans="1:8">
      <c r="A84" s="111"/>
      <c r="E84" s="110"/>
      <c r="F84" s="106"/>
      <c r="G84" s="106"/>
      <c r="H84" s="106"/>
    </row>
    <row r="86" spans="1:8">
      <c r="G86" t="s">
        <v>240</v>
      </c>
      <c r="H86" s="83">
        <f>AVERAGE(H81:H84)</f>
        <v>14.489518006642658</v>
      </c>
    </row>
  </sheetData>
  <mergeCells count="59">
    <mergeCell ref="P46:P47"/>
    <mergeCell ref="Q46:Q47"/>
    <mergeCell ref="R46:R47"/>
    <mergeCell ref="S46:S47"/>
    <mergeCell ref="K46:K47"/>
    <mergeCell ref="L46:L47"/>
    <mergeCell ref="M46:M47"/>
    <mergeCell ref="N46:N47"/>
    <mergeCell ref="O46:O47"/>
    <mergeCell ref="F46:F47"/>
    <mergeCell ref="G46:G47"/>
    <mergeCell ref="H46:H47"/>
    <mergeCell ref="I46:I47"/>
    <mergeCell ref="J46:J47"/>
    <mergeCell ref="A46:A47"/>
    <mergeCell ref="B46:B47"/>
    <mergeCell ref="C46:C47"/>
    <mergeCell ref="D46:D47"/>
    <mergeCell ref="E46:E47"/>
    <mergeCell ref="O24:O25"/>
    <mergeCell ref="P24:P25"/>
    <mergeCell ref="Q24:Q25"/>
    <mergeCell ref="R24:R25"/>
    <mergeCell ref="S24:S25"/>
    <mergeCell ref="U2:X3"/>
    <mergeCell ref="Z2:AE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23" sqref="I23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17" t="s">
        <v>4</v>
      </c>
      <c r="B1" s="117" t="s">
        <v>118</v>
      </c>
      <c r="C1" s="117" t="s">
        <v>118</v>
      </c>
      <c r="D1" s="117" t="s">
        <v>5</v>
      </c>
      <c r="E1" s="117" t="s">
        <v>19</v>
      </c>
      <c r="F1" s="117" t="s">
        <v>24</v>
      </c>
      <c r="G1" s="115" t="s">
        <v>25</v>
      </c>
      <c r="H1" s="112" t="s">
        <v>26</v>
      </c>
      <c r="I1" s="4" t="s">
        <v>27</v>
      </c>
      <c r="J1" s="54" t="s">
        <v>27</v>
      </c>
    </row>
    <row r="2" spans="1:10">
      <c r="A2" s="118"/>
      <c r="B2" s="118"/>
      <c r="C2" s="118"/>
      <c r="D2" s="118"/>
      <c r="E2" s="118"/>
      <c r="F2" s="118"/>
      <c r="G2" s="115"/>
      <c r="H2" s="112"/>
      <c r="I2" s="5" t="s">
        <v>28</v>
      </c>
      <c r="J2" s="55" t="s">
        <v>23</v>
      </c>
    </row>
    <row r="3" spans="1:10">
      <c r="A3" s="66" t="s">
        <v>6</v>
      </c>
      <c r="B3" s="67">
        <v>-10</v>
      </c>
      <c r="C3" s="67">
        <v>-10</v>
      </c>
      <c r="D3" s="68">
        <v>-0.16666666666666666</v>
      </c>
      <c r="E3" s="41">
        <v>1</v>
      </c>
      <c r="F3" s="51">
        <v>8.6999999999999994E-2</v>
      </c>
      <c r="G3" s="51">
        <v>8.6999999999999994E-2</v>
      </c>
      <c r="H3" s="51">
        <v>8.6999999999999994E-2</v>
      </c>
      <c r="I3" s="52">
        <f>E3*(AVERAGE(F3:H3)*1.6007-0.0118)</f>
        <v>0.12746090000000002</v>
      </c>
      <c r="J3" s="52">
        <f>E3*(STDEV(F3:H3)*1.6007)</f>
        <v>2.7206696834821082E-17</v>
      </c>
    </row>
    <row r="4" spans="1:10">
      <c r="A4" s="69">
        <v>0</v>
      </c>
      <c r="B4" s="70">
        <v>10</v>
      </c>
      <c r="C4" s="70">
        <v>10</v>
      </c>
      <c r="D4" s="71">
        <v>0.16666666666666666</v>
      </c>
      <c r="E4" s="41">
        <v>1</v>
      </c>
      <c r="F4" s="51">
        <v>0.106</v>
      </c>
      <c r="G4" s="51">
        <v>0.106</v>
      </c>
      <c r="H4" s="51">
        <v>0.106</v>
      </c>
      <c r="I4" s="52">
        <f>E4*(AVERAGE(F4:H4)*1.6007-0.0118)</f>
        <v>0.15787419999999999</v>
      </c>
      <c r="J4" s="52">
        <f t="shared" ref="J4:J18" si="0">E4*(STDEV(F4:H4)*1.6007)</f>
        <v>0</v>
      </c>
    </row>
    <row r="5" spans="1:10">
      <c r="A5" s="69">
        <v>1</v>
      </c>
      <c r="B5" s="70">
        <v>110</v>
      </c>
      <c r="C5" s="70">
        <v>120</v>
      </c>
      <c r="D5" s="71">
        <v>2</v>
      </c>
      <c r="E5" s="41">
        <v>1</v>
      </c>
      <c r="F5" s="51">
        <v>0.151</v>
      </c>
      <c r="G5" s="51">
        <v>0.151</v>
      </c>
      <c r="H5" s="51">
        <v>0.151</v>
      </c>
      <c r="I5" s="52">
        <f t="shared" ref="I5:I19" si="1">E5*(AVERAGE(F5:H5)*1.6007-0.0118)</f>
        <v>0.22990569999999999</v>
      </c>
      <c r="J5" s="52">
        <f t="shared" si="0"/>
        <v>0</v>
      </c>
    </row>
    <row r="6" spans="1:10">
      <c r="A6" s="69">
        <v>2</v>
      </c>
      <c r="B6" s="70">
        <v>80</v>
      </c>
      <c r="C6" s="70">
        <v>200</v>
      </c>
      <c r="D6" s="71">
        <v>3.3333333333333335</v>
      </c>
      <c r="E6" s="41">
        <v>1</v>
      </c>
      <c r="F6" s="51">
        <v>0.19400000000000001</v>
      </c>
      <c r="G6" s="51">
        <v>0.19400000000000001</v>
      </c>
      <c r="H6" s="51">
        <v>0.19400000000000001</v>
      </c>
      <c r="I6" s="52">
        <f t="shared" si="1"/>
        <v>0.29873580000000005</v>
      </c>
      <c r="J6" s="52">
        <f t="shared" si="0"/>
        <v>5.4413393669642165E-17</v>
      </c>
    </row>
    <row r="7" spans="1:10">
      <c r="A7" s="69">
        <v>3</v>
      </c>
      <c r="B7" s="70">
        <v>80</v>
      </c>
      <c r="C7" s="70">
        <v>280</v>
      </c>
      <c r="D7" s="71">
        <v>4.666666666666667</v>
      </c>
      <c r="E7" s="41">
        <v>1</v>
      </c>
      <c r="F7" s="51">
        <v>0.222</v>
      </c>
      <c r="G7" s="51">
        <v>0.222</v>
      </c>
      <c r="H7" s="51">
        <v>0.222</v>
      </c>
      <c r="I7" s="52">
        <f t="shared" si="1"/>
        <v>0.34355540000000001</v>
      </c>
      <c r="J7" s="52">
        <f t="shared" si="0"/>
        <v>0</v>
      </c>
    </row>
    <row r="8" spans="1:10">
      <c r="A8" s="69">
        <v>4</v>
      </c>
      <c r="B8" s="70">
        <v>80</v>
      </c>
      <c r="C8" s="70">
        <v>360</v>
      </c>
      <c r="D8" s="71">
        <v>6</v>
      </c>
      <c r="E8" s="41">
        <v>1</v>
      </c>
      <c r="F8" s="51">
        <v>0.22900000000000001</v>
      </c>
      <c r="G8" s="51">
        <v>0.22900000000000001</v>
      </c>
      <c r="H8" s="51">
        <v>0.22900000000000001</v>
      </c>
      <c r="I8" s="52">
        <f t="shared" si="1"/>
        <v>0.35476030000000003</v>
      </c>
      <c r="J8" s="52">
        <f t="shared" si="0"/>
        <v>0</v>
      </c>
    </row>
    <row r="9" spans="1:10">
      <c r="A9" s="69">
        <v>5</v>
      </c>
      <c r="B9" s="70">
        <v>80</v>
      </c>
      <c r="C9" s="70">
        <v>440</v>
      </c>
      <c r="D9" s="71">
        <v>7.333333333333333</v>
      </c>
      <c r="E9" s="41">
        <v>1</v>
      </c>
      <c r="F9" s="51">
        <v>0.24</v>
      </c>
      <c r="G9" s="51">
        <v>0.24</v>
      </c>
      <c r="H9" s="51">
        <v>0.24</v>
      </c>
      <c r="I9" s="52">
        <f t="shared" si="1"/>
        <v>0.37236800000000003</v>
      </c>
      <c r="J9" s="52">
        <f t="shared" si="0"/>
        <v>0</v>
      </c>
    </row>
    <row r="10" spans="1:10">
      <c r="A10" s="69">
        <v>6</v>
      </c>
      <c r="B10" s="70">
        <v>80</v>
      </c>
      <c r="C10" s="70">
        <v>520</v>
      </c>
      <c r="D10" s="71">
        <v>8.6666666666666661</v>
      </c>
      <c r="E10" s="41">
        <v>1</v>
      </c>
      <c r="F10" s="51">
        <v>0.247</v>
      </c>
      <c r="G10" s="51">
        <v>0.247</v>
      </c>
      <c r="H10" s="51">
        <v>0.247</v>
      </c>
      <c r="I10" s="52">
        <f t="shared" si="1"/>
        <v>0.38357289999999999</v>
      </c>
      <c r="J10" s="52">
        <f t="shared" si="0"/>
        <v>0</v>
      </c>
    </row>
    <row r="11" spans="1:10">
      <c r="A11" s="69">
        <v>7</v>
      </c>
      <c r="B11" s="70">
        <v>80</v>
      </c>
      <c r="C11" s="70">
        <v>600</v>
      </c>
      <c r="D11" s="71">
        <v>10</v>
      </c>
      <c r="E11" s="41">
        <v>1</v>
      </c>
      <c r="F11" s="51">
        <v>0.27600000000000002</v>
      </c>
      <c r="G11" s="51">
        <v>0.27600000000000002</v>
      </c>
      <c r="H11" s="51">
        <v>0.27600000000000002</v>
      </c>
      <c r="I11" s="52">
        <f t="shared" si="1"/>
        <v>0.42999320000000008</v>
      </c>
      <c r="J11" s="52">
        <f t="shared" si="0"/>
        <v>0</v>
      </c>
    </row>
    <row r="12" spans="1:10">
      <c r="A12" s="69">
        <v>8</v>
      </c>
      <c r="B12" s="70">
        <v>80</v>
      </c>
      <c r="C12" s="70">
        <v>680</v>
      </c>
      <c r="D12" s="71">
        <v>11.333333333333334</v>
      </c>
      <c r="E12" s="41">
        <v>1</v>
      </c>
      <c r="F12" s="51">
        <v>0.33700000000000002</v>
      </c>
      <c r="G12" s="51">
        <v>0.33700000000000002</v>
      </c>
      <c r="H12" s="51">
        <v>0.33700000000000002</v>
      </c>
      <c r="I12" s="52">
        <f t="shared" si="1"/>
        <v>0.52763590000000005</v>
      </c>
      <c r="J12" s="52">
        <f t="shared" si="0"/>
        <v>0</v>
      </c>
    </row>
    <row r="13" spans="1:10">
      <c r="A13" s="69">
        <v>9</v>
      </c>
      <c r="B13" s="70">
        <v>80</v>
      </c>
      <c r="C13" s="70">
        <v>760</v>
      </c>
      <c r="D13" s="71">
        <v>12.666666666666666</v>
      </c>
      <c r="E13" s="41">
        <v>10</v>
      </c>
      <c r="F13" s="51">
        <v>5.2999999999999999E-2</v>
      </c>
      <c r="G13" s="51">
        <v>5.3999999999999999E-2</v>
      </c>
      <c r="H13" s="51">
        <v>5.1999999999999998E-2</v>
      </c>
      <c r="I13" s="52">
        <f t="shared" si="1"/>
        <v>0.73037099999999988</v>
      </c>
      <c r="J13" s="52">
        <f t="shared" si="0"/>
        <v>1.6007000000000014E-2</v>
      </c>
    </row>
    <row r="14" spans="1:10">
      <c r="A14" s="69">
        <v>10</v>
      </c>
      <c r="B14" s="70">
        <v>80</v>
      </c>
      <c r="C14" s="70">
        <v>840</v>
      </c>
      <c r="D14" s="71">
        <v>14</v>
      </c>
      <c r="E14" s="41">
        <v>10</v>
      </c>
      <c r="F14" s="51">
        <v>9.1999999999999998E-2</v>
      </c>
      <c r="G14" s="51">
        <v>8.7999999999999995E-2</v>
      </c>
      <c r="H14" s="51">
        <v>8.6999999999999994E-2</v>
      </c>
      <c r="I14" s="52">
        <f t="shared" si="1"/>
        <v>1.3066230000000001</v>
      </c>
      <c r="J14" s="52">
        <f t="shared" si="0"/>
        <v>4.2350541236210938E-2</v>
      </c>
    </row>
    <row r="15" spans="1:10">
      <c r="A15" s="69">
        <v>11</v>
      </c>
      <c r="B15" s="70">
        <v>80</v>
      </c>
      <c r="C15" s="70">
        <v>920</v>
      </c>
      <c r="D15" s="71">
        <v>15.333333333333334</v>
      </c>
      <c r="E15" s="41">
        <v>10</v>
      </c>
      <c r="F15" s="51">
        <v>0.11899999999999999</v>
      </c>
      <c r="G15" s="51">
        <v>0.129</v>
      </c>
      <c r="H15" s="51">
        <v>0.13600000000000001</v>
      </c>
      <c r="I15" s="52">
        <f t="shared" si="1"/>
        <v>1.9308959999999999</v>
      </c>
      <c r="J15" s="52">
        <f t="shared" si="0"/>
        <v>0.13676386795129783</v>
      </c>
    </row>
    <row r="16" spans="1:10">
      <c r="A16" s="69">
        <v>12</v>
      </c>
      <c r="B16" s="70">
        <v>80</v>
      </c>
      <c r="C16" s="70">
        <v>1000</v>
      </c>
      <c r="D16" s="71">
        <v>16.666666666666668</v>
      </c>
      <c r="E16" s="41">
        <v>10</v>
      </c>
      <c r="F16" s="51">
        <v>0.14099999999999999</v>
      </c>
      <c r="G16" s="51">
        <v>0.14399999999999999</v>
      </c>
      <c r="H16" s="51">
        <v>0.14499999999999999</v>
      </c>
      <c r="I16" s="52">
        <f t="shared" si="1"/>
        <v>2.1763366666666664</v>
      </c>
      <c r="J16" s="52">
        <f t="shared" si="0"/>
        <v>3.3321227653454417E-2</v>
      </c>
    </row>
    <row r="17" spans="1:10">
      <c r="A17" s="69">
        <v>13</v>
      </c>
      <c r="B17" s="70">
        <v>80</v>
      </c>
      <c r="C17" s="70">
        <v>1080</v>
      </c>
      <c r="D17" s="71">
        <v>18</v>
      </c>
      <c r="E17" s="41">
        <v>10</v>
      </c>
      <c r="F17" s="51">
        <v>0.16300000000000001</v>
      </c>
      <c r="G17" s="51">
        <v>0.17</v>
      </c>
      <c r="H17" s="51">
        <v>0.18</v>
      </c>
      <c r="I17" s="52">
        <f t="shared" si="1"/>
        <v>2.6191970000000002</v>
      </c>
      <c r="J17" s="52">
        <f t="shared" si="0"/>
        <v>0.13676386795129761</v>
      </c>
    </row>
    <row r="18" spans="1:10">
      <c r="A18" s="69">
        <v>14</v>
      </c>
      <c r="B18" s="70">
        <v>80</v>
      </c>
      <c r="C18" s="70">
        <v>1160</v>
      </c>
      <c r="D18" s="71">
        <v>19.333333333333332</v>
      </c>
      <c r="E18" s="41">
        <v>10</v>
      </c>
      <c r="F18" s="51">
        <v>0.191</v>
      </c>
      <c r="G18" s="51">
        <v>0.19</v>
      </c>
      <c r="H18" s="51">
        <v>0.19700000000000001</v>
      </c>
      <c r="I18" s="52">
        <f t="shared" si="1"/>
        <v>2.9660153333333339</v>
      </c>
      <c r="J18" s="52">
        <f t="shared" si="0"/>
        <v>6.0601523927483372E-2</v>
      </c>
    </row>
    <row r="19" spans="1:10">
      <c r="A19" s="69">
        <v>15</v>
      </c>
      <c r="B19" s="70">
        <v>280</v>
      </c>
      <c r="C19" s="70">
        <v>1440</v>
      </c>
      <c r="D19" s="71">
        <v>24</v>
      </c>
      <c r="E19" s="41">
        <v>10</v>
      </c>
      <c r="F19" s="51">
        <v>0.2</v>
      </c>
      <c r="G19" s="51">
        <v>0.193</v>
      </c>
      <c r="H19" s="51">
        <v>0.189</v>
      </c>
      <c r="I19" s="52">
        <f t="shared" si="1"/>
        <v>2.9873580000000004</v>
      </c>
      <c r="J19" s="52">
        <f>E19*(STDEV(F19:H19)*1.6007)</f>
        <v>8.9123204155820229E-2</v>
      </c>
    </row>
    <row r="20" spans="1:10">
      <c r="A20" s="69">
        <v>16</v>
      </c>
      <c r="B20" s="70">
        <v>360</v>
      </c>
      <c r="C20" s="70">
        <v>1800</v>
      </c>
      <c r="D20" s="71">
        <v>30</v>
      </c>
      <c r="E20" s="41">
        <v>10</v>
      </c>
      <c r="F20" s="51">
        <v>0.17199999999999999</v>
      </c>
      <c r="G20" s="51">
        <v>0.16900000000000001</v>
      </c>
      <c r="H20" s="51">
        <v>0.189</v>
      </c>
      <c r="I20" s="52">
        <f t="shared" ref="I20:I21" si="2">E20*(AVERAGE(F20:H20)*1.6007-0.0118)</f>
        <v>2.7099033333333331</v>
      </c>
      <c r="J20" s="52">
        <f t="shared" ref="J20:J21" si="3">E20*(STDEV(F20:H20)*1.6007)</f>
        <v>0.17264819055041769</v>
      </c>
    </row>
    <row r="21" spans="1:10">
      <c r="A21" s="69">
        <v>17</v>
      </c>
      <c r="B21" s="70">
        <v>1080</v>
      </c>
      <c r="C21" s="70">
        <v>2880</v>
      </c>
      <c r="D21" s="71">
        <v>48</v>
      </c>
      <c r="E21" s="41">
        <v>10</v>
      </c>
      <c r="F21" s="51">
        <v>0.123</v>
      </c>
      <c r="G21" s="51">
        <v>0.123</v>
      </c>
      <c r="H21" s="51">
        <v>0.125</v>
      </c>
      <c r="I21" s="52">
        <f t="shared" si="2"/>
        <v>1.8615323333333331</v>
      </c>
      <c r="J21" s="52">
        <f t="shared" si="3"/>
        <v>1.8483291517836696E-2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3" sqref="D3:D21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17" t="s">
        <v>4</v>
      </c>
      <c r="B1" s="117" t="s">
        <v>118</v>
      </c>
      <c r="C1" s="117" t="s">
        <v>118</v>
      </c>
      <c r="D1" s="117" t="s">
        <v>5</v>
      </c>
      <c r="E1" s="4" t="s">
        <v>29</v>
      </c>
      <c r="F1" s="4" t="s">
        <v>2</v>
      </c>
      <c r="G1" s="4" t="s">
        <v>32</v>
      </c>
    </row>
    <row r="2" spans="1:7">
      <c r="A2" s="118"/>
      <c r="B2" s="118"/>
      <c r="C2" s="118"/>
      <c r="D2" s="118"/>
      <c r="E2" s="5" t="s">
        <v>30</v>
      </c>
      <c r="F2" s="5" t="s">
        <v>31</v>
      </c>
      <c r="G2" s="5" t="s">
        <v>33</v>
      </c>
    </row>
    <row r="3" spans="1:7">
      <c r="A3" s="66" t="s">
        <v>6</v>
      </c>
      <c r="B3" s="67">
        <v>-10</v>
      </c>
      <c r="C3" s="67">
        <v>-10</v>
      </c>
      <c r="D3" s="68">
        <v>-0.16666666666666666</v>
      </c>
      <c r="E3" s="1"/>
      <c r="F3" s="1"/>
      <c r="G3" s="1" t="e">
        <f>(F3-$C$23)/E3*1000*Calculation!I4/Calculation!K3</f>
        <v>#DIV/0!</v>
      </c>
    </row>
    <row r="4" spans="1:7">
      <c r="A4" s="69">
        <v>0</v>
      </c>
      <c r="B4" s="70">
        <v>10</v>
      </c>
      <c r="C4" s="70">
        <v>10</v>
      </c>
      <c r="D4" s="71">
        <v>0.16666666666666666</v>
      </c>
      <c r="E4" s="1"/>
      <c r="F4" s="1"/>
      <c r="G4" s="1" t="e">
        <f>(F4-$C$23)/E4*1000*Calculation!I5/Calculation!K4</f>
        <v>#DIV/0!</v>
      </c>
    </row>
    <row r="5" spans="1:7">
      <c r="A5" s="69">
        <v>1</v>
      </c>
      <c r="B5" s="70">
        <v>110</v>
      </c>
      <c r="C5" s="70">
        <v>120</v>
      </c>
      <c r="D5" s="71">
        <v>2</v>
      </c>
      <c r="E5" s="1"/>
      <c r="F5" s="1"/>
      <c r="G5" s="1" t="e">
        <f>(F5-$C$23)/E5*1000*Calculation!I6/Calculation!K5</f>
        <v>#DIV/0!</v>
      </c>
    </row>
    <row r="6" spans="1:7">
      <c r="A6" s="69">
        <v>2</v>
      </c>
      <c r="B6" s="70">
        <v>80</v>
      </c>
      <c r="C6" s="70">
        <v>200</v>
      </c>
      <c r="D6" s="71">
        <v>3.3333333333333335</v>
      </c>
      <c r="E6" s="1"/>
      <c r="F6" s="1"/>
      <c r="G6" s="1" t="e">
        <f>(F6-$C$23)/E6*1000*Calculation!I7/Calculation!K6</f>
        <v>#DIV/0!</v>
      </c>
    </row>
    <row r="7" spans="1:7">
      <c r="A7" s="69">
        <v>3</v>
      </c>
      <c r="B7" s="70">
        <v>80</v>
      </c>
      <c r="C7" s="70">
        <v>280</v>
      </c>
      <c r="D7" s="71">
        <v>4.666666666666667</v>
      </c>
      <c r="E7" s="1"/>
      <c r="F7" s="1"/>
      <c r="G7" s="1" t="e">
        <f>(F7-$C$23)/E7*1000*Calculation!I8/Calculation!K7</f>
        <v>#DIV/0!</v>
      </c>
    </row>
    <row r="8" spans="1:7">
      <c r="A8" s="69">
        <v>4</v>
      </c>
      <c r="B8" s="70">
        <v>80</v>
      </c>
      <c r="C8" s="70">
        <v>360</v>
      </c>
      <c r="D8" s="71">
        <v>6</v>
      </c>
      <c r="E8" s="1"/>
      <c r="F8" s="1"/>
      <c r="G8" s="1" t="e">
        <f>(F8-$C$23)/E8*1000*Calculation!I9/Calculation!K8</f>
        <v>#DIV/0!</v>
      </c>
    </row>
    <row r="9" spans="1:7">
      <c r="A9" s="69">
        <v>5</v>
      </c>
      <c r="B9" s="70">
        <v>80</v>
      </c>
      <c r="C9" s="70">
        <v>440</v>
      </c>
      <c r="D9" s="71">
        <v>7.333333333333333</v>
      </c>
      <c r="E9" s="1"/>
      <c r="F9" s="1"/>
      <c r="G9" s="1" t="e">
        <f>(F9-$C$23)/E9*1000*Calculation!I10/Calculation!K9</f>
        <v>#DIV/0!</v>
      </c>
    </row>
    <row r="10" spans="1:7">
      <c r="A10" s="69">
        <v>6</v>
      </c>
      <c r="B10" s="70">
        <v>80</v>
      </c>
      <c r="C10" s="70">
        <v>520</v>
      </c>
      <c r="D10" s="71">
        <v>8.6666666666666661</v>
      </c>
      <c r="E10" s="1"/>
      <c r="F10" s="1"/>
      <c r="G10" s="1" t="e">
        <f>(F10-$C$23)/E10*1000*Calculation!I11/Calculation!K10</f>
        <v>#DIV/0!</v>
      </c>
    </row>
    <row r="11" spans="1:7">
      <c r="A11" s="69">
        <v>7</v>
      </c>
      <c r="B11" s="70">
        <v>80</v>
      </c>
      <c r="C11" s="70">
        <v>600</v>
      </c>
      <c r="D11" s="71">
        <v>10</v>
      </c>
      <c r="E11" s="1"/>
      <c r="F11" s="1"/>
      <c r="G11" s="1" t="e">
        <f>(F11-$C$23)/E11*1000*Calculation!I12/Calculation!K11</f>
        <v>#DIV/0!</v>
      </c>
    </row>
    <row r="12" spans="1:7">
      <c r="A12" s="69">
        <v>8</v>
      </c>
      <c r="B12" s="70">
        <v>80</v>
      </c>
      <c r="C12" s="70">
        <v>680</v>
      </c>
      <c r="D12" s="71">
        <v>11.333333333333334</v>
      </c>
      <c r="E12" s="1"/>
      <c r="F12" s="1"/>
      <c r="G12" s="1" t="e">
        <f>(F12-$C$23)/E12*1000*Calculation!I13/Calculation!K12</f>
        <v>#DIV/0!</v>
      </c>
    </row>
    <row r="13" spans="1:7">
      <c r="A13" s="69">
        <v>9</v>
      </c>
      <c r="B13" s="70">
        <v>80</v>
      </c>
      <c r="C13" s="70">
        <v>760</v>
      </c>
      <c r="D13" s="71">
        <v>12.666666666666666</v>
      </c>
      <c r="E13" s="38"/>
      <c r="F13" s="38"/>
      <c r="G13" s="38" t="e">
        <f>(F13-$C$23)/E13*1000*Calculation!I14/Calculation!K13</f>
        <v>#DIV/0!</v>
      </c>
    </row>
    <row r="14" spans="1:7">
      <c r="A14" s="69">
        <v>10</v>
      </c>
      <c r="B14" s="70">
        <v>80</v>
      </c>
      <c r="C14" s="70">
        <v>840</v>
      </c>
      <c r="D14" s="71">
        <v>14</v>
      </c>
      <c r="E14" s="38"/>
      <c r="F14" s="38"/>
      <c r="G14" s="38" t="e">
        <f>(F14-$C$23)/E14*1000*Calculation!I15/Calculation!K14</f>
        <v>#DIV/0!</v>
      </c>
    </row>
    <row r="15" spans="1:7">
      <c r="A15" s="69">
        <v>11</v>
      </c>
      <c r="B15" s="70">
        <v>80</v>
      </c>
      <c r="C15" s="70">
        <v>920</v>
      </c>
      <c r="D15" s="71">
        <v>15.333333333333334</v>
      </c>
      <c r="E15" s="38"/>
      <c r="F15" s="38"/>
      <c r="G15" s="38" t="e">
        <f>(F15-$C$23)/E15*1000*Calculation!I16/Calculation!K15</f>
        <v>#DIV/0!</v>
      </c>
    </row>
    <row r="16" spans="1:7">
      <c r="A16" s="69">
        <v>12</v>
      </c>
      <c r="B16" s="70">
        <v>80</v>
      </c>
      <c r="C16" s="70">
        <v>1000</v>
      </c>
      <c r="D16" s="71">
        <v>16.666666666666668</v>
      </c>
      <c r="E16" s="38"/>
      <c r="F16" s="38"/>
      <c r="G16" s="38" t="e">
        <f>(F16-$C$23)/E16*1000*Calculation!I17/Calculation!K16</f>
        <v>#DIV/0!</v>
      </c>
    </row>
    <row r="17" spans="1:7" ht="15" customHeight="1">
      <c r="A17" s="69">
        <v>13</v>
      </c>
      <c r="B17" s="70">
        <v>80</v>
      </c>
      <c r="C17" s="70">
        <v>1080</v>
      </c>
      <c r="D17" s="71">
        <v>18</v>
      </c>
      <c r="E17" s="38"/>
      <c r="F17" s="38"/>
      <c r="G17" s="38" t="e">
        <f>(F17-$C$23)/E17*1000*Calculation!I18/Calculation!K17</f>
        <v>#DIV/0!</v>
      </c>
    </row>
    <row r="18" spans="1:7">
      <c r="A18" s="69">
        <v>14</v>
      </c>
      <c r="B18" s="70">
        <v>80</v>
      </c>
      <c r="C18" s="70">
        <v>1160</v>
      </c>
      <c r="D18" s="71">
        <v>19.333333333333332</v>
      </c>
      <c r="E18" s="38"/>
      <c r="F18" s="38"/>
      <c r="G18" s="38" t="e">
        <f>(F18-$C$23)/E18*1000*Calculation!I19/Calculation!K18</f>
        <v>#DIV/0!</v>
      </c>
    </row>
    <row r="19" spans="1:7">
      <c r="A19" s="69">
        <v>15</v>
      </c>
      <c r="B19" s="70">
        <v>280</v>
      </c>
      <c r="C19" s="70">
        <v>1440</v>
      </c>
      <c r="D19" s="71">
        <v>24</v>
      </c>
      <c r="E19" s="41"/>
      <c r="F19" s="41"/>
      <c r="G19" s="41" t="e">
        <f>(F19-$C$23)/E19*1000*Calculation!I22/Calculation!K19</f>
        <v>#DIV/0!</v>
      </c>
    </row>
    <row r="20" spans="1:7">
      <c r="A20" s="69">
        <v>16</v>
      </c>
      <c r="B20" s="70">
        <v>360</v>
      </c>
      <c r="C20" s="70">
        <v>1800</v>
      </c>
      <c r="D20" s="71">
        <v>30</v>
      </c>
      <c r="E20" s="41"/>
      <c r="F20" s="41"/>
      <c r="G20" s="41" t="e">
        <f>(F20-$C$23)/E20*1000*Calculation!I23/Calculation!K20</f>
        <v>#DIV/0!</v>
      </c>
    </row>
    <row r="21" spans="1:7">
      <c r="A21" s="69">
        <v>17</v>
      </c>
      <c r="B21" s="70">
        <v>1080</v>
      </c>
      <c r="C21" s="70">
        <v>2880</v>
      </c>
      <c r="D21" s="71">
        <v>48</v>
      </c>
      <c r="E21" s="41"/>
      <c r="F21" s="41"/>
      <c r="G21" s="41" t="e">
        <f>(F21-$C$23)/E21*1000*Calculation!I24/Calculation!K21</f>
        <v>#DIV/0!</v>
      </c>
    </row>
    <row r="23" spans="1:7">
      <c r="A23" s="135" t="s">
        <v>3</v>
      </c>
      <c r="B23" s="136"/>
      <c r="C23" s="1"/>
    </row>
  </sheetData>
  <mergeCells count="5">
    <mergeCell ref="A23:B23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4" t="s">
        <v>50</v>
      </c>
      <c r="B1" s="12">
        <v>70.2</v>
      </c>
      <c r="C1" s="27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15" t="s">
        <v>5</v>
      </c>
      <c r="B3" s="115" t="s">
        <v>36</v>
      </c>
      <c r="C3" s="115"/>
      <c r="D3" s="115" t="s">
        <v>52</v>
      </c>
      <c r="E3" s="115"/>
      <c r="F3" s="115"/>
      <c r="G3" s="24" t="s">
        <v>53</v>
      </c>
    </row>
    <row r="4" spans="1:10">
      <c r="A4" s="115"/>
      <c r="B4" s="24" t="s">
        <v>54</v>
      </c>
      <c r="C4" s="24" t="s">
        <v>55</v>
      </c>
      <c r="D4" s="24" t="s">
        <v>56</v>
      </c>
      <c r="E4" s="24" t="s">
        <v>57</v>
      </c>
      <c r="F4" s="24" t="s">
        <v>58</v>
      </c>
      <c r="G4" s="24" t="s">
        <v>59</v>
      </c>
    </row>
    <row r="5" spans="1:10">
      <c r="A5" s="12">
        <v>0</v>
      </c>
      <c r="B5" s="12">
        <v>0</v>
      </c>
      <c r="C5" s="12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  <c r="I5" s="83">
        <v>-0.16666666666666666</v>
      </c>
      <c r="J5" t="s">
        <v>157</v>
      </c>
    </row>
    <row r="6" spans="1:10">
      <c r="A6" s="12">
        <v>0.5</v>
      </c>
      <c r="B6" s="12">
        <v>0</v>
      </c>
      <c r="C6" s="12">
        <f t="shared" ref="C6:C69" si="0">B6/1000</f>
        <v>0</v>
      </c>
      <c r="D6" s="12">
        <f>C6/1000*$B$1</f>
        <v>0</v>
      </c>
      <c r="E6" s="12">
        <f>D6/22.4</f>
        <v>0</v>
      </c>
      <c r="F6" s="12">
        <f>E6/Calculation!K$4*1000</f>
        <v>0</v>
      </c>
      <c r="G6" s="12">
        <f>G5+(F6+F5)/2*30</f>
        <v>0</v>
      </c>
      <c r="I6" s="83">
        <v>0.16666666666666666</v>
      </c>
      <c r="J6" t="s">
        <v>158</v>
      </c>
    </row>
    <row r="7" spans="1:10">
      <c r="A7" s="12">
        <v>1</v>
      </c>
      <c r="B7" s="12">
        <v>0</v>
      </c>
      <c r="C7" s="12">
        <f t="shared" si="0"/>
        <v>0</v>
      </c>
      <c r="D7" s="12">
        <f t="shared" ref="D7:D69" si="1">C7/1000*$B$1</f>
        <v>0</v>
      </c>
      <c r="E7" s="12">
        <f t="shared" ref="E7:E69" si="2">D7/22.4</f>
        <v>0</v>
      </c>
      <c r="F7" s="12">
        <f>E7/Calculation!K$4*1000</f>
        <v>0</v>
      </c>
      <c r="G7" s="12">
        <f t="shared" ref="G7:G70" si="3">G6+(F7+F6)/2*30</f>
        <v>0</v>
      </c>
      <c r="I7" s="83">
        <v>2</v>
      </c>
      <c r="J7" t="s">
        <v>159</v>
      </c>
    </row>
    <row r="8" spans="1:10">
      <c r="A8" s="12">
        <v>1.5</v>
      </c>
      <c r="B8" s="12">
        <v>0</v>
      </c>
      <c r="C8" s="12">
        <f t="shared" si="0"/>
        <v>0</v>
      </c>
      <c r="D8" s="12">
        <f t="shared" si="1"/>
        <v>0</v>
      </c>
      <c r="E8" s="12">
        <f t="shared" si="2"/>
        <v>0</v>
      </c>
      <c r="F8" s="12">
        <f>E8/Calculation!K$4*1000</f>
        <v>0</v>
      </c>
      <c r="G8" s="12">
        <f t="shared" si="3"/>
        <v>0</v>
      </c>
      <c r="I8" s="83">
        <v>3.3333333333333335</v>
      </c>
      <c r="J8" t="s">
        <v>160</v>
      </c>
    </row>
    <row r="9" spans="1:10">
      <c r="A9" s="12">
        <v>2</v>
      </c>
      <c r="B9" s="12">
        <v>0</v>
      </c>
      <c r="C9" s="12">
        <f t="shared" si="0"/>
        <v>0</v>
      </c>
      <c r="D9" s="12">
        <f t="shared" si="1"/>
        <v>0</v>
      </c>
      <c r="E9" s="12">
        <f t="shared" si="2"/>
        <v>0</v>
      </c>
      <c r="F9" s="12">
        <f>E9/Calculation!K$5*1000</f>
        <v>0</v>
      </c>
      <c r="G9" s="12">
        <f t="shared" si="3"/>
        <v>0</v>
      </c>
      <c r="I9" s="83">
        <v>4.666666666666667</v>
      </c>
      <c r="J9" t="s">
        <v>161</v>
      </c>
    </row>
    <row r="10" spans="1:10">
      <c r="A10" s="12">
        <v>2.5</v>
      </c>
      <c r="B10" s="12">
        <v>0</v>
      </c>
      <c r="C10" s="12">
        <f t="shared" si="0"/>
        <v>0</v>
      </c>
      <c r="D10" s="12">
        <f t="shared" si="1"/>
        <v>0</v>
      </c>
      <c r="E10" s="12">
        <f t="shared" si="2"/>
        <v>0</v>
      </c>
      <c r="F10" s="12">
        <f>E10/Calculation!K$5*1000</f>
        <v>0</v>
      </c>
      <c r="G10" s="12">
        <f t="shared" si="3"/>
        <v>0</v>
      </c>
      <c r="I10" s="83">
        <v>6</v>
      </c>
      <c r="J10" t="s">
        <v>162</v>
      </c>
    </row>
    <row r="11" spans="1:10">
      <c r="A11" s="12">
        <v>3</v>
      </c>
      <c r="B11" s="12">
        <v>0</v>
      </c>
      <c r="C11" s="12">
        <f t="shared" si="0"/>
        <v>0</v>
      </c>
      <c r="D11" s="12">
        <f t="shared" si="1"/>
        <v>0</v>
      </c>
      <c r="E11" s="12">
        <f t="shared" si="2"/>
        <v>0</v>
      </c>
      <c r="F11" s="12">
        <f>E11/Calculation!K$5*1000</f>
        <v>0</v>
      </c>
      <c r="G11" s="12">
        <f t="shared" si="3"/>
        <v>0</v>
      </c>
      <c r="I11" s="83">
        <v>7.333333333333333</v>
      </c>
      <c r="J11" t="s">
        <v>163</v>
      </c>
    </row>
    <row r="12" spans="1:10">
      <c r="A12" s="12">
        <v>3.5</v>
      </c>
      <c r="B12" s="12">
        <v>0</v>
      </c>
      <c r="C12" s="12">
        <f t="shared" si="0"/>
        <v>0</v>
      </c>
      <c r="D12" s="12">
        <f t="shared" si="1"/>
        <v>0</v>
      </c>
      <c r="E12" s="12">
        <f t="shared" si="2"/>
        <v>0</v>
      </c>
      <c r="F12" s="12">
        <f>E12/Calculation!K$6*1000</f>
        <v>0</v>
      </c>
      <c r="G12" s="12">
        <f t="shared" si="3"/>
        <v>0</v>
      </c>
      <c r="I12" s="83">
        <v>8.6666666666666661</v>
      </c>
      <c r="J12" t="s">
        <v>164</v>
      </c>
    </row>
    <row r="13" spans="1:10">
      <c r="A13" s="12">
        <v>4</v>
      </c>
      <c r="B13" s="12">
        <v>0</v>
      </c>
      <c r="C13" s="12">
        <f t="shared" si="0"/>
        <v>0</v>
      </c>
      <c r="D13" s="12">
        <f t="shared" si="1"/>
        <v>0</v>
      </c>
      <c r="E13" s="12">
        <f t="shared" si="2"/>
        <v>0</v>
      </c>
      <c r="F13" s="12">
        <f>E13/Calculation!K$6*1000</f>
        <v>0</v>
      </c>
      <c r="G13" s="12">
        <f t="shared" si="3"/>
        <v>0</v>
      </c>
      <c r="I13" s="83">
        <v>10</v>
      </c>
      <c r="J13" t="s">
        <v>165</v>
      </c>
    </row>
    <row r="14" spans="1:10">
      <c r="A14" s="12">
        <v>4.5</v>
      </c>
      <c r="B14" s="12">
        <v>0</v>
      </c>
      <c r="C14" s="12">
        <f t="shared" si="0"/>
        <v>0</v>
      </c>
      <c r="D14" s="12">
        <f t="shared" si="1"/>
        <v>0</v>
      </c>
      <c r="E14" s="12">
        <f t="shared" si="2"/>
        <v>0</v>
      </c>
      <c r="F14" s="12">
        <f>E14/Calculation!K$6*1000</f>
        <v>0</v>
      </c>
      <c r="G14" s="12">
        <f t="shared" si="3"/>
        <v>0</v>
      </c>
      <c r="I14" s="83">
        <v>11.333333333333334</v>
      </c>
      <c r="J14" t="s">
        <v>166</v>
      </c>
    </row>
    <row r="15" spans="1:10">
      <c r="A15" s="12">
        <v>5</v>
      </c>
      <c r="B15" s="12">
        <v>0</v>
      </c>
      <c r="C15" s="12">
        <f t="shared" si="0"/>
        <v>0</v>
      </c>
      <c r="D15" s="12">
        <f t="shared" si="1"/>
        <v>0</v>
      </c>
      <c r="E15" s="12">
        <f t="shared" si="2"/>
        <v>0</v>
      </c>
      <c r="F15" s="12">
        <f>E15/Calculation!K$7*1000</f>
        <v>0</v>
      </c>
      <c r="G15" s="12">
        <f t="shared" si="3"/>
        <v>0</v>
      </c>
      <c r="I15" s="83">
        <v>12.666666666666666</v>
      </c>
      <c r="J15" t="s">
        <v>167</v>
      </c>
    </row>
    <row r="16" spans="1:10">
      <c r="A16" s="12">
        <v>5.5</v>
      </c>
      <c r="B16" s="12">
        <v>0</v>
      </c>
      <c r="C16" s="12">
        <f t="shared" si="0"/>
        <v>0</v>
      </c>
      <c r="D16" s="12">
        <f t="shared" si="1"/>
        <v>0</v>
      </c>
      <c r="E16" s="12">
        <f t="shared" si="2"/>
        <v>0</v>
      </c>
      <c r="F16" s="12">
        <f>E16/Calculation!K$7*1000</f>
        <v>0</v>
      </c>
      <c r="G16" s="12">
        <f t="shared" si="3"/>
        <v>0</v>
      </c>
      <c r="I16" s="83">
        <v>14</v>
      </c>
      <c r="J16" t="s">
        <v>168</v>
      </c>
    </row>
    <row r="17" spans="1:10">
      <c r="A17" s="12">
        <v>6</v>
      </c>
      <c r="B17" s="12">
        <v>0</v>
      </c>
      <c r="C17" s="12">
        <f t="shared" si="0"/>
        <v>0</v>
      </c>
      <c r="D17" s="12">
        <f t="shared" si="1"/>
        <v>0</v>
      </c>
      <c r="E17" s="12">
        <f t="shared" si="2"/>
        <v>0</v>
      </c>
      <c r="F17" s="12">
        <f>E17/Calculation!K$7*1000</f>
        <v>0</v>
      </c>
      <c r="G17" s="12">
        <f t="shared" si="3"/>
        <v>0</v>
      </c>
      <c r="I17" s="83">
        <v>15.333333333333334</v>
      </c>
      <c r="J17" t="s">
        <v>169</v>
      </c>
    </row>
    <row r="18" spans="1:10">
      <c r="A18" s="12">
        <v>6.5</v>
      </c>
      <c r="B18" s="12">
        <v>0</v>
      </c>
      <c r="C18" s="12">
        <f t="shared" si="0"/>
        <v>0</v>
      </c>
      <c r="D18" s="12">
        <f t="shared" si="1"/>
        <v>0</v>
      </c>
      <c r="E18" s="12">
        <f t="shared" si="2"/>
        <v>0</v>
      </c>
      <c r="F18" s="12">
        <f>E18/Calculation!K$8*1000</f>
        <v>0</v>
      </c>
      <c r="G18" s="12">
        <f t="shared" si="3"/>
        <v>0</v>
      </c>
      <c r="I18" s="83">
        <v>16.666666666666668</v>
      </c>
      <c r="J18" t="s">
        <v>170</v>
      </c>
    </row>
    <row r="19" spans="1:10">
      <c r="A19" s="12">
        <v>7</v>
      </c>
      <c r="B19" s="12">
        <v>0</v>
      </c>
      <c r="C19" s="12">
        <f t="shared" si="0"/>
        <v>0</v>
      </c>
      <c r="D19" s="12">
        <f t="shared" si="1"/>
        <v>0</v>
      </c>
      <c r="E19" s="12">
        <f t="shared" si="2"/>
        <v>0</v>
      </c>
      <c r="F19" s="12">
        <f>E19/Calculation!K$8*1000</f>
        <v>0</v>
      </c>
      <c r="G19" s="12">
        <f t="shared" si="3"/>
        <v>0</v>
      </c>
      <c r="I19" s="83">
        <v>18</v>
      </c>
      <c r="J19" t="s">
        <v>171</v>
      </c>
    </row>
    <row r="20" spans="1:10">
      <c r="A20" s="12">
        <v>7.5</v>
      </c>
      <c r="B20" s="12">
        <v>0</v>
      </c>
      <c r="C20" s="12">
        <f t="shared" si="0"/>
        <v>0</v>
      </c>
      <c r="D20" s="12">
        <f t="shared" si="1"/>
        <v>0</v>
      </c>
      <c r="E20" s="12">
        <f t="shared" si="2"/>
        <v>0</v>
      </c>
      <c r="F20" s="12">
        <f>E20/Calculation!K$9*1000</f>
        <v>0</v>
      </c>
      <c r="G20" s="12">
        <f t="shared" si="3"/>
        <v>0</v>
      </c>
      <c r="I20" s="83">
        <v>19.333333333333332</v>
      </c>
      <c r="J20" t="s">
        <v>172</v>
      </c>
    </row>
    <row r="21" spans="1:10">
      <c r="A21" s="12">
        <v>8</v>
      </c>
      <c r="B21" s="12">
        <v>0</v>
      </c>
      <c r="C21" s="12">
        <f t="shared" si="0"/>
        <v>0</v>
      </c>
      <c r="D21" s="12">
        <f t="shared" si="1"/>
        <v>0</v>
      </c>
      <c r="E21" s="12">
        <f t="shared" si="2"/>
        <v>0</v>
      </c>
      <c r="F21" s="12">
        <f>E21/Calculation!K$9*1000</f>
        <v>0</v>
      </c>
      <c r="G21" s="12">
        <f t="shared" si="3"/>
        <v>0</v>
      </c>
      <c r="I21" s="83">
        <v>24</v>
      </c>
      <c r="J21" t="s">
        <v>173</v>
      </c>
    </row>
    <row r="22" spans="1:10">
      <c r="A22" s="12">
        <v>8.5</v>
      </c>
      <c r="B22" s="12">
        <v>0</v>
      </c>
      <c r="C22" s="12">
        <f t="shared" si="0"/>
        <v>0</v>
      </c>
      <c r="D22" s="12">
        <f t="shared" si="1"/>
        <v>0</v>
      </c>
      <c r="E22" s="12">
        <f t="shared" si="2"/>
        <v>0</v>
      </c>
      <c r="F22" s="12">
        <f>E22/Calculation!K$9*1000</f>
        <v>0</v>
      </c>
      <c r="G22" s="12">
        <f t="shared" si="3"/>
        <v>0</v>
      </c>
      <c r="I22" s="83">
        <v>30</v>
      </c>
      <c r="J22" t="s">
        <v>174</v>
      </c>
    </row>
    <row r="23" spans="1:10">
      <c r="A23" s="12">
        <v>9</v>
      </c>
      <c r="B23" s="12">
        <v>0</v>
      </c>
      <c r="C23" s="12">
        <f t="shared" si="0"/>
        <v>0</v>
      </c>
      <c r="D23" s="12">
        <f t="shared" si="1"/>
        <v>0</v>
      </c>
      <c r="E23" s="12">
        <f t="shared" si="2"/>
        <v>0</v>
      </c>
      <c r="F23" s="12">
        <f>E23/Calculation!K$10*1000</f>
        <v>0</v>
      </c>
      <c r="G23" s="12">
        <f t="shared" si="3"/>
        <v>0</v>
      </c>
      <c r="I23" s="83">
        <v>48</v>
      </c>
      <c r="J23" t="s">
        <v>175</v>
      </c>
    </row>
    <row r="24" spans="1:10">
      <c r="A24" s="12">
        <v>9.5</v>
      </c>
      <c r="B24" s="12">
        <v>0</v>
      </c>
      <c r="C24" s="12">
        <f t="shared" si="0"/>
        <v>0</v>
      </c>
      <c r="D24" s="12">
        <f t="shared" si="1"/>
        <v>0</v>
      </c>
      <c r="E24" s="12">
        <f t="shared" si="2"/>
        <v>0</v>
      </c>
      <c r="F24" s="12">
        <f>E24/Calculation!K$10*1000</f>
        <v>0</v>
      </c>
      <c r="G24" s="12">
        <f t="shared" si="3"/>
        <v>0</v>
      </c>
    </row>
    <row r="25" spans="1:10">
      <c r="A25" s="12">
        <v>10</v>
      </c>
      <c r="B25" s="12">
        <v>0</v>
      </c>
      <c r="C25" s="12">
        <f t="shared" si="0"/>
        <v>0</v>
      </c>
      <c r="D25" s="12">
        <f t="shared" si="1"/>
        <v>0</v>
      </c>
      <c r="E25" s="12">
        <f t="shared" si="2"/>
        <v>0</v>
      </c>
      <c r="F25" s="12">
        <f>E25/Calculation!K$11*1000</f>
        <v>0</v>
      </c>
      <c r="G25" s="12">
        <f t="shared" si="3"/>
        <v>0</v>
      </c>
    </row>
    <row r="26" spans="1:10">
      <c r="A26" s="12">
        <v>10.5</v>
      </c>
      <c r="B26" s="12">
        <v>0</v>
      </c>
      <c r="C26" s="12">
        <f t="shared" si="0"/>
        <v>0</v>
      </c>
      <c r="D26" s="12">
        <f t="shared" si="1"/>
        <v>0</v>
      </c>
      <c r="E26" s="12">
        <f t="shared" si="2"/>
        <v>0</v>
      </c>
      <c r="F26" s="12">
        <f>E26/Calculation!K$11*1000</f>
        <v>0</v>
      </c>
      <c r="G26" s="12">
        <f t="shared" si="3"/>
        <v>0</v>
      </c>
    </row>
    <row r="27" spans="1:10">
      <c r="A27" s="12">
        <v>11</v>
      </c>
      <c r="B27" s="12">
        <v>0</v>
      </c>
      <c r="C27" s="12">
        <f t="shared" si="0"/>
        <v>0</v>
      </c>
      <c r="D27" s="12">
        <f t="shared" si="1"/>
        <v>0</v>
      </c>
      <c r="E27" s="12">
        <f t="shared" si="2"/>
        <v>0</v>
      </c>
      <c r="F27" s="12">
        <f>E27/Calculation!K$11*1000</f>
        <v>0</v>
      </c>
      <c r="G27" s="12">
        <f t="shared" si="3"/>
        <v>0</v>
      </c>
    </row>
    <row r="28" spans="1:10">
      <c r="A28" s="12">
        <v>11.5</v>
      </c>
      <c r="B28" s="12">
        <v>0</v>
      </c>
      <c r="C28" s="12">
        <f t="shared" si="0"/>
        <v>0</v>
      </c>
      <c r="D28" s="12">
        <f t="shared" si="1"/>
        <v>0</v>
      </c>
      <c r="E28" s="12">
        <f t="shared" si="2"/>
        <v>0</v>
      </c>
      <c r="F28" s="12">
        <f>E28/Calculation!K$12*1000</f>
        <v>0</v>
      </c>
      <c r="G28" s="12">
        <f t="shared" si="3"/>
        <v>0</v>
      </c>
    </row>
    <row r="29" spans="1:10">
      <c r="A29" s="12">
        <v>12</v>
      </c>
      <c r="B29" s="12">
        <v>0</v>
      </c>
      <c r="C29" s="12">
        <f t="shared" si="0"/>
        <v>0</v>
      </c>
      <c r="D29" s="12">
        <f t="shared" si="1"/>
        <v>0</v>
      </c>
      <c r="E29" s="12">
        <f t="shared" si="2"/>
        <v>0</v>
      </c>
      <c r="F29" s="12">
        <f>E29/Calculation!K$12*1000</f>
        <v>0</v>
      </c>
      <c r="G29" s="12">
        <f t="shared" si="3"/>
        <v>0</v>
      </c>
    </row>
    <row r="30" spans="1:10">
      <c r="A30" s="12">
        <v>12.5</v>
      </c>
      <c r="B30" s="12">
        <v>0</v>
      </c>
      <c r="C30" s="12">
        <f t="shared" si="0"/>
        <v>0</v>
      </c>
      <c r="D30" s="12">
        <f t="shared" si="1"/>
        <v>0</v>
      </c>
      <c r="E30" s="12">
        <f t="shared" si="2"/>
        <v>0</v>
      </c>
      <c r="F30" s="12">
        <f>E30/Calculation!K$12*1000</f>
        <v>0</v>
      </c>
      <c r="G30" s="12">
        <f t="shared" si="3"/>
        <v>0</v>
      </c>
    </row>
    <row r="31" spans="1:10">
      <c r="A31" s="12">
        <v>13</v>
      </c>
      <c r="B31" s="12">
        <v>0</v>
      </c>
      <c r="C31" s="12">
        <f t="shared" si="0"/>
        <v>0</v>
      </c>
      <c r="D31" s="12">
        <f t="shared" si="1"/>
        <v>0</v>
      </c>
      <c r="E31" s="12">
        <f t="shared" si="2"/>
        <v>0</v>
      </c>
      <c r="F31" s="12">
        <f>E31/Calculation!K$13*1000</f>
        <v>0</v>
      </c>
      <c r="G31" s="12">
        <f t="shared" si="3"/>
        <v>0</v>
      </c>
    </row>
    <row r="32" spans="1:10">
      <c r="A32" s="12">
        <v>13.5</v>
      </c>
      <c r="B32" s="12">
        <v>0</v>
      </c>
      <c r="C32" s="12">
        <f t="shared" si="0"/>
        <v>0</v>
      </c>
      <c r="D32" s="12">
        <f t="shared" si="1"/>
        <v>0</v>
      </c>
      <c r="E32" s="12">
        <f t="shared" si="2"/>
        <v>0</v>
      </c>
      <c r="F32" s="12">
        <f>E32/Calculation!K$13*1000</f>
        <v>0</v>
      </c>
      <c r="G32" s="12">
        <f t="shared" si="3"/>
        <v>0</v>
      </c>
    </row>
    <row r="33" spans="1:7">
      <c r="A33" s="12">
        <v>14</v>
      </c>
      <c r="B33" s="12">
        <v>0</v>
      </c>
      <c r="C33" s="12">
        <f t="shared" si="0"/>
        <v>0</v>
      </c>
      <c r="D33" s="12">
        <f t="shared" si="1"/>
        <v>0</v>
      </c>
      <c r="E33" s="12">
        <f t="shared" si="2"/>
        <v>0</v>
      </c>
      <c r="F33" s="12">
        <f>E33/Calculation!K$14*1000</f>
        <v>0</v>
      </c>
      <c r="G33" s="12">
        <f t="shared" si="3"/>
        <v>0</v>
      </c>
    </row>
    <row r="34" spans="1:7">
      <c r="A34" s="12">
        <v>14.5</v>
      </c>
      <c r="B34" s="12">
        <v>0</v>
      </c>
      <c r="C34" s="12">
        <f t="shared" si="0"/>
        <v>0</v>
      </c>
      <c r="D34" s="12">
        <f t="shared" si="1"/>
        <v>0</v>
      </c>
      <c r="E34" s="12">
        <f t="shared" si="2"/>
        <v>0</v>
      </c>
      <c r="F34" s="12">
        <f>E34/Calculation!K$14*1000</f>
        <v>0</v>
      </c>
      <c r="G34" s="12">
        <f t="shared" si="3"/>
        <v>0</v>
      </c>
    </row>
    <row r="35" spans="1:7">
      <c r="A35" s="12">
        <v>15</v>
      </c>
      <c r="B35" s="12">
        <v>0</v>
      </c>
      <c r="C35" s="12">
        <f t="shared" si="0"/>
        <v>0</v>
      </c>
      <c r="D35" s="12">
        <f t="shared" si="1"/>
        <v>0</v>
      </c>
      <c r="E35" s="12">
        <f t="shared" si="2"/>
        <v>0</v>
      </c>
      <c r="F35" s="12">
        <f>E35/Calculation!K$14*1000</f>
        <v>0</v>
      </c>
      <c r="G35" s="12">
        <f t="shared" si="3"/>
        <v>0</v>
      </c>
    </row>
    <row r="36" spans="1:7">
      <c r="A36" s="12">
        <v>15.5</v>
      </c>
      <c r="B36" s="12">
        <v>0</v>
      </c>
      <c r="C36" s="12">
        <f t="shared" si="0"/>
        <v>0</v>
      </c>
      <c r="D36" s="12">
        <f t="shared" si="1"/>
        <v>0</v>
      </c>
      <c r="E36" s="12">
        <f t="shared" si="2"/>
        <v>0</v>
      </c>
      <c r="F36" s="12">
        <f>E36/Calculation!K$15*1000</f>
        <v>0</v>
      </c>
      <c r="G36" s="12">
        <f t="shared" si="3"/>
        <v>0</v>
      </c>
    </row>
    <row r="37" spans="1:7">
      <c r="A37" s="12">
        <v>16</v>
      </c>
      <c r="B37" s="12">
        <v>0</v>
      </c>
      <c r="C37" s="12">
        <f t="shared" si="0"/>
        <v>0</v>
      </c>
      <c r="D37" s="12">
        <f t="shared" si="1"/>
        <v>0</v>
      </c>
      <c r="E37" s="12">
        <f t="shared" si="2"/>
        <v>0</v>
      </c>
      <c r="F37" s="12">
        <f>E37/Calculation!K$15*1000</f>
        <v>0</v>
      </c>
      <c r="G37" s="12">
        <f t="shared" si="3"/>
        <v>0</v>
      </c>
    </row>
    <row r="38" spans="1:7">
      <c r="A38" s="12">
        <v>16.5</v>
      </c>
      <c r="B38" s="12">
        <v>0</v>
      </c>
      <c r="C38" s="12">
        <f t="shared" si="0"/>
        <v>0</v>
      </c>
      <c r="D38" s="12">
        <f t="shared" si="1"/>
        <v>0</v>
      </c>
      <c r="E38" s="12">
        <f t="shared" si="2"/>
        <v>0</v>
      </c>
      <c r="F38" s="12">
        <f>E38/Calculation!K$15*1000</f>
        <v>0</v>
      </c>
      <c r="G38" s="12">
        <f t="shared" si="3"/>
        <v>0</v>
      </c>
    </row>
    <row r="39" spans="1:7">
      <c r="A39" s="12">
        <v>17</v>
      </c>
      <c r="B39" s="12">
        <v>0</v>
      </c>
      <c r="C39" s="12">
        <f t="shared" si="0"/>
        <v>0</v>
      </c>
      <c r="D39" s="12">
        <f t="shared" si="1"/>
        <v>0</v>
      </c>
      <c r="E39" s="12">
        <f t="shared" si="2"/>
        <v>0</v>
      </c>
      <c r="F39" s="12">
        <f>E39/Calculation!K$16*1000</f>
        <v>0</v>
      </c>
      <c r="G39" s="12">
        <f t="shared" si="3"/>
        <v>0</v>
      </c>
    </row>
    <row r="40" spans="1:7">
      <c r="A40" s="12">
        <v>17.5</v>
      </c>
      <c r="B40" s="12">
        <v>0</v>
      </c>
      <c r="C40" s="12">
        <f t="shared" si="0"/>
        <v>0</v>
      </c>
      <c r="D40" s="12">
        <f t="shared" si="1"/>
        <v>0</v>
      </c>
      <c r="E40" s="12">
        <f t="shared" si="2"/>
        <v>0</v>
      </c>
      <c r="F40" s="12">
        <f>E40/Calculation!K$16*1000</f>
        <v>0</v>
      </c>
      <c r="G40" s="12">
        <f t="shared" si="3"/>
        <v>0</v>
      </c>
    </row>
    <row r="41" spans="1:7">
      <c r="A41" s="12">
        <v>18</v>
      </c>
      <c r="B41" s="12">
        <v>0</v>
      </c>
      <c r="C41" s="12">
        <f t="shared" si="0"/>
        <v>0</v>
      </c>
      <c r="D41" s="12">
        <f t="shared" si="1"/>
        <v>0</v>
      </c>
      <c r="E41" s="12">
        <f t="shared" si="2"/>
        <v>0</v>
      </c>
      <c r="F41" s="12">
        <f>E41/Calculation!K$17*1000</f>
        <v>0</v>
      </c>
      <c r="G41" s="12">
        <f t="shared" si="3"/>
        <v>0</v>
      </c>
    </row>
    <row r="42" spans="1:7">
      <c r="A42" s="12">
        <v>18.5</v>
      </c>
      <c r="B42" s="12">
        <v>0</v>
      </c>
      <c r="C42" s="12">
        <f t="shared" si="0"/>
        <v>0</v>
      </c>
      <c r="D42" s="12">
        <f t="shared" si="1"/>
        <v>0</v>
      </c>
      <c r="E42" s="12">
        <f t="shared" si="2"/>
        <v>0</v>
      </c>
      <c r="F42" s="12">
        <f>E42/Calculation!K$17*1000</f>
        <v>0</v>
      </c>
      <c r="G42" s="12">
        <f t="shared" si="3"/>
        <v>0</v>
      </c>
    </row>
    <row r="43" spans="1:7">
      <c r="A43" s="12">
        <v>19</v>
      </c>
      <c r="B43" s="12">
        <v>0</v>
      </c>
      <c r="C43" s="12">
        <f t="shared" si="0"/>
        <v>0</v>
      </c>
      <c r="D43" s="12">
        <f t="shared" si="1"/>
        <v>0</v>
      </c>
      <c r="E43" s="12">
        <f t="shared" si="2"/>
        <v>0</v>
      </c>
      <c r="F43" s="12">
        <f>E43/Calculation!K$17*1000</f>
        <v>0</v>
      </c>
      <c r="G43" s="12">
        <f t="shared" si="3"/>
        <v>0</v>
      </c>
    </row>
    <row r="44" spans="1:7">
      <c r="A44" s="12">
        <v>19.5</v>
      </c>
      <c r="B44" s="12">
        <v>0</v>
      </c>
      <c r="C44" s="12">
        <f t="shared" si="0"/>
        <v>0</v>
      </c>
      <c r="D44" s="12">
        <f t="shared" si="1"/>
        <v>0</v>
      </c>
      <c r="E44" s="12">
        <f t="shared" si="2"/>
        <v>0</v>
      </c>
      <c r="F44" s="12">
        <f>E44/Calculation!K$18*1000</f>
        <v>0</v>
      </c>
      <c r="G44" s="12">
        <f t="shared" si="3"/>
        <v>0</v>
      </c>
    </row>
    <row r="45" spans="1:7">
      <c r="A45" s="12">
        <v>20</v>
      </c>
      <c r="B45" s="12">
        <v>0</v>
      </c>
      <c r="C45" s="12">
        <f t="shared" si="0"/>
        <v>0</v>
      </c>
      <c r="D45" s="12">
        <f t="shared" si="1"/>
        <v>0</v>
      </c>
      <c r="E45" s="12">
        <f t="shared" si="2"/>
        <v>0</v>
      </c>
      <c r="F45" s="12">
        <f>E45/Calculation!K$18*1000</f>
        <v>0</v>
      </c>
      <c r="G45" s="12">
        <f t="shared" si="3"/>
        <v>0</v>
      </c>
    </row>
    <row r="46" spans="1:7">
      <c r="A46" s="12">
        <v>20.5</v>
      </c>
      <c r="B46" s="12">
        <v>0</v>
      </c>
      <c r="C46" s="12">
        <f t="shared" si="0"/>
        <v>0</v>
      </c>
      <c r="D46" s="12">
        <f t="shared" si="1"/>
        <v>0</v>
      </c>
      <c r="E46" s="12">
        <f t="shared" si="2"/>
        <v>0</v>
      </c>
      <c r="F46" s="12">
        <f>E46/Calculation!K$18*1000</f>
        <v>0</v>
      </c>
      <c r="G46" s="12">
        <f t="shared" si="3"/>
        <v>0</v>
      </c>
    </row>
    <row r="47" spans="1:7">
      <c r="A47" s="12">
        <v>21</v>
      </c>
      <c r="B47" s="12">
        <v>0</v>
      </c>
      <c r="C47" s="12">
        <f t="shared" si="0"/>
        <v>0</v>
      </c>
      <c r="D47" s="12">
        <f t="shared" si="1"/>
        <v>0</v>
      </c>
      <c r="E47" s="12">
        <f t="shared" si="2"/>
        <v>0</v>
      </c>
      <c r="F47" s="12">
        <f>E47/Calculation!K$18*1000</f>
        <v>0</v>
      </c>
      <c r="G47" s="12">
        <f t="shared" si="3"/>
        <v>0</v>
      </c>
    </row>
    <row r="48" spans="1:7">
      <c r="A48" s="12">
        <v>21.5</v>
      </c>
      <c r="B48" s="12">
        <v>0</v>
      </c>
      <c r="C48" s="12">
        <f t="shared" si="0"/>
        <v>0</v>
      </c>
      <c r="D48" s="12">
        <f t="shared" si="1"/>
        <v>0</v>
      </c>
      <c r="E48" s="12">
        <f t="shared" si="2"/>
        <v>0</v>
      </c>
      <c r="F48" s="12">
        <f>E48/Calculation!K$18*1000</f>
        <v>0</v>
      </c>
      <c r="G48" s="12">
        <f t="shared" si="3"/>
        <v>0</v>
      </c>
    </row>
    <row r="49" spans="1:7">
      <c r="A49" s="12">
        <v>22</v>
      </c>
      <c r="B49" s="12">
        <v>0</v>
      </c>
      <c r="C49" s="12">
        <f t="shared" si="0"/>
        <v>0</v>
      </c>
      <c r="D49" s="12">
        <f t="shared" si="1"/>
        <v>0</v>
      </c>
      <c r="E49" s="12">
        <f t="shared" si="2"/>
        <v>0</v>
      </c>
      <c r="F49" s="12">
        <f>E49/Calculation!K$18*1000</f>
        <v>0</v>
      </c>
      <c r="G49" s="12">
        <f t="shared" si="3"/>
        <v>0</v>
      </c>
    </row>
    <row r="50" spans="1:7">
      <c r="A50" s="12">
        <v>22.5</v>
      </c>
      <c r="B50" s="12">
        <v>0</v>
      </c>
      <c r="C50" s="12">
        <f t="shared" si="0"/>
        <v>0</v>
      </c>
      <c r="D50" s="12">
        <f t="shared" si="1"/>
        <v>0</v>
      </c>
      <c r="E50" s="12">
        <f t="shared" si="2"/>
        <v>0</v>
      </c>
      <c r="F50" s="12">
        <f>E50/Calculation!K$18*1000</f>
        <v>0</v>
      </c>
      <c r="G50" s="12">
        <f t="shared" si="3"/>
        <v>0</v>
      </c>
    </row>
    <row r="51" spans="1:7">
      <c r="A51" s="12">
        <v>23</v>
      </c>
      <c r="B51" s="12">
        <v>0</v>
      </c>
      <c r="C51" s="12">
        <f t="shared" si="0"/>
        <v>0</v>
      </c>
      <c r="D51" s="12">
        <f t="shared" si="1"/>
        <v>0</v>
      </c>
      <c r="E51" s="12">
        <f t="shared" si="2"/>
        <v>0</v>
      </c>
      <c r="F51" s="12">
        <f>E51/Calculation!K$18*1000</f>
        <v>0</v>
      </c>
      <c r="G51" s="12">
        <f t="shared" si="3"/>
        <v>0</v>
      </c>
    </row>
    <row r="52" spans="1:7">
      <c r="A52" s="12">
        <v>23.5</v>
      </c>
      <c r="B52" s="12">
        <v>0</v>
      </c>
      <c r="C52" s="12">
        <f t="shared" si="0"/>
        <v>0</v>
      </c>
      <c r="D52" s="12">
        <f t="shared" si="1"/>
        <v>0</v>
      </c>
      <c r="E52" s="12">
        <f t="shared" si="2"/>
        <v>0</v>
      </c>
      <c r="F52" s="12">
        <f>E52/Calculation!K$18*1000</f>
        <v>0</v>
      </c>
      <c r="G52" s="12">
        <f t="shared" si="3"/>
        <v>0</v>
      </c>
    </row>
    <row r="53" spans="1:7">
      <c r="A53" s="12">
        <v>24</v>
      </c>
      <c r="B53" s="12">
        <v>0</v>
      </c>
      <c r="C53" s="12">
        <f t="shared" si="0"/>
        <v>0</v>
      </c>
      <c r="D53" s="12">
        <f t="shared" si="1"/>
        <v>0</v>
      </c>
      <c r="E53" s="12">
        <f t="shared" si="2"/>
        <v>0</v>
      </c>
      <c r="F53" s="12">
        <f>E53/Calculation!K$19*1000</f>
        <v>0</v>
      </c>
      <c r="G53" s="12">
        <f t="shared" si="3"/>
        <v>0</v>
      </c>
    </row>
    <row r="54" spans="1:7">
      <c r="A54" s="12">
        <v>24.5</v>
      </c>
      <c r="B54" s="12">
        <v>0</v>
      </c>
      <c r="C54" s="12">
        <f t="shared" si="0"/>
        <v>0</v>
      </c>
      <c r="D54" s="12">
        <f t="shared" si="1"/>
        <v>0</v>
      </c>
      <c r="E54" s="12">
        <f t="shared" si="2"/>
        <v>0</v>
      </c>
      <c r="F54" s="12">
        <f>E54/Calculation!K$19*1000</f>
        <v>0</v>
      </c>
      <c r="G54" s="12">
        <f t="shared" si="3"/>
        <v>0</v>
      </c>
    </row>
    <row r="55" spans="1:7">
      <c r="A55" s="12">
        <v>25</v>
      </c>
      <c r="B55" s="12">
        <v>0</v>
      </c>
      <c r="C55" s="12">
        <f t="shared" si="0"/>
        <v>0</v>
      </c>
      <c r="D55" s="12">
        <f t="shared" si="1"/>
        <v>0</v>
      </c>
      <c r="E55" s="12">
        <f t="shared" si="2"/>
        <v>0</v>
      </c>
      <c r="F55" s="12">
        <f>E55/Calculation!K$19*1000</f>
        <v>0</v>
      </c>
      <c r="G55" s="12">
        <f t="shared" si="3"/>
        <v>0</v>
      </c>
    </row>
    <row r="56" spans="1:7">
      <c r="A56" s="12">
        <v>25.5</v>
      </c>
      <c r="B56" s="12">
        <v>0</v>
      </c>
      <c r="C56" s="12">
        <f t="shared" si="0"/>
        <v>0</v>
      </c>
      <c r="D56" s="12">
        <f t="shared" si="1"/>
        <v>0</v>
      </c>
      <c r="E56" s="12">
        <f t="shared" si="2"/>
        <v>0</v>
      </c>
      <c r="F56" s="12">
        <f>E56/Calculation!K$19*1000</f>
        <v>0</v>
      </c>
      <c r="G56" s="12">
        <f t="shared" si="3"/>
        <v>0</v>
      </c>
    </row>
    <row r="57" spans="1:7">
      <c r="A57" s="12">
        <v>26</v>
      </c>
      <c r="B57" s="12">
        <v>0</v>
      </c>
      <c r="C57" s="12">
        <f t="shared" si="0"/>
        <v>0</v>
      </c>
      <c r="D57" s="12">
        <f t="shared" si="1"/>
        <v>0</v>
      </c>
      <c r="E57" s="12">
        <f t="shared" si="2"/>
        <v>0</v>
      </c>
      <c r="F57" s="12">
        <f>E57/Calculation!K$19*1000</f>
        <v>0</v>
      </c>
      <c r="G57" s="12">
        <f t="shared" si="3"/>
        <v>0</v>
      </c>
    </row>
    <row r="58" spans="1:7">
      <c r="A58" s="12">
        <v>26.5</v>
      </c>
      <c r="B58" s="12">
        <v>0</v>
      </c>
      <c r="C58" s="12">
        <f t="shared" si="0"/>
        <v>0</v>
      </c>
      <c r="D58" s="12">
        <f t="shared" si="1"/>
        <v>0</v>
      </c>
      <c r="E58" s="12">
        <f t="shared" si="2"/>
        <v>0</v>
      </c>
      <c r="F58" s="12">
        <f>E58/Calculation!K$19*1000</f>
        <v>0</v>
      </c>
      <c r="G58" s="12">
        <f t="shared" si="3"/>
        <v>0</v>
      </c>
    </row>
    <row r="59" spans="1:7">
      <c r="A59" s="12">
        <v>27</v>
      </c>
      <c r="B59" s="12">
        <v>0</v>
      </c>
      <c r="C59" s="12">
        <f t="shared" si="0"/>
        <v>0</v>
      </c>
      <c r="D59" s="12">
        <f t="shared" si="1"/>
        <v>0</v>
      </c>
      <c r="E59" s="12">
        <f t="shared" si="2"/>
        <v>0</v>
      </c>
      <c r="F59" s="12">
        <f>E59/Calculation!K$19*1000</f>
        <v>0</v>
      </c>
      <c r="G59" s="12">
        <f t="shared" si="3"/>
        <v>0</v>
      </c>
    </row>
    <row r="60" spans="1:7">
      <c r="A60" s="12">
        <v>27.5</v>
      </c>
      <c r="B60" s="12">
        <v>0</v>
      </c>
      <c r="C60" s="12">
        <f t="shared" si="0"/>
        <v>0</v>
      </c>
      <c r="D60" s="12">
        <f t="shared" si="1"/>
        <v>0</v>
      </c>
      <c r="E60" s="12">
        <f t="shared" si="2"/>
        <v>0</v>
      </c>
      <c r="F60" s="12">
        <f>E60/Calculation!K$19*1000</f>
        <v>0</v>
      </c>
      <c r="G60" s="12">
        <f t="shared" si="3"/>
        <v>0</v>
      </c>
    </row>
    <row r="61" spans="1:7">
      <c r="A61" s="12">
        <v>28</v>
      </c>
      <c r="B61" s="12">
        <v>0</v>
      </c>
      <c r="C61" s="12">
        <f t="shared" si="0"/>
        <v>0</v>
      </c>
      <c r="D61" s="12">
        <f t="shared" si="1"/>
        <v>0</v>
      </c>
      <c r="E61" s="12">
        <f t="shared" si="2"/>
        <v>0</v>
      </c>
      <c r="F61" s="12">
        <f>E61/Calculation!K$19*1000</f>
        <v>0</v>
      </c>
      <c r="G61" s="12">
        <f t="shared" si="3"/>
        <v>0</v>
      </c>
    </row>
    <row r="62" spans="1:7">
      <c r="A62" s="12">
        <v>28.5</v>
      </c>
      <c r="B62" s="12">
        <v>0</v>
      </c>
      <c r="C62" s="12">
        <f t="shared" si="0"/>
        <v>0</v>
      </c>
      <c r="D62" s="12">
        <f t="shared" si="1"/>
        <v>0</v>
      </c>
      <c r="E62" s="12">
        <f t="shared" si="2"/>
        <v>0</v>
      </c>
      <c r="F62" s="12">
        <f>E62/Calculation!K$19*1000</f>
        <v>0</v>
      </c>
      <c r="G62" s="12">
        <f t="shared" si="3"/>
        <v>0</v>
      </c>
    </row>
    <row r="63" spans="1:7">
      <c r="A63" s="12">
        <v>29</v>
      </c>
      <c r="B63" s="12">
        <v>0</v>
      </c>
      <c r="C63" s="12">
        <f t="shared" si="0"/>
        <v>0</v>
      </c>
      <c r="D63" s="12">
        <f t="shared" si="1"/>
        <v>0</v>
      </c>
      <c r="E63" s="12">
        <f t="shared" si="2"/>
        <v>0</v>
      </c>
      <c r="F63" s="12">
        <f>E63/Calculation!K$19*1000</f>
        <v>0</v>
      </c>
      <c r="G63" s="12">
        <f t="shared" si="3"/>
        <v>0</v>
      </c>
    </row>
    <row r="64" spans="1:7">
      <c r="A64" s="12">
        <v>29.5</v>
      </c>
      <c r="B64" s="12">
        <v>0</v>
      </c>
      <c r="C64" s="12">
        <f t="shared" si="0"/>
        <v>0</v>
      </c>
      <c r="D64" s="12">
        <f t="shared" si="1"/>
        <v>0</v>
      </c>
      <c r="E64" s="12">
        <f t="shared" si="2"/>
        <v>0</v>
      </c>
      <c r="F64" s="12">
        <f>E64/Calculation!K$19*1000</f>
        <v>0</v>
      </c>
      <c r="G64" s="12">
        <f t="shared" si="3"/>
        <v>0</v>
      </c>
    </row>
    <row r="65" spans="1:7">
      <c r="A65" s="12">
        <v>30</v>
      </c>
      <c r="B65" s="12">
        <v>0</v>
      </c>
      <c r="C65" s="12">
        <f t="shared" si="0"/>
        <v>0</v>
      </c>
      <c r="D65" s="12">
        <f t="shared" si="1"/>
        <v>0</v>
      </c>
      <c r="E65" s="12">
        <f t="shared" si="2"/>
        <v>0</v>
      </c>
      <c r="F65" s="12">
        <f>E65/Calculation!K$20*1000</f>
        <v>0</v>
      </c>
      <c r="G65" s="12">
        <f t="shared" si="3"/>
        <v>0</v>
      </c>
    </row>
    <row r="66" spans="1:7">
      <c r="A66" s="12">
        <v>30.5</v>
      </c>
      <c r="B66" s="12">
        <v>0</v>
      </c>
      <c r="C66" s="12">
        <f t="shared" si="0"/>
        <v>0</v>
      </c>
      <c r="D66" s="12">
        <f t="shared" si="1"/>
        <v>0</v>
      </c>
      <c r="E66" s="12">
        <f t="shared" si="2"/>
        <v>0</v>
      </c>
      <c r="F66" s="12">
        <f>E66/Calculation!K$20*1000</f>
        <v>0</v>
      </c>
      <c r="G66" s="12">
        <f t="shared" si="3"/>
        <v>0</v>
      </c>
    </row>
    <row r="67" spans="1:7">
      <c r="A67" s="12">
        <v>31</v>
      </c>
      <c r="B67" s="12">
        <v>0</v>
      </c>
      <c r="C67" s="12">
        <f t="shared" si="0"/>
        <v>0</v>
      </c>
      <c r="D67" s="12">
        <f t="shared" si="1"/>
        <v>0</v>
      </c>
      <c r="E67" s="12">
        <f t="shared" si="2"/>
        <v>0</v>
      </c>
      <c r="F67" s="12">
        <f>E67/Calculation!K$20*1000</f>
        <v>0</v>
      </c>
      <c r="G67" s="12">
        <f t="shared" si="3"/>
        <v>0</v>
      </c>
    </row>
    <row r="68" spans="1:7">
      <c r="A68" s="12">
        <v>31.5</v>
      </c>
      <c r="B68" s="12">
        <v>0</v>
      </c>
      <c r="C68" s="12">
        <f t="shared" si="0"/>
        <v>0</v>
      </c>
      <c r="D68" s="12">
        <f t="shared" si="1"/>
        <v>0</v>
      </c>
      <c r="E68" s="12">
        <f t="shared" si="2"/>
        <v>0</v>
      </c>
      <c r="F68" s="12">
        <f>E68/Calculation!K$20*1000</f>
        <v>0</v>
      </c>
      <c r="G68" s="12">
        <f t="shared" si="3"/>
        <v>0</v>
      </c>
    </row>
    <row r="69" spans="1:7">
      <c r="A69" s="12">
        <v>32</v>
      </c>
      <c r="B69" s="12">
        <v>0</v>
      </c>
      <c r="C69" s="12">
        <f t="shared" si="0"/>
        <v>0</v>
      </c>
      <c r="D69" s="12">
        <f t="shared" si="1"/>
        <v>0</v>
      </c>
      <c r="E69" s="12">
        <f t="shared" si="2"/>
        <v>0</v>
      </c>
      <c r="F69" s="12">
        <f>E69/Calculation!K$20*1000</f>
        <v>0</v>
      </c>
      <c r="G69" s="12">
        <f t="shared" si="3"/>
        <v>0</v>
      </c>
    </row>
    <row r="70" spans="1:7">
      <c r="A70" s="12">
        <v>32.5</v>
      </c>
      <c r="B70" s="12">
        <v>0</v>
      </c>
      <c r="C70" s="12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E70/Calculation!K$20*1000</f>
        <v>0</v>
      </c>
      <c r="G70" s="12">
        <f t="shared" si="3"/>
        <v>0</v>
      </c>
    </row>
    <row r="71" spans="1:7">
      <c r="A71" s="12">
        <v>33</v>
      </c>
      <c r="B71" s="12">
        <v>0</v>
      </c>
      <c r="C71" s="12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E71/Calculation!K$20*1000</f>
        <v>0</v>
      </c>
      <c r="G71" s="12">
        <f t="shared" ref="G71:G101" si="7">G70+(F71+F70)/2*30</f>
        <v>0</v>
      </c>
    </row>
    <row r="72" spans="1:7">
      <c r="A72" s="12">
        <v>33.5</v>
      </c>
      <c r="B72" s="12">
        <v>0</v>
      </c>
      <c r="C72" s="12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E72/Calculation!K$20*1000</f>
        <v>0</v>
      </c>
      <c r="G72" s="12">
        <f t="shared" si="7"/>
        <v>0</v>
      </c>
    </row>
    <row r="73" spans="1:7">
      <c r="A73" s="12">
        <v>34</v>
      </c>
      <c r="B73" s="12">
        <v>0</v>
      </c>
      <c r="C73" s="12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E73/Calculation!K$20*1000</f>
        <v>0</v>
      </c>
      <c r="G73" s="12">
        <f t="shared" si="7"/>
        <v>0</v>
      </c>
    </row>
    <row r="74" spans="1:7">
      <c r="A74" s="12">
        <v>34.5</v>
      </c>
      <c r="B74" s="12">
        <v>0</v>
      </c>
      <c r="C74" s="12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E74/Calculation!K$20*1000</f>
        <v>0</v>
      </c>
      <c r="G74" s="12">
        <f t="shared" si="7"/>
        <v>0</v>
      </c>
    </row>
    <row r="75" spans="1:7">
      <c r="A75" s="12">
        <v>35</v>
      </c>
      <c r="B75" s="12">
        <v>0</v>
      </c>
      <c r="C75" s="12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E75/Calculation!K$20*1000</f>
        <v>0</v>
      </c>
      <c r="G75" s="12">
        <f t="shared" si="7"/>
        <v>0</v>
      </c>
    </row>
    <row r="76" spans="1:7">
      <c r="A76" s="12">
        <v>35.5</v>
      </c>
      <c r="B76" s="12">
        <v>0</v>
      </c>
      <c r="C76" s="12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E76/Calculation!K$20*1000</f>
        <v>0</v>
      </c>
      <c r="G76" s="12">
        <f t="shared" si="7"/>
        <v>0</v>
      </c>
    </row>
    <row r="77" spans="1:7">
      <c r="A77" s="12">
        <v>36</v>
      </c>
      <c r="B77" s="12">
        <v>0</v>
      </c>
      <c r="C77" s="12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E77/Calculation!K$20*1000</f>
        <v>0</v>
      </c>
      <c r="G77" s="12">
        <f t="shared" si="7"/>
        <v>0</v>
      </c>
    </row>
    <row r="78" spans="1:7">
      <c r="A78" s="12">
        <v>36.5</v>
      </c>
      <c r="B78" s="12">
        <v>0</v>
      </c>
      <c r="C78" s="12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E78/Calculation!K$20*1000</f>
        <v>0</v>
      </c>
      <c r="G78" s="12">
        <f t="shared" si="7"/>
        <v>0</v>
      </c>
    </row>
    <row r="79" spans="1:7">
      <c r="A79" s="12">
        <v>37</v>
      </c>
      <c r="B79" s="12">
        <v>0</v>
      </c>
      <c r="C79" s="12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E79/Calculation!K$20*1000</f>
        <v>0</v>
      </c>
      <c r="G79" s="12">
        <f t="shared" si="7"/>
        <v>0</v>
      </c>
    </row>
    <row r="80" spans="1:7">
      <c r="A80" s="12">
        <v>37.5</v>
      </c>
      <c r="B80" s="12">
        <v>0</v>
      </c>
      <c r="C80" s="12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E80/Calculation!K$20*1000</f>
        <v>0</v>
      </c>
      <c r="G80" s="12">
        <f t="shared" si="7"/>
        <v>0</v>
      </c>
    </row>
    <row r="81" spans="1:7">
      <c r="A81" s="12">
        <v>38</v>
      </c>
      <c r="B81" s="12">
        <v>0</v>
      </c>
      <c r="C81" s="12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E81/Calculation!K$20*1000</f>
        <v>0</v>
      </c>
      <c r="G81" s="12">
        <f t="shared" si="7"/>
        <v>0</v>
      </c>
    </row>
    <row r="82" spans="1:7">
      <c r="A82" s="12">
        <v>38.5</v>
      </c>
      <c r="B82" s="12">
        <v>0</v>
      </c>
      <c r="C82" s="12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E82/Calculation!K$20*1000</f>
        <v>0</v>
      </c>
      <c r="G82" s="12">
        <f t="shared" si="7"/>
        <v>0</v>
      </c>
    </row>
    <row r="83" spans="1:7">
      <c r="A83" s="12">
        <v>39</v>
      </c>
      <c r="B83" s="12">
        <v>0</v>
      </c>
      <c r="C83" s="12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E83/Calculation!K$20*1000</f>
        <v>0</v>
      </c>
      <c r="G83" s="12">
        <f t="shared" si="7"/>
        <v>0</v>
      </c>
    </row>
    <row r="84" spans="1:7">
      <c r="A84" s="12">
        <v>39.5</v>
      </c>
      <c r="B84" s="12">
        <v>0</v>
      </c>
      <c r="C84" s="12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E84/Calculation!K$20*1000</f>
        <v>0</v>
      </c>
      <c r="G84" s="12">
        <f t="shared" si="7"/>
        <v>0</v>
      </c>
    </row>
    <row r="85" spans="1:7">
      <c r="A85" s="12">
        <v>40</v>
      </c>
      <c r="B85" s="12">
        <v>0</v>
      </c>
      <c r="C85" s="12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E85/Calculation!K$20*1000</f>
        <v>0</v>
      </c>
      <c r="G85" s="12">
        <f t="shared" si="7"/>
        <v>0</v>
      </c>
    </row>
    <row r="86" spans="1:7">
      <c r="A86" s="12">
        <v>40.5</v>
      </c>
      <c r="B86" s="12">
        <v>0</v>
      </c>
      <c r="C86" s="12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E86/Calculation!K$20*1000</f>
        <v>0</v>
      </c>
      <c r="G86" s="12">
        <f t="shared" si="7"/>
        <v>0</v>
      </c>
    </row>
    <row r="87" spans="1:7">
      <c r="A87" s="12">
        <v>41</v>
      </c>
      <c r="B87" s="12">
        <v>0</v>
      </c>
      <c r="C87" s="12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E87/Calculation!K$20*1000</f>
        <v>0</v>
      </c>
      <c r="G87" s="12">
        <f t="shared" si="7"/>
        <v>0</v>
      </c>
    </row>
    <row r="88" spans="1:7">
      <c r="A88" s="12">
        <v>41.5</v>
      </c>
      <c r="B88" s="12">
        <v>0</v>
      </c>
      <c r="C88" s="12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E88/Calculation!K$20*1000</f>
        <v>0</v>
      </c>
      <c r="G88" s="12">
        <f t="shared" si="7"/>
        <v>0</v>
      </c>
    </row>
    <row r="89" spans="1:7">
      <c r="A89" s="12">
        <v>42</v>
      </c>
      <c r="B89" s="12">
        <v>0</v>
      </c>
      <c r="C89" s="12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E89/Calculation!K$20*1000</f>
        <v>0</v>
      </c>
      <c r="G89" s="12">
        <f t="shared" si="7"/>
        <v>0</v>
      </c>
    </row>
    <row r="90" spans="1:7">
      <c r="A90" s="12">
        <v>42.5</v>
      </c>
      <c r="B90" s="12">
        <v>0</v>
      </c>
      <c r="C90" s="12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E90/Calculation!K$20*1000</f>
        <v>0</v>
      </c>
      <c r="G90" s="12">
        <f t="shared" si="7"/>
        <v>0</v>
      </c>
    </row>
    <row r="91" spans="1:7">
      <c r="A91" s="12">
        <v>43</v>
      </c>
      <c r="B91" s="12">
        <v>0</v>
      </c>
      <c r="C91" s="12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E91/Calculation!K$20*1000</f>
        <v>0</v>
      </c>
      <c r="G91" s="12">
        <f t="shared" si="7"/>
        <v>0</v>
      </c>
    </row>
    <row r="92" spans="1:7">
      <c r="A92" s="12">
        <v>43.5</v>
      </c>
      <c r="B92" s="12">
        <v>0</v>
      </c>
      <c r="C92" s="12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E92/Calculation!K$20*1000</f>
        <v>0</v>
      </c>
      <c r="G92" s="12">
        <f t="shared" si="7"/>
        <v>0</v>
      </c>
    </row>
    <row r="93" spans="1:7">
      <c r="A93" s="12">
        <v>44</v>
      </c>
      <c r="B93" s="12">
        <v>0</v>
      </c>
      <c r="C93" s="12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E93/Calculation!K$20*1000</f>
        <v>0</v>
      </c>
      <c r="G93" s="12">
        <f t="shared" si="7"/>
        <v>0</v>
      </c>
    </row>
    <row r="94" spans="1:7">
      <c r="A94" s="12">
        <v>44.5</v>
      </c>
      <c r="B94" s="12">
        <v>0</v>
      </c>
      <c r="C94" s="12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E94/Calculation!K$20*1000</f>
        <v>0</v>
      </c>
      <c r="G94" s="12">
        <f t="shared" si="7"/>
        <v>0</v>
      </c>
    </row>
    <row r="95" spans="1:7">
      <c r="A95" s="12">
        <v>45</v>
      </c>
      <c r="B95" s="12">
        <v>0</v>
      </c>
      <c r="C95" s="12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E95/Calculation!K$20*1000</f>
        <v>0</v>
      </c>
      <c r="G95" s="12">
        <f t="shared" si="7"/>
        <v>0</v>
      </c>
    </row>
    <row r="96" spans="1:7">
      <c r="A96" s="12">
        <v>45.5</v>
      </c>
      <c r="B96" s="12">
        <v>0</v>
      </c>
      <c r="C96" s="12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E96/Calculation!K$20*1000</f>
        <v>0</v>
      </c>
      <c r="G96" s="12">
        <f t="shared" si="7"/>
        <v>0</v>
      </c>
    </row>
    <row r="97" spans="1:7">
      <c r="A97" s="12">
        <v>46</v>
      </c>
      <c r="B97" s="12">
        <v>0</v>
      </c>
      <c r="C97" s="12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E97/Calculation!K$20*1000</f>
        <v>0</v>
      </c>
      <c r="G97" s="12">
        <f t="shared" si="7"/>
        <v>0</v>
      </c>
    </row>
    <row r="98" spans="1:7">
      <c r="A98" s="12">
        <v>46.5</v>
      </c>
      <c r="B98" s="12">
        <v>0</v>
      </c>
      <c r="C98" s="12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E98/Calculation!K$20*1000</f>
        <v>0</v>
      </c>
      <c r="G98" s="12">
        <f t="shared" si="7"/>
        <v>0</v>
      </c>
    </row>
    <row r="99" spans="1:7">
      <c r="A99" s="12">
        <v>47</v>
      </c>
      <c r="B99" s="12">
        <v>0</v>
      </c>
      <c r="C99" s="12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E99/Calculation!K$20*1000</f>
        <v>0</v>
      </c>
      <c r="G99" s="12">
        <f t="shared" si="7"/>
        <v>0</v>
      </c>
    </row>
    <row r="100" spans="1:7">
      <c r="A100" s="12">
        <v>47.5</v>
      </c>
      <c r="B100" s="12">
        <v>0</v>
      </c>
      <c r="C100" s="12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E100/Calculation!K$20*1000</f>
        <v>0</v>
      </c>
      <c r="G100" s="12">
        <f t="shared" si="7"/>
        <v>0</v>
      </c>
    </row>
    <row r="101" spans="1:7">
      <c r="A101" s="12">
        <v>48</v>
      </c>
      <c r="B101" s="12">
        <v>0</v>
      </c>
      <c r="C101" s="12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E101/Calculation!K$21*1000</f>
        <v>0</v>
      </c>
      <c r="G101" s="12">
        <f t="shared" si="7"/>
        <v>0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 F1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F. prausnitzii</vt:lpstr>
      <vt:lpstr>Determination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2015-07-23T14:00:49Z</dcterms:modified>
</cp:coreProperties>
</file>