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0" yWindow="0" windowWidth="25500" windowHeight="15460" tabRatio="930" firstSheet="4" activeTab="16"/>
  </bookViews>
  <sheets>
    <sheet name="Fermentation" sheetId="1" r:id="rId1"/>
    <sheet name="Calculation" sheetId="2" r:id="rId2"/>
    <sheet name="Plate Count" sheetId="3" r:id="rId3"/>
    <sheet name="Flow cytometer" sheetId="22" r:id="rId4"/>
    <sheet name="OD600nm" sheetId="4" r:id="rId5"/>
    <sheet name="CDM" sheetId="5" r:id="rId6"/>
    <sheet name="H2" sheetId="17" r:id="rId7"/>
    <sheet name="CO2" sheetId="7" r:id="rId8"/>
    <sheet name="Metabolites" sheetId="8" r:id="rId9"/>
    <sheet name="D-Fructose" sheetId="19" r:id="rId10"/>
    <sheet name="Formic acid" sheetId="18" r:id="rId11"/>
    <sheet name="Acetic acid" sheetId="15" r:id="rId12"/>
    <sheet name="Propionic acid" sheetId="20" r:id="rId13"/>
    <sheet name="Butyric acid" sheetId="21" r:id="rId14"/>
    <sheet name="Lactic acid" sheetId="14" r:id="rId15"/>
    <sheet name="Ethanol" sheetId="16" r:id="rId16"/>
    <sheet name="Graph" sheetId="13" r:id="rId17"/>
    <sheet name="Graph (2)" sheetId="24" r:id="rId18"/>
    <sheet name="Carbon recovery" sheetId="23" r:id="rId19"/>
  </sheets>
  <definedNames>
    <definedName name="_2012_05_10_FPRAU_fruc1" localSheetId="7">'CO2'!$I$5:$I$293</definedName>
    <definedName name="_2012_06_08_BIF_REC_OLI_1" localSheetId="7">'CO2'!$N$5:$N$201</definedName>
    <definedName name="_2012_06_08_BIF_REC_OLI_1" localSheetId="6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2" l="1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4" i="22"/>
  <c r="F102" i="7"/>
  <c r="F103" i="7"/>
  <c r="F104" i="7"/>
  <c r="F105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101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65" i="17"/>
  <c r="F54" i="17"/>
  <c r="F55" i="17"/>
  <c r="F56" i="17"/>
  <c r="F57" i="17"/>
  <c r="F58" i="17"/>
  <c r="F59" i="17"/>
  <c r="F60" i="17"/>
  <c r="F61" i="17"/>
  <c r="F62" i="17"/>
  <c r="F63" i="17"/>
  <c r="F64" i="17"/>
  <c r="F53" i="17"/>
  <c r="F42" i="17"/>
  <c r="F43" i="17"/>
  <c r="F44" i="17"/>
  <c r="F45" i="17"/>
  <c r="F46" i="17"/>
  <c r="F47" i="17"/>
  <c r="F48" i="17"/>
  <c r="F49" i="17"/>
  <c r="F50" i="17"/>
  <c r="F51" i="17"/>
  <c r="F52" i="17"/>
  <c r="F41" i="17"/>
  <c r="F40" i="17"/>
  <c r="F39" i="17"/>
  <c r="F37" i="17"/>
  <c r="F38" i="17"/>
  <c r="F36" i="17"/>
  <c r="F34" i="17"/>
  <c r="F35" i="17"/>
  <c r="F33" i="17"/>
  <c r="F32" i="17"/>
  <c r="F31" i="17"/>
  <c r="F29" i="17"/>
  <c r="F30" i="17"/>
  <c r="F28" i="17"/>
  <c r="F26" i="17"/>
  <c r="F27" i="17"/>
  <c r="F25" i="17"/>
  <c r="F24" i="17"/>
  <c r="F23" i="17"/>
  <c r="F21" i="17"/>
  <c r="F22" i="17"/>
  <c r="F20" i="17"/>
  <c r="F18" i="17"/>
  <c r="F19" i="17"/>
  <c r="F17" i="17"/>
  <c r="F16" i="17"/>
  <c r="F15" i="17"/>
  <c r="F13" i="17"/>
  <c r="F14" i="17"/>
  <c r="F12" i="17"/>
  <c r="F10" i="17"/>
  <c r="F11" i="17"/>
  <c r="F9" i="17"/>
  <c r="F6" i="17"/>
  <c r="F7" i="17"/>
  <c r="F8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B7" i="23"/>
  <c r="D23" i="23"/>
  <c r="B10" i="23"/>
  <c r="B9" i="23"/>
  <c r="C104" i="7"/>
  <c r="D104" i="7"/>
  <c r="E104" i="7"/>
  <c r="C5" i="7"/>
  <c r="D5" i="7"/>
  <c r="E5" i="7"/>
  <c r="G5" i="7"/>
  <c r="C6" i="7"/>
  <c r="D6" i="7"/>
  <c r="E6" i="7"/>
  <c r="G6" i="7"/>
  <c r="C7" i="7"/>
  <c r="D7" i="7"/>
  <c r="E7" i="7"/>
  <c r="G7" i="7"/>
  <c r="C8" i="7"/>
  <c r="D8" i="7"/>
  <c r="E8" i="7"/>
  <c r="G8" i="7"/>
  <c r="C9" i="7"/>
  <c r="D9" i="7"/>
  <c r="E9" i="7"/>
  <c r="G9" i="7"/>
  <c r="C10" i="7"/>
  <c r="D10" i="7"/>
  <c r="E10" i="7"/>
  <c r="G10" i="7"/>
  <c r="C11" i="7"/>
  <c r="D11" i="7"/>
  <c r="E11" i="7"/>
  <c r="G11" i="7"/>
  <c r="C12" i="7"/>
  <c r="D12" i="7"/>
  <c r="E12" i="7"/>
  <c r="G12" i="7"/>
  <c r="C13" i="7"/>
  <c r="D13" i="7"/>
  <c r="E13" i="7"/>
  <c r="G13" i="7"/>
  <c r="C14" i="7"/>
  <c r="D14" i="7"/>
  <c r="E14" i="7"/>
  <c r="G14" i="7"/>
  <c r="C15" i="7"/>
  <c r="D15" i="7"/>
  <c r="E15" i="7"/>
  <c r="G15" i="7"/>
  <c r="C16" i="7"/>
  <c r="D16" i="7"/>
  <c r="E16" i="7"/>
  <c r="G16" i="7"/>
  <c r="C17" i="7"/>
  <c r="D17" i="7"/>
  <c r="E17" i="7"/>
  <c r="G17" i="7"/>
  <c r="C18" i="7"/>
  <c r="D18" i="7"/>
  <c r="E18" i="7"/>
  <c r="G18" i="7"/>
  <c r="C19" i="7"/>
  <c r="D19" i="7"/>
  <c r="E19" i="7"/>
  <c r="G19" i="7"/>
  <c r="C20" i="7"/>
  <c r="D20" i="7"/>
  <c r="E20" i="7"/>
  <c r="G20" i="7"/>
  <c r="C21" i="7"/>
  <c r="D21" i="7"/>
  <c r="E21" i="7"/>
  <c r="G21" i="7"/>
  <c r="C22" i="7"/>
  <c r="D22" i="7"/>
  <c r="E22" i="7"/>
  <c r="G22" i="7"/>
  <c r="C23" i="7"/>
  <c r="D23" i="7"/>
  <c r="E23" i="7"/>
  <c r="G23" i="7"/>
  <c r="C24" i="7"/>
  <c r="D24" i="7"/>
  <c r="E24" i="7"/>
  <c r="G24" i="7"/>
  <c r="C25" i="7"/>
  <c r="D25" i="7"/>
  <c r="E25" i="7"/>
  <c r="G25" i="7"/>
  <c r="C26" i="7"/>
  <c r="D26" i="7"/>
  <c r="E26" i="7"/>
  <c r="G26" i="7"/>
  <c r="C27" i="7"/>
  <c r="D27" i="7"/>
  <c r="E27" i="7"/>
  <c r="G27" i="7"/>
  <c r="C28" i="7"/>
  <c r="D28" i="7"/>
  <c r="E28" i="7"/>
  <c r="G28" i="7"/>
  <c r="C29" i="7"/>
  <c r="D29" i="7"/>
  <c r="E29" i="7"/>
  <c r="G29" i="7"/>
  <c r="C30" i="7"/>
  <c r="D30" i="7"/>
  <c r="E30" i="7"/>
  <c r="G30" i="7"/>
  <c r="C31" i="7"/>
  <c r="D31" i="7"/>
  <c r="E31" i="7"/>
  <c r="G31" i="7"/>
  <c r="C32" i="7"/>
  <c r="D32" i="7"/>
  <c r="E32" i="7"/>
  <c r="G32" i="7"/>
  <c r="C33" i="7"/>
  <c r="D33" i="7"/>
  <c r="E33" i="7"/>
  <c r="G33" i="7"/>
  <c r="C34" i="7"/>
  <c r="D34" i="7"/>
  <c r="E34" i="7"/>
  <c r="G34" i="7"/>
  <c r="C35" i="7"/>
  <c r="D35" i="7"/>
  <c r="E35" i="7"/>
  <c r="G35" i="7"/>
  <c r="C36" i="7"/>
  <c r="D36" i="7"/>
  <c r="E36" i="7"/>
  <c r="G36" i="7"/>
  <c r="C37" i="7"/>
  <c r="D37" i="7"/>
  <c r="E37" i="7"/>
  <c r="G37" i="7"/>
  <c r="C38" i="7"/>
  <c r="D38" i="7"/>
  <c r="E38" i="7"/>
  <c r="G38" i="7"/>
  <c r="C39" i="7"/>
  <c r="D39" i="7"/>
  <c r="E39" i="7"/>
  <c r="G39" i="7"/>
  <c r="C40" i="7"/>
  <c r="D40" i="7"/>
  <c r="E40" i="7"/>
  <c r="G40" i="7"/>
  <c r="C41" i="7"/>
  <c r="D41" i="7"/>
  <c r="E41" i="7"/>
  <c r="G41" i="7"/>
  <c r="C42" i="7"/>
  <c r="D42" i="7"/>
  <c r="E42" i="7"/>
  <c r="G42" i="7"/>
  <c r="C43" i="7"/>
  <c r="D43" i="7"/>
  <c r="E43" i="7"/>
  <c r="G43" i="7"/>
  <c r="C44" i="7"/>
  <c r="D44" i="7"/>
  <c r="E44" i="7"/>
  <c r="G44" i="7"/>
  <c r="C45" i="7"/>
  <c r="D45" i="7"/>
  <c r="E45" i="7"/>
  <c r="G45" i="7"/>
  <c r="C46" i="7"/>
  <c r="D46" i="7"/>
  <c r="E46" i="7"/>
  <c r="G46" i="7"/>
  <c r="C47" i="7"/>
  <c r="D47" i="7"/>
  <c r="E47" i="7"/>
  <c r="G47" i="7"/>
  <c r="C48" i="7"/>
  <c r="D48" i="7"/>
  <c r="E48" i="7"/>
  <c r="G48" i="7"/>
  <c r="C49" i="7"/>
  <c r="D49" i="7"/>
  <c r="E49" i="7"/>
  <c r="G49" i="7"/>
  <c r="C50" i="7"/>
  <c r="D50" i="7"/>
  <c r="E50" i="7"/>
  <c r="G50" i="7"/>
  <c r="C51" i="7"/>
  <c r="D51" i="7"/>
  <c r="E51" i="7"/>
  <c r="G51" i="7"/>
  <c r="C52" i="7"/>
  <c r="D52" i="7"/>
  <c r="E52" i="7"/>
  <c r="G52" i="7"/>
  <c r="C53" i="7"/>
  <c r="D53" i="7"/>
  <c r="E53" i="7"/>
  <c r="G53" i="7"/>
  <c r="C54" i="7"/>
  <c r="D54" i="7"/>
  <c r="E54" i="7"/>
  <c r="G54" i="7"/>
  <c r="C55" i="7"/>
  <c r="D55" i="7"/>
  <c r="E55" i="7"/>
  <c r="G55" i="7"/>
  <c r="C56" i="7"/>
  <c r="D56" i="7"/>
  <c r="E56" i="7"/>
  <c r="G56" i="7"/>
  <c r="C57" i="7"/>
  <c r="D57" i="7"/>
  <c r="E57" i="7"/>
  <c r="G57" i="7"/>
  <c r="C58" i="7"/>
  <c r="D58" i="7"/>
  <c r="E58" i="7"/>
  <c r="G58" i="7"/>
  <c r="C59" i="7"/>
  <c r="D59" i="7"/>
  <c r="E59" i="7"/>
  <c r="G59" i="7"/>
  <c r="C60" i="7"/>
  <c r="D60" i="7"/>
  <c r="E60" i="7"/>
  <c r="G60" i="7"/>
  <c r="C61" i="7"/>
  <c r="D61" i="7"/>
  <c r="E61" i="7"/>
  <c r="G61" i="7"/>
  <c r="C62" i="7"/>
  <c r="D62" i="7"/>
  <c r="E62" i="7"/>
  <c r="G62" i="7"/>
  <c r="C63" i="7"/>
  <c r="D63" i="7"/>
  <c r="E63" i="7"/>
  <c r="G63" i="7"/>
  <c r="C64" i="7"/>
  <c r="D64" i="7"/>
  <c r="E64" i="7"/>
  <c r="G64" i="7"/>
  <c r="C65" i="7"/>
  <c r="D65" i="7"/>
  <c r="E65" i="7"/>
  <c r="G65" i="7"/>
  <c r="C66" i="7"/>
  <c r="D66" i="7"/>
  <c r="E66" i="7"/>
  <c r="G66" i="7"/>
  <c r="C67" i="7"/>
  <c r="D67" i="7"/>
  <c r="E67" i="7"/>
  <c r="G67" i="7"/>
  <c r="C68" i="7"/>
  <c r="D68" i="7"/>
  <c r="E68" i="7"/>
  <c r="G68" i="7"/>
  <c r="C69" i="7"/>
  <c r="D69" i="7"/>
  <c r="E69" i="7"/>
  <c r="G69" i="7"/>
  <c r="C70" i="7"/>
  <c r="D70" i="7"/>
  <c r="E70" i="7"/>
  <c r="G70" i="7"/>
  <c r="C71" i="7"/>
  <c r="D71" i="7"/>
  <c r="E71" i="7"/>
  <c r="G71" i="7"/>
  <c r="C72" i="7"/>
  <c r="D72" i="7"/>
  <c r="E72" i="7"/>
  <c r="G72" i="7"/>
  <c r="C73" i="7"/>
  <c r="D73" i="7"/>
  <c r="E73" i="7"/>
  <c r="G73" i="7"/>
  <c r="C74" i="7"/>
  <c r="D74" i="7"/>
  <c r="E74" i="7"/>
  <c r="G74" i="7"/>
  <c r="C75" i="7"/>
  <c r="D75" i="7"/>
  <c r="E75" i="7"/>
  <c r="G75" i="7"/>
  <c r="C76" i="7"/>
  <c r="D76" i="7"/>
  <c r="E76" i="7"/>
  <c r="G76" i="7"/>
  <c r="C77" i="7"/>
  <c r="D77" i="7"/>
  <c r="E77" i="7"/>
  <c r="G77" i="7"/>
  <c r="C78" i="7"/>
  <c r="D78" i="7"/>
  <c r="E78" i="7"/>
  <c r="G78" i="7"/>
  <c r="C79" i="7"/>
  <c r="D79" i="7"/>
  <c r="E79" i="7"/>
  <c r="G79" i="7"/>
  <c r="C80" i="7"/>
  <c r="D80" i="7"/>
  <c r="E80" i="7"/>
  <c r="G80" i="7"/>
  <c r="C81" i="7"/>
  <c r="D81" i="7"/>
  <c r="E81" i="7"/>
  <c r="G81" i="7"/>
  <c r="C82" i="7"/>
  <c r="D82" i="7"/>
  <c r="E82" i="7"/>
  <c r="G82" i="7"/>
  <c r="C83" i="7"/>
  <c r="D83" i="7"/>
  <c r="E83" i="7"/>
  <c r="G83" i="7"/>
  <c r="C84" i="7"/>
  <c r="D84" i="7"/>
  <c r="E84" i="7"/>
  <c r="G84" i="7"/>
  <c r="C85" i="7"/>
  <c r="D85" i="7"/>
  <c r="E85" i="7"/>
  <c r="G85" i="7"/>
  <c r="C86" i="7"/>
  <c r="D86" i="7"/>
  <c r="E86" i="7"/>
  <c r="G86" i="7"/>
  <c r="C87" i="7"/>
  <c r="D87" i="7"/>
  <c r="E87" i="7"/>
  <c r="G87" i="7"/>
  <c r="C88" i="7"/>
  <c r="D88" i="7"/>
  <c r="E88" i="7"/>
  <c r="G88" i="7"/>
  <c r="C89" i="7"/>
  <c r="D89" i="7"/>
  <c r="E89" i="7"/>
  <c r="G89" i="7"/>
  <c r="C90" i="7"/>
  <c r="D90" i="7"/>
  <c r="E90" i="7"/>
  <c r="G90" i="7"/>
  <c r="C91" i="7"/>
  <c r="D91" i="7"/>
  <c r="E91" i="7"/>
  <c r="G91" i="7"/>
  <c r="C92" i="7"/>
  <c r="D92" i="7"/>
  <c r="E92" i="7"/>
  <c r="G92" i="7"/>
  <c r="C93" i="7"/>
  <c r="D93" i="7"/>
  <c r="E93" i="7"/>
  <c r="G93" i="7"/>
  <c r="C94" i="7"/>
  <c r="D94" i="7"/>
  <c r="E94" i="7"/>
  <c r="G94" i="7"/>
  <c r="C95" i="7"/>
  <c r="D95" i="7"/>
  <c r="E95" i="7"/>
  <c r="G95" i="7"/>
  <c r="C96" i="7"/>
  <c r="D96" i="7"/>
  <c r="E96" i="7"/>
  <c r="G96" i="7"/>
  <c r="C97" i="7"/>
  <c r="D97" i="7"/>
  <c r="E97" i="7"/>
  <c r="G97" i="7"/>
  <c r="C98" i="7"/>
  <c r="D98" i="7"/>
  <c r="E98" i="7"/>
  <c r="G98" i="7"/>
  <c r="C99" i="7"/>
  <c r="D99" i="7"/>
  <c r="E99" i="7"/>
  <c r="G99" i="7"/>
  <c r="C100" i="7"/>
  <c r="D100" i="7"/>
  <c r="E100" i="7"/>
  <c r="G100" i="7"/>
  <c r="C101" i="7"/>
  <c r="D101" i="7"/>
  <c r="E101" i="7"/>
  <c r="G101" i="7"/>
  <c r="C102" i="7"/>
  <c r="D102" i="7"/>
  <c r="E102" i="7"/>
  <c r="G102" i="7"/>
  <c r="C103" i="7"/>
  <c r="D103" i="7"/>
  <c r="E103" i="7"/>
  <c r="G103" i="7"/>
  <c r="G104" i="7"/>
  <c r="C105" i="7"/>
  <c r="D105" i="7"/>
  <c r="E105" i="7"/>
  <c r="G105" i="7"/>
  <c r="B8" i="2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I2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M41" i="8"/>
  <c r="M25" i="8"/>
  <c r="C6" i="23"/>
  <c r="L41" i="8"/>
  <c r="L25" i="8"/>
  <c r="B6" i="23"/>
  <c r="M20" i="8"/>
  <c r="M4" i="8"/>
  <c r="C5" i="23"/>
  <c r="L20" i="8"/>
  <c r="L4" i="8"/>
  <c r="B5" i="23"/>
  <c r="I4" i="8"/>
  <c r="I20" i="8"/>
  <c r="C2" i="23"/>
  <c r="T20" i="8"/>
  <c r="T4" i="8"/>
  <c r="B4" i="23"/>
  <c r="P4" i="8"/>
  <c r="P20" i="8"/>
  <c r="B3" i="23"/>
  <c r="U4" i="8"/>
  <c r="U20" i="8"/>
  <c r="C4" i="23"/>
  <c r="Q4" i="8"/>
  <c r="Q20" i="8"/>
  <c r="C3" i="23"/>
  <c r="H4" i="8"/>
  <c r="H20" i="8"/>
  <c r="B2" i="2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3" i="4"/>
  <c r="D3" i="4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C3" i="22"/>
  <c r="D3" i="2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3" i="3"/>
  <c r="H5" i="22"/>
  <c r="U5" i="22"/>
  <c r="L5" i="22"/>
  <c r="V5" i="22"/>
  <c r="P5" i="22"/>
  <c r="H6" i="22"/>
  <c r="U6" i="22"/>
  <c r="L6" i="22"/>
  <c r="V6" i="22"/>
  <c r="P6" i="22"/>
  <c r="H7" i="22"/>
  <c r="U7" i="22"/>
  <c r="L7" i="22"/>
  <c r="V7" i="22"/>
  <c r="P7" i="22"/>
  <c r="H8" i="22"/>
  <c r="U8" i="22"/>
  <c r="L8" i="22"/>
  <c r="V8" i="22"/>
  <c r="P8" i="22"/>
  <c r="H9" i="22"/>
  <c r="U9" i="22"/>
  <c r="L9" i="22"/>
  <c r="V9" i="22"/>
  <c r="P9" i="22"/>
  <c r="H10" i="22"/>
  <c r="U10" i="22"/>
  <c r="L10" i="22"/>
  <c r="V10" i="22"/>
  <c r="P10" i="22"/>
  <c r="H11" i="22"/>
  <c r="U11" i="22"/>
  <c r="L11" i="22"/>
  <c r="V11" i="22"/>
  <c r="P11" i="22"/>
  <c r="H12" i="22"/>
  <c r="U12" i="22"/>
  <c r="L12" i="22"/>
  <c r="V12" i="22"/>
  <c r="P12" i="22"/>
  <c r="H13" i="22"/>
  <c r="U13" i="22"/>
  <c r="L13" i="22"/>
  <c r="V13" i="22"/>
  <c r="P13" i="22"/>
  <c r="H14" i="22"/>
  <c r="U14" i="22"/>
  <c r="L14" i="22"/>
  <c r="V14" i="22"/>
  <c r="P14" i="22"/>
  <c r="H15" i="22"/>
  <c r="U15" i="22"/>
  <c r="L15" i="22"/>
  <c r="V15" i="22"/>
  <c r="P15" i="22"/>
  <c r="H16" i="22"/>
  <c r="U16" i="22"/>
  <c r="L16" i="22"/>
  <c r="V16" i="22"/>
  <c r="P16" i="22"/>
  <c r="H17" i="22"/>
  <c r="U17" i="22"/>
  <c r="L17" i="22"/>
  <c r="V17" i="22"/>
  <c r="P17" i="22"/>
  <c r="H18" i="22"/>
  <c r="U18" i="22"/>
  <c r="L18" i="22"/>
  <c r="V18" i="22"/>
  <c r="P18" i="22"/>
  <c r="H19" i="22"/>
  <c r="U19" i="22"/>
  <c r="L19" i="22"/>
  <c r="V19" i="22"/>
  <c r="P19" i="22"/>
  <c r="H20" i="22"/>
  <c r="U20" i="22"/>
  <c r="L20" i="22"/>
  <c r="V20" i="22"/>
  <c r="P20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J20" i="2"/>
  <c r="K20" i="2"/>
  <c r="H4" i="22"/>
  <c r="U4" i="22"/>
  <c r="L4" i="22"/>
  <c r="V4" i="22"/>
  <c r="P4" i="22"/>
  <c r="R4" i="22"/>
  <c r="Q20" i="22"/>
  <c r="S20" i="22"/>
  <c r="Q19" i="22"/>
  <c r="S19" i="22"/>
  <c r="Q18" i="22"/>
  <c r="S18" i="22"/>
  <c r="Q17" i="22"/>
  <c r="S17" i="22"/>
  <c r="Q16" i="22"/>
  <c r="S16" i="22"/>
  <c r="Q15" i="22"/>
  <c r="S15" i="22"/>
  <c r="Q14" i="22"/>
  <c r="S14" i="22"/>
  <c r="Q13" i="22"/>
  <c r="S13" i="22"/>
  <c r="Q12" i="22"/>
  <c r="S12" i="22"/>
  <c r="Q11" i="22"/>
  <c r="S11" i="22"/>
  <c r="Q10" i="22"/>
  <c r="S10" i="22"/>
  <c r="Q9" i="22"/>
  <c r="S9" i="22"/>
  <c r="Q8" i="22"/>
  <c r="S8" i="22"/>
  <c r="Q7" i="22"/>
  <c r="S7" i="22"/>
  <c r="Q6" i="22"/>
  <c r="S6" i="22"/>
  <c r="Q5" i="22"/>
  <c r="S5" i="22"/>
  <c r="F20" i="2"/>
  <c r="C17" i="23"/>
  <c r="C18" i="23"/>
  <c r="I24" i="8"/>
  <c r="G24" i="16"/>
  <c r="H24" i="16"/>
  <c r="G24" i="14"/>
  <c r="H24" i="14"/>
  <c r="G24" i="21"/>
  <c r="H24" i="21"/>
  <c r="G24" i="20"/>
  <c r="H24" i="20"/>
  <c r="G24" i="15"/>
  <c r="H24" i="15"/>
  <c r="G24" i="18"/>
  <c r="H24" i="18"/>
  <c r="G24" i="19"/>
  <c r="H24" i="19"/>
  <c r="H41" i="8"/>
  <c r="I41" i="8"/>
  <c r="P41" i="8"/>
  <c r="Q41" i="8"/>
  <c r="G20" i="5"/>
  <c r="R20" i="22"/>
  <c r="T20" i="22"/>
  <c r="Q20" i="3"/>
  <c r="R20" i="3"/>
  <c r="S20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D20" i="2"/>
  <c r="C3" i="2"/>
  <c r="H19" i="8"/>
  <c r="L40" i="8"/>
  <c r="D21" i="23"/>
  <c r="L19" i="8"/>
  <c r="T19" i="8"/>
  <c r="I20" i="4"/>
  <c r="J20" i="4"/>
  <c r="P19" i="8"/>
  <c r="Q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7" i="18"/>
  <c r="H7" i="18"/>
  <c r="G8" i="18"/>
  <c r="H8" i="18"/>
  <c r="G9" i="18"/>
  <c r="H9" i="18"/>
  <c r="D22" i="23"/>
  <c r="C5" i="17"/>
  <c r="D5" i="17"/>
  <c r="E5" i="17"/>
  <c r="F5" i="17"/>
  <c r="G5" i="17"/>
  <c r="C6" i="17"/>
  <c r="D6" i="17"/>
  <c r="E6" i="17"/>
  <c r="C7" i="17"/>
  <c r="D7" i="17"/>
  <c r="E7" i="17"/>
  <c r="C8" i="17"/>
  <c r="D8" i="17"/>
  <c r="E8" i="17"/>
  <c r="C9" i="17"/>
  <c r="D9" i="17"/>
  <c r="E9" i="17"/>
  <c r="C10" i="17"/>
  <c r="D10" i="17"/>
  <c r="E10" i="17"/>
  <c r="C11" i="17"/>
  <c r="D11" i="17"/>
  <c r="E11" i="17"/>
  <c r="C12" i="17"/>
  <c r="D12" i="17"/>
  <c r="E12" i="17"/>
  <c r="C13" i="17"/>
  <c r="D13" i="17"/>
  <c r="E13" i="17"/>
  <c r="C14" i="17"/>
  <c r="D14" i="17"/>
  <c r="E14" i="17"/>
  <c r="C15" i="17"/>
  <c r="D15" i="17"/>
  <c r="E15" i="17"/>
  <c r="C16" i="17"/>
  <c r="D16" i="17"/>
  <c r="E16" i="17"/>
  <c r="C17" i="17"/>
  <c r="D17" i="17"/>
  <c r="E17" i="17"/>
  <c r="C18" i="17"/>
  <c r="D18" i="17"/>
  <c r="E18" i="17"/>
  <c r="C19" i="17"/>
  <c r="D19" i="17"/>
  <c r="E19" i="17"/>
  <c r="C20" i="17"/>
  <c r="D20" i="17"/>
  <c r="E20" i="17"/>
  <c r="C21" i="17"/>
  <c r="D21" i="17"/>
  <c r="E21" i="17"/>
  <c r="C22" i="17"/>
  <c r="D22" i="17"/>
  <c r="E22" i="17"/>
  <c r="C23" i="17"/>
  <c r="D23" i="17"/>
  <c r="E23" i="17"/>
  <c r="C24" i="17"/>
  <c r="D24" i="17"/>
  <c r="E24" i="17"/>
  <c r="C25" i="17"/>
  <c r="D25" i="17"/>
  <c r="E25" i="17"/>
  <c r="C26" i="17"/>
  <c r="D26" i="17"/>
  <c r="E26" i="17"/>
  <c r="C27" i="17"/>
  <c r="D27" i="17"/>
  <c r="E27" i="17"/>
  <c r="C28" i="17"/>
  <c r="D28" i="17"/>
  <c r="E28" i="17"/>
  <c r="C29" i="17"/>
  <c r="D29" i="17"/>
  <c r="E29" i="17"/>
  <c r="C30" i="17"/>
  <c r="D30" i="17"/>
  <c r="E30" i="17"/>
  <c r="C31" i="17"/>
  <c r="D31" i="17"/>
  <c r="E31" i="17"/>
  <c r="C32" i="17"/>
  <c r="D32" i="17"/>
  <c r="E32" i="17"/>
  <c r="C33" i="17"/>
  <c r="D33" i="17"/>
  <c r="E33" i="17"/>
  <c r="C34" i="17"/>
  <c r="D34" i="17"/>
  <c r="E34" i="17"/>
  <c r="C35" i="17"/>
  <c r="D35" i="17"/>
  <c r="E35" i="17"/>
  <c r="C36" i="17"/>
  <c r="D36" i="17"/>
  <c r="E36" i="17"/>
  <c r="C37" i="17"/>
  <c r="D37" i="17"/>
  <c r="E37" i="17"/>
  <c r="C38" i="17"/>
  <c r="D38" i="17"/>
  <c r="E38" i="17"/>
  <c r="C39" i="17"/>
  <c r="D39" i="17"/>
  <c r="E39" i="17"/>
  <c r="C40" i="17"/>
  <c r="D40" i="17"/>
  <c r="E40" i="17"/>
  <c r="C41" i="17"/>
  <c r="D41" i="17"/>
  <c r="E41" i="17"/>
  <c r="C42" i="17"/>
  <c r="D42" i="17"/>
  <c r="E42" i="17"/>
  <c r="C43" i="17"/>
  <c r="D43" i="17"/>
  <c r="E43" i="17"/>
  <c r="C44" i="17"/>
  <c r="D44" i="17"/>
  <c r="E44" i="17"/>
  <c r="C45" i="17"/>
  <c r="D45" i="17"/>
  <c r="E45" i="17"/>
  <c r="C46" i="17"/>
  <c r="D46" i="17"/>
  <c r="E46" i="17"/>
  <c r="C47" i="17"/>
  <c r="D47" i="17"/>
  <c r="E47" i="17"/>
  <c r="C48" i="17"/>
  <c r="D48" i="17"/>
  <c r="E48" i="17"/>
  <c r="C49" i="17"/>
  <c r="D49" i="17"/>
  <c r="E49" i="17"/>
  <c r="C50" i="17"/>
  <c r="D50" i="17"/>
  <c r="E50" i="17"/>
  <c r="C51" i="17"/>
  <c r="D51" i="17"/>
  <c r="E51" i="17"/>
  <c r="C52" i="17"/>
  <c r="D52" i="17"/>
  <c r="E52" i="17"/>
  <c r="C53" i="17"/>
  <c r="D53" i="17"/>
  <c r="E53" i="17"/>
  <c r="C54" i="17"/>
  <c r="D54" i="17"/>
  <c r="E54" i="17"/>
  <c r="C55" i="17"/>
  <c r="D55" i="17"/>
  <c r="E55" i="17"/>
  <c r="C56" i="17"/>
  <c r="D56" i="17"/>
  <c r="E56" i="17"/>
  <c r="C57" i="17"/>
  <c r="D57" i="17"/>
  <c r="E57" i="17"/>
  <c r="C58" i="17"/>
  <c r="D58" i="17"/>
  <c r="E58" i="17"/>
  <c r="C59" i="17"/>
  <c r="D59" i="17"/>
  <c r="E59" i="17"/>
  <c r="C60" i="17"/>
  <c r="D60" i="17"/>
  <c r="E60" i="17"/>
  <c r="C61" i="17"/>
  <c r="D61" i="17"/>
  <c r="E61" i="17"/>
  <c r="C62" i="17"/>
  <c r="D62" i="17"/>
  <c r="E62" i="17"/>
  <c r="C63" i="17"/>
  <c r="D63" i="17"/>
  <c r="E63" i="17"/>
  <c r="C64" i="17"/>
  <c r="D64" i="17"/>
  <c r="E64" i="17"/>
  <c r="C65" i="17"/>
  <c r="D65" i="17"/>
  <c r="E65" i="17"/>
  <c r="C66" i="17"/>
  <c r="D66" i="17"/>
  <c r="E66" i="17"/>
  <c r="C67" i="17"/>
  <c r="D67" i="17"/>
  <c r="E67" i="17"/>
  <c r="C68" i="17"/>
  <c r="D68" i="17"/>
  <c r="E68" i="17"/>
  <c r="C69" i="17"/>
  <c r="D69" i="17"/>
  <c r="E69" i="17"/>
  <c r="C70" i="17"/>
  <c r="D70" i="17"/>
  <c r="E70" i="17"/>
  <c r="C71" i="17"/>
  <c r="D71" i="17"/>
  <c r="E71" i="17"/>
  <c r="C72" i="17"/>
  <c r="D72" i="17"/>
  <c r="E72" i="17"/>
  <c r="C73" i="17"/>
  <c r="D73" i="17"/>
  <c r="E73" i="17"/>
  <c r="C74" i="17"/>
  <c r="D74" i="17"/>
  <c r="E74" i="17"/>
  <c r="C75" i="17"/>
  <c r="D75" i="17"/>
  <c r="E75" i="17"/>
  <c r="C76" i="17"/>
  <c r="D76" i="17"/>
  <c r="E76" i="17"/>
  <c r="C77" i="17"/>
  <c r="D77" i="17"/>
  <c r="E77" i="17"/>
  <c r="C78" i="17"/>
  <c r="D78" i="17"/>
  <c r="E78" i="17"/>
  <c r="C79" i="17"/>
  <c r="D79" i="17"/>
  <c r="E79" i="17"/>
  <c r="C80" i="17"/>
  <c r="D80" i="17"/>
  <c r="E80" i="17"/>
  <c r="C81" i="17"/>
  <c r="D81" i="17"/>
  <c r="E81" i="17"/>
  <c r="C82" i="17"/>
  <c r="D82" i="17"/>
  <c r="E82" i="17"/>
  <c r="C83" i="17"/>
  <c r="D83" i="17"/>
  <c r="E83" i="17"/>
  <c r="C84" i="17"/>
  <c r="D84" i="17"/>
  <c r="E84" i="17"/>
  <c r="C85" i="17"/>
  <c r="D85" i="17"/>
  <c r="E85" i="17"/>
  <c r="C86" i="17"/>
  <c r="D86" i="17"/>
  <c r="E86" i="17"/>
  <c r="C87" i="17"/>
  <c r="D87" i="17"/>
  <c r="E87" i="17"/>
  <c r="C88" i="17"/>
  <c r="D88" i="17"/>
  <c r="E88" i="17"/>
  <c r="C89" i="17"/>
  <c r="D89" i="17"/>
  <c r="E89" i="17"/>
  <c r="C90" i="17"/>
  <c r="D90" i="17"/>
  <c r="E90" i="17"/>
  <c r="C91" i="17"/>
  <c r="D91" i="17"/>
  <c r="E91" i="17"/>
  <c r="C92" i="17"/>
  <c r="D92" i="17"/>
  <c r="E92" i="17"/>
  <c r="C93" i="17"/>
  <c r="D93" i="17"/>
  <c r="E93" i="17"/>
  <c r="C94" i="17"/>
  <c r="D94" i="17"/>
  <c r="E94" i="17"/>
  <c r="C95" i="17"/>
  <c r="D95" i="17"/>
  <c r="E95" i="17"/>
  <c r="C96" i="17"/>
  <c r="D96" i="17"/>
  <c r="E96" i="17"/>
  <c r="C97" i="17"/>
  <c r="D97" i="17"/>
  <c r="E97" i="17"/>
  <c r="C98" i="17"/>
  <c r="D98" i="17"/>
  <c r="E98" i="17"/>
  <c r="C99" i="17"/>
  <c r="D99" i="17"/>
  <c r="E99" i="17"/>
  <c r="C100" i="17"/>
  <c r="D100" i="17"/>
  <c r="E100" i="17"/>
  <c r="C101" i="17"/>
  <c r="D101" i="17"/>
  <c r="E101" i="17"/>
  <c r="D19" i="23"/>
  <c r="D18" i="23"/>
  <c r="D17" i="23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19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M40" i="8"/>
  <c r="M19" i="8"/>
  <c r="U19" i="8"/>
  <c r="Q19" i="8"/>
  <c r="I19" i="8"/>
  <c r="L24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T13" i="8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5" i="8"/>
  <c r="I35" i="8"/>
  <c r="M35" i="8"/>
  <c r="P35" i="8"/>
  <c r="Q35" i="8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P40" i="8"/>
  <c r="Q40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G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4" i="8"/>
  <c r="H24" i="8"/>
  <c r="U3" i="8"/>
  <c r="Q3" i="8"/>
  <c r="M3" i="8"/>
  <c r="Q24" i="8"/>
  <c r="M24" i="8"/>
  <c r="T3" i="8"/>
  <c r="P3" i="8"/>
  <c r="L3" i="8"/>
  <c r="G3" i="5"/>
  <c r="P25" i="8"/>
  <c r="I25" i="8"/>
  <c r="Q25" i="8"/>
  <c r="H25" i="8"/>
  <c r="G4" i="5"/>
  <c r="P5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Q27" i="8"/>
  <c r="P6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H7" i="8"/>
  <c r="P7" i="8"/>
  <c r="G6" i="5"/>
  <c r="U8" i="8"/>
  <c r="M8" i="8"/>
  <c r="I29" i="8"/>
  <c r="P29" i="8"/>
  <c r="H8" i="8"/>
  <c r="H29" i="8"/>
  <c r="G7" i="5"/>
  <c r="T8" i="8"/>
  <c r="Q8" i="8"/>
  <c r="M29" i="8"/>
  <c r="T9" i="8"/>
  <c r="L8" i="8"/>
  <c r="I8" i="8"/>
  <c r="P8" i="8"/>
  <c r="Q29" i="8"/>
  <c r="L9" i="8"/>
  <c r="M30" i="8"/>
  <c r="U9" i="8"/>
  <c r="M9" i="8"/>
  <c r="H30" i="8"/>
  <c r="I30" i="8"/>
  <c r="P30" i="8"/>
  <c r="H9" i="8"/>
  <c r="P9" i="8"/>
  <c r="Q9" i="8"/>
  <c r="G8" i="5"/>
  <c r="Q30" i="8"/>
  <c r="I9" i="8"/>
  <c r="Q31" i="8"/>
  <c r="U10" i="8"/>
  <c r="M31" i="8"/>
  <c r="H31" i="8"/>
  <c r="Q10" i="8"/>
  <c r="I10" i="8"/>
  <c r="T10" i="8"/>
  <c r="L10" i="8"/>
  <c r="G9" i="5"/>
  <c r="P31" i="8"/>
  <c r="P10" i="8"/>
  <c r="M10" i="8"/>
  <c r="I31" i="8"/>
  <c r="H10" i="8"/>
  <c r="P32" i="8"/>
  <c r="T11" i="8"/>
  <c r="L11" i="8"/>
  <c r="I32" i="8"/>
  <c r="Q11" i="8"/>
  <c r="I11" i="8"/>
  <c r="G10" i="5"/>
  <c r="M32" i="8"/>
  <c r="H32" i="8"/>
  <c r="P11" i="8"/>
  <c r="Q32" i="8"/>
  <c r="U11" i="8"/>
  <c r="M11" i="8"/>
  <c r="H11" i="8"/>
  <c r="Q33" i="8"/>
  <c r="U12" i="8"/>
  <c r="M12" i="8"/>
  <c r="H12" i="8"/>
  <c r="M33" i="8"/>
  <c r="H33" i="8"/>
  <c r="P12" i="8"/>
  <c r="G11" i="5"/>
  <c r="I33" i="8"/>
  <c r="Q12" i="8"/>
  <c r="I12" i="8"/>
  <c r="P33" i="8"/>
  <c r="T12" i="8"/>
  <c r="L12" i="8"/>
  <c r="G12" i="5"/>
  <c r="H34" i="8"/>
  <c r="H13" i="8"/>
  <c r="U13" i="8"/>
  <c r="L13" i="8"/>
  <c r="Q34" i="8"/>
  <c r="I34" i="8"/>
  <c r="Q13" i="8"/>
  <c r="I13" i="8"/>
  <c r="P34" i="8"/>
  <c r="P13" i="8"/>
  <c r="M34" i="8"/>
  <c r="M13" i="8"/>
  <c r="D20" i="23"/>
  <c r="C20" i="23"/>
  <c r="C15" i="23"/>
  <c r="C16" i="23"/>
  <c r="D15" i="23"/>
  <c r="B12" i="23"/>
  <c r="D16" i="23"/>
  <c r="C19" i="23"/>
  <c r="C21" i="23"/>
  <c r="C22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<sst xmlns="http://schemas.openxmlformats.org/spreadsheetml/2006/main" count="417" uniqueCount="180">
  <si>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</si>
  <si>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</si>
  <si>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</si>
  <si>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</si>
  <si>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</si>
  <si>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</si>
  <si>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</si>
  <si>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</si>
  <si>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</si>
  <si>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</si>
  <si>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</si>
  <si>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</si>
  <si>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</si>
  <si>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</si>
  <si>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</si>
  <si>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</si>
  <si>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</si>
  <si>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</si>
  <si>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</si>
  <si>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</si>
  <si>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</si>
  <si>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</si>
  <si>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</si>
  <si>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</si>
  <si>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</si>
  <si>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</si>
  <si>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</si>
  <si>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</si>
  <si>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</si>
  <si>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</si>
  <si>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</si>
  <si>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</si>
  <si>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</si>
  <si>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</si>
  <si>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</si>
  <si>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</si>
  <si>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</si>
  <si>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</si>
  <si>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</si>
  <si>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</si>
  <si>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</si>
  <si>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</si>
  <si>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</si>
  <si>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</si>
  <si>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</si>
  <si>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</si>
  <si>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</si>
  <si>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</si>
  <si>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</si>
  <si>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</si>
  <si>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</si>
  <si>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</si>
  <si>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</si>
  <si>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</si>
  <si>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</si>
  <si>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</si>
  <si>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</si>
  <si>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</si>
  <si>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</si>
  <si>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</si>
  <si>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</si>
  <si>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</si>
  <si>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</si>
  <si>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</si>
  <si>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</si>
  <si>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</si>
  <si>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</si>
  <si>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</si>
  <si>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</si>
  <si>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</si>
  <si>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</si>
  <si>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</si>
  <si>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</si>
  <si>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</si>
  <si>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</si>
  <si>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</si>
  <si>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</si>
  <si>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</si>
  <si>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</si>
  <si>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</si>
  <si>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</si>
  <si>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</si>
  <si>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</si>
  <si>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</si>
  <si>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</si>
  <si>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</si>
  <si>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</si>
  <si>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</si>
  <si>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</si>
  <si>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</si>
  <si>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</si>
  <si>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</si>
  <si>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</si>
  <si>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</si>
  <si>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</si>
  <si>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</si>
  <si>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</si>
  <si>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</si>
  <si>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</si>
  <si>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</si>
  <si>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</si>
  <si>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</si>
  <si>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</si>
  <si>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</si>
  <si>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</si>
  <si>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</si>
  <si>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</si>
  <si>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</si>
  <si>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</si>
  <si>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</si>
  <si>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</si>
  <si>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</si>
  <si>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</si>
  <si>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</si>
  <si>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</si>
  <si>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</si>
  <si>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</si>
  <si>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</si>
  <si>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</si>
  <si>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</si>
  <si>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</si>
  <si>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</si>
  <si>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</si>
  <si>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Acetic acid consumed</t>
  </si>
  <si>
    <t>Formic acid produced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</si>
  <si>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</si>
  <si>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</si>
  <si>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</si>
  <si>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</si>
  <si>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r>
      <rPr>
        <i/>
        <sz val="11"/>
        <color theme="1"/>
        <rFont val="Calibri"/>
        <family val="2"/>
        <scheme val="minor"/>
      </rPr>
      <t xml:space="preserve">Faecalibacterium prausnitzii </t>
    </r>
    <r>
      <rPr>
        <sz val="11"/>
        <color theme="1"/>
        <rFont val="Calibri"/>
        <family val="2"/>
        <scheme val="minor"/>
      </rPr>
      <t>DSM 17677</t>
    </r>
    <r>
      <rPr>
        <vertAlign val="superscript"/>
        <sz val="11"/>
        <color theme="1"/>
        <rFont val="Calibri"/>
        <family val="2"/>
        <scheme val="minor"/>
      </rPr>
      <t>T</t>
    </r>
  </si>
  <si>
    <t>Theoretical</t>
  </si>
  <si>
    <t>Experimental</t>
  </si>
  <si>
    <t>x</t>
  </si>
  <si>
    <t>2x</t>
  </si>
  <si>
    <t>z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</si>
  <si>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</si>
  <si>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</si>
  <si>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</si>
  <si>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</si>
  <si>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</si>
  <si>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</si>
  <si>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</si>
  <si>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</si>
  <si>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</si>
  <si>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</si>
  <si>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</si>
  <si>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STDEV LOG(Count/mL)</t>
  </si>
  <si>
    <t>LOG</t>
  </si>
  <si>
    <t>Na-acetate trihydrate (25 mM)</t>
  </si>
  <si>
    <t>D -Fructose (25 mM)</t>
  </si>
  <si>
    <t>3.40</t>
  </si>
  <si>
    <t>0.40</t>
  </si>
  <si>
    <t>0.20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</si>
  <si>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</si>
  <si>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</si>
  <si>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</si>
  <si>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</si>
  <si>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</si>
  <si>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</si>
  <si>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</si>
  <si>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</si>
  <si>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</si>
  <si>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</si>
  <si>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</si>
  <si>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</si>
  <si>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</si>
  <si>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</si>
  <si>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</si>
  <si>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</si>
  <si>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</si>
  <si>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</si>
  <si>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x moles D-fructoe consumed</t>
  </si>
  <si>
    <t>2x moles pyruvate produced</t>
  </si>
  <si>
    <t>z moles lactate produced</t>
  </si>
  <si>
    <t>f moles formate produced</t>
  </si>
  <si>
    <t>2x-z-f moles CO2 produced</t>
  </si>
  <si>
    <t>y moles acetate consumed</t>
  </si>
  <si>
    <t>2x-z+y moles acetyl-CoA produced</t>
  </si>
  <si>
    <t>(2x-2+y)/2 moles butyrate produced</t>
  </si>
  <si>
    <t>0 moles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</si>
</sst>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7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8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9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24" fillId="0" borderId="3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164" fontId="18" fillId="0" borderId="16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1" fontId="25" fillId="0" borderId="18" xfId="0" applyNumberFormat="1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18" fillId="11" borderId="0" xfId="0" applyFont="1" applyFill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65" fontId="25" fillId="0" borderId="0" xfId="0" applyNumberFormat="1" applyFont="1"/>
    <xf numFmtId="165" fontId="26" fillId="0" borderId="0" xfId="0" applyNumberFormat="1" applyFont="1"/>
    <xf numFmtId="164" fontId="24" fillId="0" borderId="1" xfId="0" applyNumberFormat="1" applyFont="1" applyFill="1" applyBorder="1" applyAlignment="1">
      <alignment horizontal="center"/>
    </xf>
    <xf numFmtId="164" fontId="24" fillId="0" borderId="16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319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connections" Target="connections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chartsheet" Target="chartsheets/sheet1.xml"/><Relationship Id="rId18" Type="http://schemas.openxmlformats.org/officeDocument/2006/relationships/chartsheet" Target="chartsheets/sheet2.xml"/><Relationship Id="rId19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58719504324"/>
          <c:y val="0.0157103087009521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0.0128271064329879</c:v>
                  </c:pt>
                  <c:pt idx="2">
                    <c:v>0.0128271064329879</c:v>
                  </c:pt>
                  <c:pt idx="3">
                    <c:v>0.0222335242294716</c:v>
                  </c:pt>
                  <c:pt idx="4">
                    <c:v>0.0222335242294716</c:v>
                  </c:pt>
                  <c:pt idx="5">
                    <c:v>0.01284672701401</c:v>
                  </c:pt>
                  <c:pt idx="6">
                    <c:v>0.0340454718788165</c:v>
                  </c:pt>
                  <c:pt idx="7">
                    <c:v>0.0341919670245946</c:v>
                  </c:pt>
                  <c:pt idx="8">
                    <c:v>0.0259862837208261</c:v>
                  </c:pt>
                  <c:pt idx="9">
                    <c:v>0.0130784626793839</c:v>
                  </c:pt>
                  <c:pt idx="10">
                    <c:v>0.0</c:v>
                  </c:pt>
                  <c:pt idx="11">
                    <c:v>0.0228098247907611</c:v>
                  </c:pt>
                  <c:pt idx="12">
                    <c:v>0.0263665964086229</c:v>
                  </c:pt>
                  <c:pt idx="13">
                    <c:v>0.0263665964086229</c:v>
                  </c:pt>
                  <c:pt idx="14">
                    <c:v>0.0348797285082125</c:v>
                  </c:pt>
                  <c:pt idx="15">
                    <c:v>0.022834142301199</c:v>
                  </c:pt>
                  <c:pt idx="16">
                    <c:v>0.100479639884338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0.0128271064329879</c:v>
                  </c:pt>
                  <c:pt idx="2">
                    <c:v>0.0128271064329879</c:v>
                  </c:pt>
                  <c:pt idx="3">
                    <c:v>0.0222335242294716</c:v>
                  </c:pt>
                  <c:pt idx="4">
                    <c:v>0.0222335242294716</c:v>
                  </c:pt>
                  <c:pt idx="5">
                    <c:v>0.01284672701401</c:v>
                  </c:pt>
                  <c:pt idx="6">
                    <c:v>0.0340454718788165</c:v>
                  </c:pt>
                  <c:pt idx="7">
                    <c:v>0.0341919670245946</c:v>
                  </c:pt>
                  <c:pt idx="8">
                    <c:v>0.0259862837208261</c:v>
                  </c:pt>
                  <c:pt idx="9">
                    <c:v>0.0130784626793839</c:v>
                  </c:pt>
                  <c:pt idx="10">
                    <c:v>0.0</c:v>
                  </c:pt>
                  <c:pt idx="11">
                    <c:v>0.0228098247907611</c:v>
                  </c:pt>
                  <c:pt idx="12">
                    <c:v>0.0263665964086229</c:v>
                  </c:pt>
                  <c:pt idx="13">
                    <c:v>0.0263665964086229</c:v>
                  </c:pt>
                  <c:pt idx="14">
                    <c:v>0.0348797285082125</c:v>
                  </c:pt>
                  <c:pt idx="15">
                    <c:v>0.022834142301199</c:v>
                  </c:pt>
                  <c:pt idx="16">
                    <c:v>0.100479639884338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0.710950401792913</c:v>
                </c:pt>
                <c:pt idx="1">
                  <c:v>0.76279053525698</c:v>
                </c:pt>
                <c:pt idx="2">
                  <c:v>0.740573335200951</c:v>
                </c:pt>
                <c:pt idx="3">
                  <c:v>0.778173348031507</c:v>
                </c:pt>
                <c:pt idx="4">
                  <c:v>0.755939823802035</c:v>
                </c:pt>
                <c:pt idx="5">
                  <c:v>0.763957313873663</c:v>
                </c:pt>
                <c:pt idx="6">
                  <c:v>0.772650428730353</c:v>
                </c:pt>
                <c:pt idx="7">
                  <c:v>0.775975086341069</c:v>
                </c:pt>
                <c:pt idx="8">
                  <c:v>0.795168958777221</c:v>
                </c:pt>
                <c:pt idx="9">
                  <c:v>0.845695642235223</c:v>
                </c:pt>
                <c:pt idx="10">
                  <c:v>0.932368868492655</c:v>
                </c:pt>
                <c:pt idx="11">
                  <c:v>1.07206176516577</c:v>
                </c:pt>
                <c:pt idx="12">
                  <c:v>1.240655065031812</c:v>
                </c:pt>
                <c:pt idx="13">
                  <c:v>1.453773726509669</c:v>
                </c:pt>
                <c:pt idx="14">
                  <c:v>1.773451718726454</c:v>
                </c:pt>
                <c:pt idx="15">
                  <c:v>2.123575234011506</c:v>
                </c:pt>
                <c:pt idx="16">
                  <c:v>11.94073414737365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0.434965202147204</c:v>
                  </c:pt>
                  <c:pt idx="1">
                    <c:v>0.365592826014775</c:v>
                  </c:pt>
                  <c:pt idx="2">
                    <c:v>0.17102421658922</c:v>
                  </c:pt>
                  <c:pt idx="3">
                    <c:v>0.351386573620362</c:v>
                  </c:pt>
                  <c:pt idx="4">
                    <c:v>0.305677390237027</c:v>
                  </c:pt>
                  <c:pt idx="5">
                    <c:v>0.336004159175612</c:v>
                  </c:pt>
                  <c:pt idx="6">
                    <c:v>0.265372921624848</c:v>
                  </c:pt>
                  <c:pt idx="7">
                    <c:v>0.290791488681379</c:v>
                  </c:pt>
                  <c:pt idx="8">
                    <c:v>0.0584723839526734</c:v>
                  </c:pt>
                  <c:pt idx="9">
                    <c:v>0.235425395801946</c:v>
                  </c:pt>
                  <c:pt idx="10">
                    <c:v>0.238790647515984</c:v>
                  </c:pt>
                  <c:pt idx="11">
                    <c:v>0.10999109729045</c:v>
                  </c:pt>
                  <c:pt idx="12">
                    <c:v>0.21753649499897</c:v>
                  </c:pt>
                  <c:pt idx="13">
                    <c:v>0.23315613194065</c:v>
                  </c:pt>
                  <c:pt idx="14">
                    <c:v>0.233156131940652</c:v>
                  </c:pt>
                  <c:pt idx="15">
                    <c:v>0.129680199340716</c:v>
                  </c:pt>
                  <c:pt idx="16">
                    <c:v>0.103738004558179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0.434965202147204</c:v>
                  </c:pt>
                  <c:pt idx="1">
                    <c:v>0.365592826014775</c:v>
                  </c:pt>
                  <c:pt idx="2">
                    <c:v>0.17102421658922</c:v>
                  </c:pt>
                  <c:pt idx="3">
                    <c:v>0.351386573620362</c:v>
                  </c:pt>
                  <c:pt idx="4">
                    <c:v>0.305677390237027</c:v>
                  </c:pt>
                  <c:pt idx="5">
                    <c:v>0.336004159175612</c:v>
                  </c:pt>
                  <c:pt idx="6">
                    <c:v>0.265372921624848</c:v>
                  </c:pt>
                  <c:pt idx="7">
                    <c:v>0.290791488681379</c:v>
                  </c:pt>
                  <c:pt idx="8">
                    <c:v>0.0584723839526734</c:v>
                  </c:pt>
                  <c:pt idx="9">
                    <c:v>0.235425395801946</c:v>
                  </c:pt>
                  <c:pt idx="10">
                    <c:v>0.238790647515984</c:v>
                  </c:pt>
                  <c:pt idx="11">
                    <c:v>0.10999109729045</c:v>
                  </c:pt>
                  <c:pt idx="12">
                    <c:v>0.21753649499897</c:v>
                  </c:pt>
                  <c:pt idx="13">
                    <c:v>0.23315613194065</c:v>
                  </c:pt>
                  <c:pt idx="14">
                    <c:v>0.233156131940652</c:v>
                  </c:pt>
                  <c:pt idx="15">
                    <c:v>0.129680199340716</c:v>
                  </c:pt>
                  <c:pt idx="16">
                    <c:v>0.103738004558179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26.38438956417844</c:v>
                </c:pt>
                <c:pt idx="1">
                  <c:v>27.11759786364614</c:v>
                </c:pt>
                <c:pt idx="2">
                  <c:v>26.0844407143962</c:v>
                </c:pt>
                <c:pt idx="3">
                  <c:v>26.24813228740986</c:v>
                </c:pt>
                <c:pt idx="4">
                  <c:v>25.71449808588692</c:v>
                </c:pt>
                <c:pt idx="5">
                  <c:v>25.42338876099933</c:v>
                </c:pt>
                <c:pt idx="6">
                  <c:v>24.74104566330413</c:v>
                </c:pt>
                <c:pt idx="7">
                  <c:v>24.04163953921288</c:v>
                </c:pt>
                <c:pt idx="8">
                  <c:v>22.28097076605518</c:v>
                </c:pt>
                <c:pt idx="9">
                  <c:v>20.49037953277938</c:v>
                </c:pt>
                <c:pt idx="10">
                  <c:v>19.44438129773012</c:v>
                </c:pt>
                <c:pt idx="11">
                  <c:v>18.77352785030138</c:v>
                </c:pt>
                <c:pt idx="12">
                  <c:v>18.88488391155024</c:v>
                </c:pt>
                <c:pt idx="13">
                  <c:v>19.17032653415529</c:v>
                </c:pt>
                <c:pt idx="14">
                  <c:v>18.48526423990317</c:v>
                </c:pt>
                <c:pt idx="15">
                  <c:v>19.02189637040066</c:v>
                </c:pt>
                <c:pt idx="16">
                  <c:v>20.57470423737214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0.0435106639711232</c:v>
                  </c:pt>
                  <c:pt idx="4">
                    <c:v>0.0251208935563474</c:v>
                  </c:pt>
                  <c:pt idx="5">
                    <c:v>0.0435452236724505</c:v>
                  </c:pt>
                  <c:pt idx="6">
                    <c:v>0.0503648721981066</c:v>
                  </c:pt>
                  <c:pt idx="7">
                    <c:v>0.157940959518037</c:v>
                  </c:pt>
                  <c:pt idx="8">
                    <c:v>0.0672745192233808</c:v>
                  </c:pt>
                  <c:pt idx="9">
                    <c:v>0.179160448123231</c:v>
                  </c:pt>
                  <c:pt idx="10">
                    <c:v>0.203939315540317</c:v>
                  </c:pt>
                  <c:pt idx="11">
                    <c:v>0.13637279458623</c:v>
                  </c:pt>
                  <c:pt idx="12">
                    <c:v>0.374759547704408</c:v>
                  </c:pt>
                  <c:pt idx="13">
                    <c:v>0.169178708894416</c:v>
                  </c:pt>
                  <c:pt idx="14">
                    <c:v>0.211178100817669</c:v>
                  </c:pt>
                  <c:pt idx="15">
                    <c:v>0.469380967024113</c:v>
                  </c:pt>
                  <c:pt idx="16">
                    <c:v>0.20672753177499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0.0435106639711232</c:v>
                  </c:pt>
                  <c:pt idx="4">
                    <c:v>0.0251208935563474</c:v>
                  </c:pt>
                  <c:pt idx="5">
                    <c:v>0.0435452236724505</c:v>
                  </c:pt>
                  <c:pt idx="6">
                    <c:v>0.0503648721981066</c:v>
                  </c:pt>
                  <c:pt idx="7">
                    <c:v>0.157940959518037</c:v>
                  </c:pt>
                  <c:pt idx="8">
                    <c:v>0.0672745192233808</c:v>
                  </c:pt>
                  <c:pt idx="9">
                    <c:v>0.179160448123231</c:v>
                  </c:pt>
                  <c:pt idx="10">
                    <c:v>0.203939315540317</c:v>
                  </c:pt>
                  <c:pt idx="11">
                    <c:v>0.13637279458623</c:v>
                  </c:pt>
                  <c:pt idx="12">
                    <c:v>0.374759547704408</c:v>
                  </c:pt>
                  <c:pt idx="13">
                    <c:v>0.169178708894416</c:v>
                  </c:pt>
                  <c:pt idx="14">
                    <c:v>0.211178100817669</c:v>
                  </c:pt>
                  <c:pt idx="15">
                    <c:v>0.469380967024113</c:v>
                  </c:pt>
                  <c:pt idx="16">
                    <c:v>0.20672753177499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0.086957435630982</c:v>
                </c:pt>
                <c:pt idx="3">
                  <c:v>0.217553319855616</c:v>
                </c:pt>
                <c:pt idx="4">
                  <c:v>0.319078202454904</c:v>
                </c:pt>
                <c:pt idx="5">
                  <c:v>0.74026880243166</c:v>
                </c:pt>
                <c:pt idx="6">
                  <c:v>1.817385782579875</c:v>
                </c:pt>
                <c:pt idx="7">
                  <c:v>4.949958289871065</c:v>
                </c:pt>
                <c:pt idx="8">
                  <c:v>9.586368884473169</c:v>
                </c:pt>
                <c:pt idx="9">
                  <c:v>14.95422756392948</c:v>
                </c:pt>
                <c:pt idx="10">
                  <c:v>18.95836625585997</c:v>
                </c:pt>
                <c:pt idx="11">
                  <c:v>21.54550406862006</c:v>
                </c:pt>
                <c:pt idx="12">
                  <c:v>22.9090556173561</c:v>
                </c:pt>
                <c:pt idx="13">
                  <c:v>23.57934658145299</c:v>
                </c:pt>
                <c:pt idx="14">
                  <c:v>22.71541600550588</c:v>
                </c:pt>
                <c:pt idx="15">
                  <c:v>23.66871870999924</c:v>
                </c:pt>
                <c:pt idx="16">
                  <c:v>26.11964293998909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0.0057409327683984</c:v>
                </c:pt>
                <c:pt idx="3">
                  <c:v>0.0172685466131295</c:v>
                </c:pt>
                <c:pt idx="4">
                  <c:v>0.0296620280159229</c:v>
                </c:pt>
                <c:pt idx="5">
                  <c:v>0.0442552381761872</c:v>
                </c:pt>
                <c:pt idx="6">
                  <c:v>0.0628147842054826</c:v>
                </c:pt>
                <c:pt idx="7">
                  <c:v>0.0877116447912757</c:v>
                </c:pt>
                <c:pt idx="8">
                  <c:v>0.119236210188856</c:v>
                </c:pt>
                <c:pt idx="9">
                  <c:v>0.157167961707663</c:v>
                </c:pt>
                <c:pt idx="10">
                  <c:v>0.204024841585054</c:v>
                </c:pt>
                <c:pt idx="11">
                  <c:v>0.260677011174305</c:v>
                </c:pt>
                <c:pt idx="12">
                  <c:v>0.328019670470212</c:v>
                </c:pt>
                <c:pt idx="13">
                  <c:v>0.406231363619913</c:v>
                </c:pt>
                <c:pt idx="14">
                  <c:v>0.496533164203176</c:v>
                </c:pt>
                <c:pt idx="15">
                  <c:v>0.604542857379897</c:v>
                </c:pt>
                <c:pt idx="16">
                  <c:v>0.732577740494513</c:v>
                </c:pt>
                <c:pt idx="17">
                  <c:v>0.886423867729844</c:v>
                </c:pt>
                <c:pt idx="18">
                  <c:v>1.079066941104722</c:v>
                </c:pt>
                <c:pt idx="19">
                  <c:v>1.32190897520017</c:v>
                </c:pt>
                <c:pt idx="20">
                  <c:v>1.630973115133069</c:v>
                </c:pt>
                <c:pt idx="21">
                  <c:v>2.024131878616891</c:v>
                </c:pt>
                <c:pt idx="22">
                  <c:v>2.507394783082212</c:v>
                </c:pt>
                <c:pt idx="23">
                  <c:v>3.10634843606432</c:v>
                </c:pt>
                <c:pt idx="24">
                  <c:v>3.825767297207274</c:v>
                </c:pt>
                <c:pt idx="25">
                  <c:v>4.632884252761895</c:v>
                </c:pt>
                <c:pt idx="26">
                  <c:v>5.525916808522889</c:v>
                </c:pt>
                <c:pt idx="27">
                  <c:v>6.482805284397895</c:v>
                </c:pt>
                <c:pt idx="28">
                  <c:v>7.455029152058346</c:v>
                </c:pt>
                <c:pt idx="29">
                  <c:v>8.40076355680053</c:v>
                </c:pt>
                <c:pt idx="30">
                  <c:v>9.296725351309342</c:v>
                </c:pt>
                <c:pt idx="31">
                  <c:v>10.16296511266209</c:v>
                </c:pt>
                <c:pt idx="32">
                  <c:v>10.96965838108811</c:v>
                </c:pt>
                <c:pt idx="33">
                  <c:v>11.6722421804551</c:v>
                </c:pt>
                <c:pt idx="34">
                  <c:v>12.29825941332066</c:v>
                </c:pt>
                <c:pt idx="35">
                  <c:v>12.84898236007229</c:v>
                </c:pt>
                <c:pt idx="36">
                  <c:v>13.31582869505056</c:v>
                </c:pt>
                <c:pt idx="37">
                  <c:v>13.70998431643149</c:v>
                </c:pt>
                <c:pt idx="38">
                  <c:v>14.03065249737143</c:v>
                </c:pt>
                <c:pt idx="39">
                  <c:v>14.29048173497826</c:v>
                </c:pt>
                <c:pt idx="40">
                  <c:v>14.50267656112383</c:v>
                </c:pt>
                <c:pt idx="41">
                  <c:v>14.67483400921221</c:v>
                </c:pt>
                <c:pt idx="42">
                  <c:v>14.81737613725495</c:v>
                </c:pt>
                <c:pt idx="43">
                  <c:v>14.93624049951563</c:v>
                </c:pt>
                <c:pt idx="44">
                  <c:v>15.03589032436863</c:v>
                </c:pt>
                <c:pt idx="45">
                  <c:v>15.12109819562063</c:v>
                </c:pt>
                <c:pt idx="46">
                  <c:v>15.19396692519704</c:v>
                </c:pt>
                <c:pt idx="47">
                  <c:v>15.25630031977275</c:v>
                </c:pt>
                <c:pt idx="48">
                  <c:v>15.31320143383092</c:v>
                </c:pt>
                <c:pt idx="49">
                  <c:v>15.3669148214695</c:v>
                </c:pt>
                <c:pt idx="50">
                  <c:v>15.41468324522073</c:v>
                </c:pt>
                <c:pt idx="51">
                  <c:v>15.45533900951654</c:v>
                </c:pt>
                <c:pt idx="52">
                  <c:v>15.49047453713005</c:v>
                </c:pt>
                <c:pt idx="53">
                  <c:v>15.52122527356932</c:v>
                </c:pt>
                <c:pt idx="54">
                  <c:v>15.5477981060116</c:v>
                </c:pt>
                <c:pt idx="55">
                  <c:v>15.57128345157931</c:v>
                </c:pt>
                <c:pt idx="56">
                  <c:v>15.5920311929987</c:v>
                </c:pt>
                <c:pt idx="57">
                  <c:v>15.60193622085524</c:v>
                </c:pt>
                <c:pt idx="58">
                  <c:v>15.60193622085524</c:v>
                </c:pt>
                <c:pt idx="59">
                  <c:v>15.60193622085524</c:v>
                </c:pt>
                <c:pt idx="60">
                  <c:v>15.60193622085524</c:v>
                </c:pt>
                <c:pt idx="61">
                  <c:v>15.60193622085524</c:v>
                </c:pt>
                <c:pt idx="62">
                  <c:v>15.60193622085524</c:v>
                </c:pt>
                <c:pt idx="63">
                  <c:v>15.60193622085524</c:v>
                </c:pt>
                <c:pt idx="64">
                  <c:v>15.60193622085524</c:v>
                </c:pt>
                <c:pt idx="65">
                  <c:v>15.60193622085524</c:v>
                </c:pt>
                <c:pt idx="66">
                  <c:v>15.60193622085524</c:v>
                </c:pt>
                <c:pt idx="67">
                  <c:v>15.60193622085524</c:v>
                </c:pt>
                <c:pt idx="68">
                  <c:v>15.60193622085524</c:v>
                </c:pt>
                <c:pt idx="69">
                  <c:v>15.60193622085524</c:v>
                </c:pt>
                <c:pt idx="70">
                  <c:v>15.60193622085524</c:v>
                </c:pt>
                <c:pt idx="71">
                  <c:v>15.60193622085524</c:v>
                </c:pt>
                <c:pt idx="72">
                  <c:v>15.60193622085524</c:v>
                </c:pt>
                <c:pt idx="73">
                  <c:v>15.60193622085524</c:v>
                </c:pt>
                <c:pt idx="74">
                  <c:v>15.60193622085524</c:v>
                </c:pt>
                <c:pt idx="75">
                  <c:v>15.60193622085524</c:v>
                </c:pt>
                <c:pt idx="76">
                  <c:v>15.60193622085524</c:v>
                </c:pt>
                <c:pt idx="77">
                  <c:v>15.60193622085524</c:v>
                </c:pt>
                <c:pt idx="78">
                  <c:v>15.61349676834849</c:v>
                </c:pt>
                <c:pt idx="79">
                  <c:v>15.63793114571598</c:v>
                </c:pt>
                <c:pt idx="80">
                  <c:v>15.66517979304634</c:v>
                </c:pt>
                <c:pt idx="81">
                  <c:v>15.69641472330107</c:v>
                </c:pt>
                <c:pt idx="82">
                  <c:v>15.73306628935232</c:v>
                </c:pt>
                <c:pt idx="83">
                  <c:v>15.77569760680268</c:v>
                </c:pt>
                <c:pt idx="84">
                  <c:v>15.82505884243054</c:v>
                </c:pt>
                <c:pt idx="85">
                  <c:v>15.88111467888104</c:v>
                </c:pt>
                <c:pt idx="86">
                  <c:v>15.94601097247492</c:v>
                </c:pt>
                <c:pt idx="87">
                  <c:v>16.02327684259854</c:v>
                </c:pt>
                <c:pt idx="88">
                  <c:v>16.11404963888366</c:v>
                </c:pt>
                <c:pt idx="89">
                  <c:v>16.21970150596938</c:v>
                </c:pt>
                <c:pt idx="90">
                  <c:v>16.34686818242023</c:v>
                </c:pt>
                <c:pt idx="91">
                  <c:v>16.49771841543511</c:v>
                </c:pt>
                <c:pt idx="92">
                  <c:v>16.66743400217496</c:v>
                </c:pt>
                <c:pt idx="93">
                  <c:v>16.83358515217357</c:v>
                </c:pt>
                <c:pt idx="94">
                  <c:v>16.96824368603194</c:v>
                </c:pt>
                <c:pt idx="95">
                  <c:v>17.06790402926692</c:v>
                </c:pt>
                <c:pt idx="96">
                  <c:v>17.14324232634109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0.182645564419475</c:v>
                  </c:pt>
                  <c:pt idx="1">
                    <c:v>0.113467339359967</c:v>
                  </c:pt>
                  <c:pt idx="2">
                    <c:v>0.100796900848277</c:v>
                  </c:pt>
                  <c:pt idx="3">
                    <c:v>0.109110515190815</c:v>
                  </c:pt>
                  <c:pt idx="4">
                    <c:v>0.303699957968982</c:v>
                  </c:pt>
                  <c:pt idx="5">
                    <c:v>0.151868744965534</c:v>
                  </c:pt>
                  <c:pt idx="6">
                    <c:v>0.275912392402457</c:v>
                  </c:pt>
                  <c:pt idx="7">
                    <c:v>0.356096304167361</c:v>
                  </c:pt>
                  <c:pt idx="8">
                    <c:v>0.0639838032908861</c:v>
                  </c:pt>
                  <c:pt idx="9">
                    <c:v>0.0857612150124367</c:v>
                  </c:pt>
                  <c:pt idx="10">
                    <c:v>0.0819927747072344</c:v>
                  </c:pt>
                  <c:pt idx="11">
                    <c:v>0.0658462924155706</c:v>
                  </c:pt>
                  <c:pt idx="12">
                    <c:v>0.140913363148706</c:v>
                  </c:pt>
                  <c:pt idx="13">
                    <c:v>0.131668087692099</c:v>
                  </c:pt>
                  <c:pt idx="14">
                    <c:v>0.0950661153107546</c:v>
                  </c:pt>
                  <c:pt idx="15">
                    <c:v>0.0934527549892246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0.182645564419475</c:v>
                  </c:pt>
                  <c:pt idx="1">
                    <c:v>0.113467339359967</c:v>
                  </c:pt>
                  <c:pt idx="2">
                    <c:v>0.100796900848277</c:v>
                  </c:pt>
                  <c:pt idx="3">
                    <c:v>0.109110515190815</c:v>
                  </c:pt>
                  <c:pt idx="4">
                    <c:v>0.303699957968982</c:v>
                  </c:pt>
                  <c:pt idx="5">
                    <c:v>0.151868744965534</c:v>
                  </c:pt>
                  <c:pt idx="6">
                    <c:v>0.275912392402457</c:v>
                  </c:pt>
                  <c:pt idx="7">
                    <c:v>0.356096304167361</c:v>
                  </c:pt>
                  <c:pt idx="8">
                    <c:v>0.0639838032908861</c:v>
                  </c:pt>
                  <c:pt idx="9">
                    <c:v>0.0857612150124367</c:v>
                  </c:pt>
                  <c:pt idx="10">
                    <c:v>0.0819927747072344</c:v>
                  </c:pt>
                  <c:pt idx="11">
                    <c:v>0.0658462924155706</c:v>
                  </c:pt>
                  <c:pt idx="12">
                    <c:v>0.140913363148706</c:v>
                  </c:pt>
                  <c:pt idx="13">
                    <c:v>0.131668087692099</c:v>
                  </c:pt>
                  <c:pt idx="14">
                    <c:v>0.0950661153107546</c:v>
                  </c:pt>
                  <c:pt idx="15">
                    <c:v>0.0934527549892246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26.09039859912952</c:v>
                </c:pt>
                <c:pt idx="1">
                  <c:v>26.85318913438649</c:v>
                </c:pt>
                <c:pt idx="2">
                  <c:v>25.85711799854122</c:v>
                </c:pt>
                <c:pt idx="3">
                  <c:v>25.92058366419233</c:v>
                </c:pt>
                <c:pt idx="4">
                  <c:v>25.32768968473976</c:v>
                </c:pt>
                <c:pt idx="5">
                  <c:v>25.16979752068229</c:v>
                </c:pt>
                <c:pt idx="6">
                  <c:v>24.12675257020982</c:v>
                </c:pt>
                <c:pt idx="7">
                  <c:v>22.1115593112669</c:v>
                </c:pt>
                <c:pt idx="8">
                  <c:v>18.45017032181674</c:v>
                </c:pt>
                <c:pt idx="9">
                  <c:v>14.19938085020837</c:v>
                </c:pt>
                <c:pt idx="10">
                  <c:v>10.98376008492566</c:v>
                </c:pt>
                <c:pt idx="11">
                  <c:v>8.968062780234229</c:v>
                </c:pt>
                <c:pt idx="12">
                  <c:v>7.942475830433712</c:v>
                </c:pt>
                <c:pt idx="13">
                  <c:v>7.649437670901659</c:v>
                </c:pt>
                <c:pt idx="14">
                  <c:v>6.728460598086633</c:v>
                </c:pt>
                <c:pt idx="15">
                  <c:v>6.599067125046506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0.0454278828974475</c:v>
                  </c:pt>
                  <c:pt idx="1">
                    <c:v>0.0818962805612603</c:v>
                  </c:pt>
                  <c:pt idx="2">
                    <c:v>0.0262278004195561</c:v>
                  </c:pt>
                  <c:pt idx="3">
                    <c:v>0.0393706070956306</c:v>
                  </c:pt>
                  <c:pt idx="4">
                    <c:v>0.0798273512121314</c:v>
                  </c:pt>
                  <c:pt idx="5">
                    <c:v>0.0347491905028456</c:v>
                  </c:pt>
                  <c:pt idx="6">
                    <c:v>0.0696133493779094</c:v>
                  </c:pt>
                  <c:pt idx="7">
                    <c:v>0.130126008792668</c:v>
                  </c:pt>
                  <c:pt idx="8">
                    <c:v>0.100289342539968</c:v>
                  </c:pt>
                  <c:pt idx="9">
                    <c:v>0.0935961346851915</c:v>
                  </c:pt>
                  <c:pt idx="10">
                    <c:v>0.17756831790415</c:v>
                  </c:pt>
                  <c:pt idx="11">
                    <c:v>0.151728218531968</c:v>
                  </c:pt>
                  <c:pt idx="12">
                    <c:v>0.377385564213397</c:v>
                  </c:pt>
                  <c:pt idx="13">
                    <c:v>0.207492032629709</c:v>
                  </c:pt>
                  <c:pt idx="14">
                    <c:v>0.309995284889577</c:v>
                  </c:pt>
                  <c:pt idx="15">
                    <c:v>0.327935252781815</c:v>
                  </c:pt>
                  <c:pt idx="16">
                    <c:v>0.191942150609162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0.0454278828974475</c:v>
                  </c:pt>
                  <c:pt idx="1">
                    <c:v>0.0818962805612603</c:v>
                  </c:pt>
                  <c:pt idx="2">
                    <c:v>0.0262278004195561</c:v>
                  </c:pt>
                  <c:pt idx="3">
                    <c:v>0.0393706070956306</c:v>
                  </c:pt>
                  <c:pt idx="4">
                    <c:v>0.0798273512121314</c:v>
                  </c:pt>
                  <c:pt idx="5">
                    <c:v>0.0347491905028456</c:v>
                  </c:pt>
                  <c:pt idx="6">
                    <c:v>0.0696133493779094</c:v>
                  </c:pt>
                  <c:pt idx="7">
                    <c:v>0.130126008792668</c:v>
                  </c:pt>
                  <c:pt idx="8">
                    <c:v>0.100289342539968</c:v>
                  </c:pt>
                  <c:pt idx="9">
                    <c:v>0.0935961346851915</c:v>
                  </c:pt>
                  <c:pt idx="10">
                    <c:v>0.17756831790415</c:v>
                  </c:pt>
                  <c:pt idx="11">
                    <c:v>0.151728218531968</c:v>
                  </c:pt>
                  <c:pt idx="12">
                    <c:v>0.377385564213397</c:v>
                  </c:pt>
                  <c:pt idx="13">
                    <c:v>0.207492032629709</c:v>
                  </c:pt>
                  <c:pt idx="14">
                    <c:v>0.309995284889577</c:v>
                  </c:pt>
                  <c:pt idx="15">
                    <c:v>0.327935252781815</c:v>
                  </c:pt>
                  <c:pt idx="16">
                    <c:v>0.191942150609162</c:v>
                  </c:pt>
                </c:numCache>
              </c:numRef>
            </c:minus>
          </c:errBars>
          <c:xVal>
            <c:numRef>
              <c:f>Metabolites!$E$25:$E$41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0.386137004628304</c:v>
                </c:pt>
                <c:pt idx="1">
                  <c:v>0.54513459476937</c:v>
                </c:pt>
                <c:pt idx="2">
                  <c:v>0.810130578337814</c:v>
                </c:pt>
                <c:pt idx="3">
                  <c:v>1.227454052660349</c:v>
                </c:pt>
                <c:pt idx="4">
                  <c:v>1.606297896074037</c:v>
                </c:pt>
                <c:pt idx="5">
                  <c:v>2.282451406720815</c:v>
                </c:pt>
                <c:pt idx="6">
                  <c:v>3.729360606326315</c:v>
                </c:pt>
                <c:pt idx="7">
                  <c:v>6.552556565324962</c:v>
                </c:pt>
                <c:pt idx="8">
                  <c:v>10.85975387179183</c:v>
                </c:pt>
                <c:pt idx="9">
                  <c:v>15.94885697798268</c:v>
                </c:pt>
                <c:pt idx="10">
                  <c:v>19.37429185289876</c:v>
                </c:pt>
                <c:pt idx="11">
                  <c:v>21.53196374800578</c:v>
                </c:pt>
                <c:pt idx="12">
                  <c:v>22.28638549631559</c:v>
                </c:pt>
                <c:pt idx="13">
                  <c:v>22.83109463903281</c:v>
                </c:pt>
                <c:pt idx="14">
                  <c:v>22.4653613574941</c:v>
                </c:pt>
                <c:pt idx="15">
                  <c:v>23.47696405111178</c:v>
                </c:pt>
                <c:pt idx="16">
                  <c:v>24.35257473426877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0.000123808357836176</c:v>
                </c:pt>
                <c:pt idx="1">
                  <c:v>0.00297300017925474</c:v>
                </c:pt>
                <c:pt idx="2">
                  <c:v>0.00576044778087387</c:v>
                </c:pt>
                <c:pt idx="3">
                  <c:v>0.00668981026023845</c:v>
                </c:pt>
                <c:pt idx="4">
                  <c:v>0.00758928511568321</c:v>
                </c:pt>
                <c:pt idx="5">
                  <c:v>0.00765363814391705</c:v>
                </c:pt>
                <c:pt idx="6">
                  <c:v>0.00775016768626781</c:v>
                </c:pt>
                <c:pt idx="7">
                  <c:v>0.00784785567769405</c:v>
                </c:pt>
                <c:pt idx="8">
                  <c:v>0.00798085187104929</c:v>
                </c:pt>
                <c:pt idx="9">
                  <c:v>0.00837984045111503</c:v>
                </c:pt>
                <c:pt idx="10">
                  <c:v>0.0101643438233863</c:v>
                </c:pt>
                <c:pt idx="11">
                  <c:v>0.0116495198457547</c:v>
                </c:pt>
                <c:pt idx="12">
                  <c:v>0.0132689696606562</c:v>
                </c:pt>
                <c:pt idx="13">
                  <c:v>0.0148884194755577</c:v>
                </c:pt>
                <c:pt idx="14">
                  <c:v>0.0169759334128103</c:v>
                </c:pt>
                <c:pt idx="15">
                  <c:v>0.0192509766917388</c:v>
                </c:pt>
                <c:pt idx="16">
                  <c:v>0.0194385060334148</c:v>
                </c:pt>
                <c:pt idx="17">
                  <c:v>0.0194760893932135</c:v>
                </c:pt>
                <c:pt idx="18">
                  <c:v>0.0195136727530121</c:v>
                </c:pt>
                <c:pt idx="19">
                  <c:v>0.0197482781587658</c:v>
                </c:pt>
                <c:pt idx="20">
                  <c:v>0.0200651685145062</c:v>
                </c:pt>
                <c:pt idx="21">
                  <c:v>0.0224056239476312</c:v>
                </c:pt>
                <c:pt idx="22">
                  <c:v>0.0263061002366883</c:v>
                </c:pt>
                <c:pt idx="23">
                  <c:v>0.0279915168724079</c:v>
                </c:pt>
                <c:pt idx="24">
                  <c:v>0.0280346277022085</c:v>
                </c:pt>
                <c:pt idx="25">
                  <c:v>0.0282928482394683</c:v>
                </c:pt>
                <c:pt idx="26">
                  <c:v>0.0320089545571822</c:v>
                </c:pt>
                <c:pt idx="27">
                  <c:v>0.0354668403376362</c:v>
                </c:pt>
                <c:pt idx="28">
                  <c:v>0.0388476177493597</c:v>
                </c:pt>
                <c:pt idx="29">
                  <c:v>0.0425102074532227</c:v>
                </c:pt>
                <c:pt idx="30">
                  <c:v>0.0429326833679446</c:v>
                </c:pt>
                <c:pt idx="31">
                  <c:v>0.044262575647635</c:v>
                </c:pt>
                <c:pt idx="32">
                  <c:v>0.0456002659106668</c:v>
                </c:pt>
                <c:pt idx="33">
                  <c:v>0.0457487275165907</c:v>
                </c:pt>
                <c:pt idx="34">
                  <c:v>0.0458014153344453</c:v>
                </c:pt>
                <c:pt idx="35">
                  <c:v>0.0475368542833657</c:v>
                </c:pt>
                <c:pt idx="36">
                  <c:v>0.0493863583426164</c:v>
                </c:pt>
                <c:pt idx="37">
                  <c:v>0.049831416157841</c:v>
                </c:pt>
                <c:pt idx="38">
                  <c:v>0.0504995778907749</c:v>
                </c:pt>
                <c:pt idx="39">
                  <c:v>0.0526708160177617</c:v>
                </c:pt>
                <c:pt idx="40">
                  <c:v>0.054618950227039</c:v>
                </c:pt>
                <c:pt idx="41">
                  <c:v>0.0547857031552239</c:v>
                </c:pt>
                <c:pt idx="42">
                  <c:v>0.0547857031552239</c:v>
                </c:pt>
                <c:pt idx="43">
                  <c:v>0.0582926897379815</c:v>
                </c:pt>
                <c:pt idx="44">
                  <c:v>0.062133757187206</c:v>
                </c:pt>
                <c:pt idx="45">
                  <c:v>0.064193443355338</c:v>
                </c:pt>
                <c:pt idx="46">
                  <c:v>0.0671438201640163</c:v>
                </c:pt>
                <c:pt idx="47">
                  <c:v>0.0684243676504569</c:v>
                </c:pt>
                <c:pt idx="48">
                  <c:v>0.0687746536116122</c:v>
                </c:pt>
                <c:pt idx="49">
                  <c:v>0.0691872109827105</c:v>
                </c:pt>
                <c:pt idx="50">
                  <c:v>0.0693052583720808</c:v>
                </c:pt>
                <c:pt idx="51">
                  <c:v>0.0693052583720808</c:v>
                </c:pt>
                <c:pt idx="52">
                  <c:v>0.0693052583720808</c:v>
                </c:pt>
                <c:pt idx="53">
                  <c:v>0.0694817209644385</c:v>
                </c:pt>
                <c:pt idx="54">
                  <c:v>0.0698936698438391</c:v>
                </c:pt>
                <c:pt idx="55">
                  <c:v>0.0702472035202522</c:v>
                </c:pt>
                <c:pt idx="56">
                  <c:v>0.0708362234837083</c:v>
                </c:pt>
                <c:pt idx="57">
                  <c:v>0.0728977933558043</c:v>
                </c:pt>
                <c:pt idx="58">
                  <c:v>0.0744883906538146</c:v>
                </c:pt>
                <c:pt idx="59">
                  <c:v>0.0748419243302278</c:v>
                </c:pt>
                <c:pt idx="60">
                  <c:v>0.0753223388741274</c:v>
                </c:pt>
                <c:pt idx="61">
                  <c:v>0.0767154123161179</c:v>
                </c:pt>
                <c:pt idx="62">
                  <c:v>0.077981604890622</c:v>
                </c:pt>
                <c:pt idx="63">
                  <c:v>0.078614701177874</c:v>
                </c:pt>
                <c:pt idx="64">
                  <c:v>0.0800705610285176</c:v>
                </c:pt>
                <c:pt idx="65">
                  <c:v>0.0812733131692784</c:v>
                </c:pt>
                <c:pt idx="66">
                  <c:v>0.0817167421803909</c:v>
                </c:pt>
                <c:pt idx="67">
                  <c:v>0.0818436230478774</c:v>
                </c:pt>
                <c:pt idx="68">
                  <c:v>0.0819705039153639</c:v>
                </c:pt>
                <c:pt idx="69">
                  <c:v>0.0820973847828503</c:v>
                </c:pt>
                <c:pt idx="70">
                  <c:v>0.0830470292137284</c:v>
                </c:pt>
                <c:pt idx="71">
                  <c:v>0.0848828776417412</c:v>
                </c:pt>
                <c:pt idx="72">
                  <c:v>0.0858959625063625</c:v>
                </c:pt>
                <c:pt idx="73">
                  <c:v>0.0860862838075922</c:v>
                </c:pt>
                <c:pt idx="74">
                  <c:v>0.0880490131030915</c:v>
                </c:pt>
                <c:pt idx="75">
                  <c:v>0.0900117423985908</c:v>
                </c:pt>
                <c:pt idx="76">
                  <c:v>0.0908351599870726</c:v>
                </c:pt>
                <c:pt idx="77">
                  <c:v>0.0915316967080678</c:v>
                </c:pt>
                <c:pt idx="78">
                  <c:v>0.0915316967080678</c:v>
                </c:pt>
                <c:pt idx="79">
                  <c:v>0.0915316967080678</c:v>
                </c:pt>
                <c:pt idx="80">
                  <c:v>0.0915316967080678</c:v>
                </c:pt>
                <c:pt idx="81">
                  <c:v>0.0915951371418111</c:v>
                </c:pt>
                <c:pt idx="82">
                  <c:v>0.0946978321694181</c:v>
                </c:pt>
                <c:pt idx="83">
                  <c:v>0.0978005271970252</c:v>
                </c:pt>
                <c:pt idx="84">
                  <c:v>0.0985605043517637</c:v>
                </c:pt>
                <c:pt idx="85">
                  <c:v>0.0994467083488985</c:v>
                </c:pt>
                <c:pt idx="86">
                  <c:v>0.0996363756250381</c:v>
                </c:pt>
                <c:pt idx="87">
                  <c:v>0.0996363756250381</c:v>
                </c:pt>
                <c:pt idx="88">
                  <c:v>0.0996998160587813</c:v>
                </c:pt>
                <c:pt idx="89">
                  <c:v>0.100903222224632</c:v>
                </c:pt>
                <c:pt idx="90">
                  <c:v>0.102106628390483</c:v>
                </c:pt>
                <c:pt idx="91">
                  <c:v>0.102170068824227</c:v>
                </c:pt>
                <c:pt idx="92">
                  <c:v>0.102170068824227</c:v>
                </c:pt>
                <c:pt idx="93">
                  <c:v>0.102296949691713</c:v>
                </c:pt>
                <c:pt idx="94">
                  <c:v>0.102487270992943</c:v>
                </c:pt>
                <c:pt idx="95">
                  <c:v>0.102867259570312</c:v>
                </c:pt>
                <c:pt idx="96">
                  <c:v>0.103321851121086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292280"/>
        <c:axId val="2087047464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31466.0</c:v>
                </c:pt>
                <c:pt idx="1">
                  <c:v>6043.0</c:v>
                </c:pt>
                <c:pt idx="2">
                  <c:v>7009.0</c:v>
                </c:pt>
                <c:pt idx="3">
                  <c:v>7268.0</c:v>
                </c:pt>
                <c:pt idx="4">
                  <c:v>6501.0</c:v>
                </c:pt>
                <c:pt idx="5">
                  <c:v>12598.0</c:v>
                </c:pt>
                <c:pt idx="6">
                  <c:v>17668.0</c:v>
                </c:pt>
                <c:pt idx="7">
                  <c:v>3199.0</c:v>
                </c:pt>
                <c:pt idx="8">
                  <c:v>4675.0</c:v>
                </c:pt>
                <c:pt idx="9">
                  <c:v>6606.0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0.0251986865320568</c:v>
                  </c:pt>
                  <c:pt idx="1">
                    <c:v>0.0392227404859582</c:v>
                  </c:pt>
                  <c:pt idx="2">
                    <c:v>0.0286915048551225</c:v>
                  </c:pt>
                  <c:pt idx="3">
                    <c:v>0.0227845268750041</c:v>
                  </c:pt>
                  <c:pt idx="4">
                    <c:v>0.0486859273642905</c:v>
                  </c:pt>
                  <c:pt idx="5">
                    <c:v>0.0213460354524837</c:v>
                  </c:pt>
                  <c:pt idx="6">
                    <c:v>0.0213289214410401</c:v>
                  </c:pt>
                  <c:pt idx="7">
                    <c:v>0.0100833524815796</c:v>
                  </c:pt>
                  <c:pt idx="8">
                    <c:v>0.0165894731472359</c:v>
                  </c:pt>
                  <c:pt idx="9">
                    <c:v>0.0208435713252659</c:v>
                  </c:pt>
                  <c:pt idx="10">
                    <c:v>0.00546399406407561</c:v>
                  </c:pt>
                  <c:pt idx="11">
                    <c:v>0.00788826392465385</c:v>
                  </c:pt>
                  <c:pt idx="12">
                    <c:v>0.0336163408673529</c:v>
                  </c:pt>
                  <c:pt idx="13">
                    <c:v>0.0105353883598512</c:v>
                  </c:pt>
                  <c:pt idx="14">
                    <c:v>0.0229891783402341</c:v>
                  </c:pt>
                  <c:pt idx="15">
                    <c:v>0.0600634039638502</c:v>
                  </c:pt>
                  <c:pt idx="16">
                    <c:v>0.0295163039247967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0.0251986865320568</c:v>
                  </c:pt>
                  <c:pt idx="1">
                    <c:v>0.0392227404859582</c:v>
                  </c:pt>
                  <c:pt idx="2">
                    <c:v>0.0286915048551225</c:v>
                  </c:pt>
                  <c:pt idx="3">
                    <c:v>0.0227845268750041</c:v>
                  </c:pt>
                  <c:pt idx="4">
                    <c:v>0.0486859273642905</c:v>
                  </c:pt>
                  <c:pt idx="5">
                    <c:v>0.0213460354524837</c:v>
                  </c:pt>
                  <c:pt idx="6">
                    <c:v>0.0213289214410401</c:v>
                  </c:pt>
                  <c:pt idx="7">
                    <c:v>0.0100833524815796</c:v>
                  </c:pt>
                  <c:pt idx="8">
                    <c:v>0.0165894731472359</c:v>
                  </c:pt>
                  <c:pt idx="9">
                    <c:v>0.0208435713252659</c:v>
                  </c:pt>
                  <c:pt idx="10">
                    <c:v>0.00546399406407561</c:v>
                  </c:pt>
                  <c:pt idx="11">
                    <c:v>0.00788826392465385</c:v>
                  </c:pt>
                  <c:pt idx="12">
                    <c:v>0.0336163408673529</c:v>
                  </c:pt>
                  <c:pt idx="13">
                    <c:v>0.0105353883598512</c:v>
                  </c:pt>
                  <c:pt idx="14">
                    <c:v>0.0229891783402341</c:v>
                  </c:pt>
                  <c:pt idx="15">
                    <c:v>0.0600634039638502</c:v>
                  </c:pt>
                  <c:pt idx="16">
                    <c:v>0.0295163039247967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7.635570345515791</c:v>
                </c:pt>
                <c:pt idx="1">
                  <c:v>7.928464015840776</c:v>
                </c:pt>
                <c:pt idx="2">
                  <c:v>7.994955473174683</c:v>
                </c:pt>
                <c:pt idx="3">
                  <c:v>8.000601726497141</c:v>
                </c:pt>
                <c:pt idx="4">
                  <c:v>8.002936931459384</c:v>
                </c:pt>
                <c:pt idx="5">
                  <c:v>8.258062074977063</c:v>
                </c:pt>
                <c:pt idx="6">
                  <c:v>8.436966634375401</c:v>
                </c:pt>
                <c:pt idx="7">
                  <c:v>8.664794925208978</c:v>
                </c:pt>
                <c:pt idx="8">
                  <c:v>8.847134311095551</c:v>
                </c:pt>
                <c:pt idx="9">
                  <c:v>8.97284328367955</c:v>
                </c:pt>
                <c:pt idx="10">
                  <c:v>8.984069705546934</c:v>
                </c:pt>
                <c:pt idx="11">
                  <c:v>8.995533413022204</c:v>
                </c:pt>
                <c:pt idx="12">
                  <c:v>8.941974103752793</c:v>
                </c:pt>
                <c:pt idx="13">
                  <c:v>9.010381373794938</c:v>
                </c:pt>
                <c:pt idx="14">
                  <c:v>8.9070321923647</c:v>
                </c:pt>
                <c:pt idx="15">
                  <c:v>8.874220709380745</c:v>
                </c:pt>
                <c:pt idx="16">
                  <c:v>8.972893383190158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03320"/>
        <c:axId val="2079723528"/>
      </c:scatterChart>
      <c:valAx>
        <c:axId val="206429228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87047464"/>
        <c:crosses val="autoZero"/>
        <c:crossBetween val="midCat"/>
        <c:majorUnit val="6.0"/>
      </c:valAx>
      <c:valAx>
        <c:axId val="2087047464"/>
        <c:scaling>
          <c:orientation val="minMax"/>
          <c:max val="6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64292280"/>
        <c:crosses val="autoZero"/>
        <c:crossBetween val="midCat"/>
      </c:valAx>
      <c:valAx>
        <c:axId val="2079723528"/>
        <c:scaling>
          <c:orientation val="minMax"/>
          <c:max val="10.0"/>
          <c:min val="6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085803320"/>
        <c:crosses val="max"/>
        <c:crossBetween val="midCat"/>
        <c:majorUnit val="1.0"/>
        <c:minorUnit val="0.2"/>
      </c:valAx>
      <c:valAx>
        <c:axId val="2085803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972352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0.0128271064329879</c:v>
                  </c:pt>
                  <c:pt idx="2">
                    <c:v>0.0128271064329879</c:v>
                  </c:pt>
                  <c:pt idx="3">
                    <c:v>0.0222335242294716</c:v>
                  </c:pt>
                  <c:pt idx="4">
                    <c:v>0.0222335242294716</c:v>
                  </c:pt>
                  <c:pt idx="5">
                    <c:v>0.01284672701401</c:v>
                  </c:pt>
                  <c:pt idx="6">
                    <c:v>0.0340454718788165</c:v>
                  </c:pt>
                  <c:pt idx="7">
                    <c:v>0.0341919670245946</c:v>
                  </c:pt>
                  <c:pt idx="8">
                    <c:v>0.0259862837208261</c:v>
                  </c:pt>
                  <c:pt idx="9">
                    <c:v>0.0130784626793839</c:v>
                  </c:pt>
                  <c:pt idx="10">
                    <c:v>0.0</c:v>
                  </c:pt>
                  <c:pt idx="11">
                    <c:v>0.0228098247907611</c:v>
                  </c:pt>
                  <c:pt idx="12">
                    <c:v>0.0263665964086229</c:v>
                  </c:pt>
                  <c:pt idx="13">
                    <c:v>0.0263665964086229</c:v>
                  </c:pt>
                  <c:pt idx="14">
                    <c:v>0.0348797285082125</c:v>
                  </c:pt>
                  <c:pt idx="15">
                    <c:v>0.022834142301199</c:v>
                  </c:pt>
                  <c:pt idx="16">
                    <c:v>0.100479639884338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0.0128271064329879</c:v>
                  </c:pt>
                  <c:pt idx="2">
                    <c:v>0.0128271064329879</c:v>
                  </c:pt>
                  <c:pt idx="3">
                    <c:v>0.0222335242294716</c:v>
                  </c:pt>
                  <c:pt idx="4">
                    <c:v>0.0222335242294716</c:v>
                  </c:pt>
                  <c:pt idx="5">
                    <c:v>0.01284672701401</c:v>
                  </c:pt>
                  <c:pt idx="6">
                    <c:v>0.0340454718788165</c:v>
                  </c:pt>
                  <c:pt idx="7">
                    <c:v>0.0341919670245946</c:v>
                  </c:pt>
                  <c:pt idx="8">
                    <c:v>0.0259862837208261</c:v>
                  </c:pt>
                  <c:pt idx="9">
                    <c:v>0.0130784626793839</c:v>
                  </c:pt>
                  <c:pt idx="10">
                    <c:v>0.0</c:v>
                  </c:pt>
                  <c:pt idx="11">
                    <c:v>0.0228098247907611</c:v>
                  </c:pt>
                  <c:pt idx="12">
                    <c:v>0.0263665964086229</c:v>
                  </c:pt>
                  <c:pt idx="13">
                    <c:v>0.0263665964086229</c:v>
                  </c:pt>
                  <c:pt idx="14">
                    <c:v>0.0348797285082125</c:v>
                  </c:pt>
                  <c:pt idx="15">
                    <c:v>0.022834142301199</c:v>
                  </c:pt>
                  <c:pt idx="16">
                    <c:v>0.100479639884338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0.710950401792913</c:v>
                </c:pt>
                <c:pt idx="1">
                  <c:v>0.76279053525698</c:v>
                </c:pt>
                <c:pt idx="2">
                  <c:v>0.740573335200951</c:v>
                </c:pt>
                <c:pt idx="3">
                  <c:v>0.778173348031507</c:v>
                </c:pt>
                <c:pt idx="4">
                  <c:v>0.755939823802035</c:v>
                </c:pt>
                <c:pt idx="5">
                  <c:v>0.763957313873663</c:v>
                </c:pt>
                <c:pt idx="6">
                  <c:v>0.772650428730353</c:v>
                </c:pt>
                <c:pt idx="7">
                  <c:v>0.775975086341069</c:v>
                </c:pt>
                <c:pt idx="8">
                  <c:v>0.795168958777221</c:v>
                </c:pt>
                <c:pt idx="9">
                  <c:v>0.845695642235223</c:v>
                </c:pt>
                <c:pt idx="10">
                  <c:v>0.932368868492655</c:v>
                </c:pt>
                <c:pt idx="11">
                  <c:v>1.07206176516577</c:v>
                </c:pt>
                <c:pt idx="12">
                  <c:v>1.240655065031812</c:v>
                </c:pt>
                <c:pt idx="13">
                  <c:v>1.453773726509669</c:v>
                </c:pt>
                <c:pt idx="14">
                  <c:v>1.773451718726454</c:v>
                </c:pt>
                <c:pt idx="15">
                  <c:v>2.123575234011506</c:v>
                </c:pt>
                <c:pt idx="16">
                  <c:v>11.94073414737365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0.434965202147204</c:v>
                  </c:pt>
                  <c:pt idx="1">
                    <c:v>0.365592826014775</c:v>
                  </c:pt>
                  <c:pt idx="2">
                    <c:v>0.17102421658922</c:v>
                  </c:pt>
                  <c:pt idx="3">
                    <c:v>0.351386573620362</c:v>
                  </c:pt>
                  <c:pt idx="4">
                    <c:v>0.305677390237027</c:v>
                  </c:pt>
                  <c:pt idx="5">
                    <c:v>0.336004159175612</c:v>
                  </c:pt>
                  <c:pt idx="6">
                    <c:v>0.265372921624848</c:v>
                  </c:pt>
                  <c:pt idx="7">
                    <c:v>0.290791488681379</c:v>
                  </c:pt>
                  <c:pt idx="8">
                    <c:v>0.0584723839526734</c:v>
                  </c:pt>
                  <c:pt idx="9">
                    <c:v>0.235425395801946</c:v>
                  </c:pt>
                  <c:pt idx="10">
                    <c:v>0.238790647515984</c:v>
                  </c:pt>
                  <c:pt idx="11">
                    <c:v>0.10999109729045</c:v>
                  </c:pt>
                  <c:pt idx="12">
                    <c:v>0.21753649499897</c:v>
                  </c:pt>
                  <c:pt idx="13">
                    <c:v>0.23315613194065</c:v>
                  </c:pt>
                  <c:pt idx="14">
                    <c:v>0.233156131940652</c:v>
                  </c:pt>
                  <c:pt idx="15">
                    <c:v>0.129680199340716</c:v>
                  </c:pt>
                  <c:pt idx="16">
                    <c:v>0.103738004558179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0.434965202147204</c:v>
                  </c:pt>
                  <c:pt idx="1">
                    <c:v>0.365592826014775</c:v>
                  </c:pt>
                  <c:pt idx="2">
                    <c:v>0.17102421658922</c:v>
                  </c:pt>
                  <c:pt idx="3">
                    <c:v>0.351386573620362</c:v>
                  </c:pt>
                  <c:pt idx="4">
                    <c:v>0.305677390237027</c:v>
                  </c:pt>
                  <c:pt idx="5">
                    <c:v>0.336004159175612</c:v>
                  </c:pt>
                  <c:pt idx="6">
                    <c:v>0.265372921624848</c:v>
                  </c:pt>
                  <c:pt idx="7">
                    <c:v>0.290791488681379</c:v>
                  </c:pt>
                  <c:pt idx="8">
                    <c:v>0.0584723839526734</c:v>
                  </c:pt>
                  <c:pt idx="9">
                    <c:v>0.235425395801946</c:v>
                  </c:pt>
                  <c:pt idx="10">
                    <c:v>0.238790647515984</c:v>
                  </c:pt>
                  <c:pt idx="11">
                    <c:v>0.10999109729045</c:v>
                  </c:pt>
                  <c:pt idx="12">
                    <c:v>0.21753649499897</c:v>
                  </c:pt>
                  <c:pt idx="13">
                    <c:v>0.23315613194065</c:v>
                  </c:pt>
                  <c:pt idx="14">
                    <c:v>0.233156131940652</c:v>
                  </c:pt>
                  <c:pt idx="15">
                    <c:v>0.129680199340716</c:v>
                  </c:pt>
                  <c:pt idx="16">
                    <c:v>0.103738004558179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26.38438956417844</c:v>
                </c:pt>
                <c:pt idx="1">
                  <c:v>27.11759786364614</c:v>
                </c:pt>
                <c:pt idx="2">
                  <c:v>26.0844407143962</c:v>
                </c:pt>
                <c:pt idx="3">
                  <c:v>26.24813228740986</c:v>
                </c:pt>
                <c:pt idx="4">
                  <c:v>25.71449808588692</c:v>
                </c:pt>
                <c:pt idx="5">
                  <c:v>25.42338876099933</c:v>
                </c:pt>
                <c:pt idx="6">
                  <c:v>24.74104566330413</c:v>
                </c:pt>
                <c:pt idx="7">
                  <c:v>24.04163953921288</c:v>
                </c:pt>
                <c:pt idx="8">
                  <c:v>22.28097076605518</c:v>
                </c:pt>
                <c:pt idx="9">
                  <c:v>20.49037953277938</c:v>
                </c:pt>
                <c:pt idx="10">
                  <c:v>19.44438129773012</c:v>
                </c:pt>
                <c:pt idx="11">
                  <c:v>18.77352785030138</c:v>
                </c:pt>
                <c:pt idx="12">
                  <c:v>18.88488391155024</c:v>
                </c:pt>
                <c:pt idx="13">
                  <c:v>19.17032653415529</c:v>
                </c:pt>
                <c:pt idx="14">
                  <c:v>18.48526423990317</c:v>
                </c:pt>
                <c:pt idx="15">
                  <c:v>19.02189637040066</c:v>
                </c:pt>
                <c:pt idx="16">
                  <c:v>20.57470423737214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0.0435106639711232</c:v>
                  </c:pt>
                  <c:pt idx="4">
                    <c:v>0.0251208935563474</c:v>
                  </c:pt>
                  <c:pt idx="5">
                    <c:v>0.0435452236724505</c:v>
                  </c:pt>
                  <c:pt idx="6">
                    <c:v>0.0503648721981066</c:v>
                  </c:pt>
                  <c:pt idx="7">
                    <c:v>0.157940959518037</c:v>
                  </c:pt>
                  <c:pt idx="8">
                    <c:v>0.0672745192233808</c:v>
                  </c:pt>
                  <c:pt idx="9">
                    <c:v>0.179160448123231</c:v>
                  </c:pt>
                  <c:pt idx="10">
                    <c:v>0.203939315540317</c:v>
                  </c:pt>
                  <c:pt idx="11">
                    <c:v>0.13637279458623</c:v>
                  </c:pt>
                  <c:pt idx="12">
                    <c:v>0.374759547704408</c:v>
                  </c:pt>
                  <c:pt idx="13">
                    <c:v>0.169178708894416</c:v>
                  </c:pt>
                  <c:pt idx="14">
                    <c:v>0.211178100817669</c:v>
                  </c:pt>
                  <c:pt idx="15">
                    <c:v>0.469380967024113</c:v>
                  </c:pt>
                  <c:pt idx="16">
                    <c:v>0.20672753177499</c:v>
                  </c:pt>
                </c:numCache>
              </c:numRef>
            </c:plus>
            <c:minus>
              <c:numRef>
                <c:f>Metabolites!$U$4:$U$20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0.0435106639711232</c:v>
                  </c:pt>
                  <c:pt idx="4">
                    <c:v>0.0251208935563474</c:v>
                  </c:pt>
                  <c:pt idx="5">
                    <c:v>0.0435452236724505</c:v>
                  </c:pt>
                  <c:pt idx="6">
                    <c:v>0.0503648721981066</c:v>
                  </c:pt>
                  <c:pt idx="7">
                    <c:v>0.157940959518037</c:v>
                  </c:pt>
                  <c:pt idx="8">
                    <c:v>0.0672745192233808</c:v>
                  </c:pt>
                  <c:pt idx="9">
                    <c:v>0.179160448123231</c:v>
                  </c:pt>
                  <c:pt idx="10">
                    <c:v>0.203939315540317</c:v>
                  </c:pt>
                  <c:pt idx="11">
                    <c:v>0.13637279458623</c:v>
                  </c:pt>
                  <c:pt idx="12">
                    <c:v>0.374759547704408</c:v>
                  </c:pt>
                  <c:pt idx="13">
                    <c:v>0.169178708894416</c:v>
                  </c:pt>
                  <c:pt idx="14">
                    <c:v>0.211178100817669</c:v>
                  </c:pt>
                  <c:pt idx="15">
                    <c:v>0.469380967024113</c:v>
                  </c:pt>
                  <c:pt idx="16">
                    <c:v>0.20672753177499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0.086957435630982</c:v>
                </c:pt>
                <c:pt idx="3">
                  <c:v>0.217553319855616</c:v>
                </c:pt>
                <c:pt idx="4">
                  <c:v>0.319078202454904</c:v>
                </c:pt>
                <c:pt idx="5">
                  <c:v>0.74026880243166</c:v>
                </c:pt>
                <c:pt idx="6">
                  <c:v>1.817385782579875</c:v>
                </c:pt>
                <c:pt idx="7">
                  <c:v>4.949958289871065</c:v>
                </c:pt>
                <c:pt idx="8">
                  <c:v>9.586368884473169</c:v>
                </c:pt>
                <c:pt idx="9">
                  <c:v>14.95422756392948</c:v>
                </c:pt>
                <c:pt idx="10">
                  <c:v>18.95836625585997</c:v>
                </c:pt>
                <c:pt idx="11">
                  <c:v>21.54550406862006</c:v>
                </c:pt>
                <c:pt idx="12">
                  <c:v>22.9090556173561</c:v>
                </c:pt>
                <c:pt idx="13">
                  <c:v>23.57934658145299</c:v>
                </c:pt>
                <c:pt idx="14">
                  <c:v>22.71541600550588</c:v>
                </c:pt>
                <c:pt idx="15">
                  <c:v>23.66871870999924</c:v>
                </c:pt>
                <c:pt idx="16">
                  <c:v>26.11964293998909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0.0057409327683984</c:v>
                </c:pt>
                <c:pt idx="3">
                  <c:v>0.0172685466131295</c:v>
                </c:pt>
                <c:pt idx="4">
                  <c:v>0.0296620280159229</c:v>
                </c:pt>
                <c:pt idx="5">
                  <c:v>0.0442552381761872</c:v>
                </c:pt>
                <c:pt idx="6">
                  <c:v>0.0628147842054826</c:v>
                </c:pt>
                <c:pt idx="7">
                  <c:v>0.0877116447912757</c:v>
                </c:pt>
                <c:pt idx="8">
                  <c:v>0.119236210188856</c:v>
                </c:pt>
                <c:pt idx="9">
                  <c:v>0.157167961707663</c:v>
                </c:pt>
                <c:pt idx="10">
                  <c:v>0.204024841585054</c:v>
                </c:pt>
                <c:pt idx="11">
                  <c:v>0.260677011174305</c:v>
                </c:pt>
                <c:pt idx="12">
                  <c:v>0.328019670470212</c:v>
                </c:pt>
                <c:pt idx="13">
                  <c:v>0.406231363619913</c:v>
                </c:pt>
                <c:pt idx="14">
                  <c:v>0.496533164203176</c:v>
                </c:pt>
                <c:pt idx="15">
                  <c:v>0.604542857379897</c:v>
                </c:pt>
                <c:pt idx="16">
                  <c:v>0.732577740494513</c:v>
                </c:pt>
                <c:pt idx="17">
                  <c:v>0.886423867729844</c:v>
                </c:pt>
                <c:pt idx="18">
                  <c:v>1.079066941104722</c:v>
                </c:pt>
                <c:pt idx="19">
                  <c:v>1.32190897520017</c:v>
                </c:pt>
                <c:pt idx="20">
                  <c:v>1.630973115133069</c:v>
                </c:pt>
                <c:pt idx="21">
                  <c:v>2.024131878616891</c:v>
                </c:pt>
                <c:pt idx="22">
                  <c:v>2.507394783082212</c:v>
                </c:pt>
                <c:pt idx="23">
                  <c:v>3.10634843606432</c:v>
                </c:pt>
                <c:pt idx="24">
                  <c:v>3.825767297207274</c:v>
                </c:pt>
                <c:pt idx="25">
                  <c:v>4.632884252761895</c:v>
                </c:pt>
                <c:pt idx="26">
                  <c:v>5.525916808522889</c:v>
                </c:pt>
                <c:pt idx="27">
                  <c:v>6.482805284397895</c:v>
                </c:pt>
                <c:pt idx="28">
                  <c:v>7.455029152058346</c:v>
                </c:pt>
                <c:pt idx="29">
                  <c:v>8.40076355680053</c:v>
                </c:pt>
                <c:pt idx="30">
                  <c:v>9.296725351309342</c:v>
                </c:pt>
                <c:pt idx="31">
                  <c:v>10.16296511266209</c:v>
                </c:pt>
                <c:pt idx="32">
                  <c:v>10.96965838108811</c:v>
                </c:pt>
                <c:pt idx="33">
                  <c:v>11.6722421804551</c:v>
                </c:pt>
                <c:pt idx="34">
                  <c:v>12.29825941332066</c:v>
                </c:pt>
                <c:pt idx="35">
                  <c:v>12.84898236007229</c:v>
                </c:pt>
                <c:pt idx="36">
                  <c:v>13.31582869505056</c:v>
                </c:pt>
                <c:pt idx="37">
                  <c:v>13.70998431643149</c:v>
                </c:pt>
                <c:pt idx="38">
                  <c:v>14.03065249737143</c:v>
                </c:pt>
                <c:pt idx="39">
                  <c:v>14.29048173497826</c:v>
                </c:pt>
                <c:pt idx="40">
                  <c:v>14.50267656112383</c:v>
                </c:pt>
                <c:pt idx="41">
                  <c:v>14.67483400921221</c:v>
                </c:pt>
                <c:pt idx="42">
                  <c:v>14.81737613725495</c:v>
                </c:pt>
                <c:pt idx="43">
                  <c:v>14.93624049951563</c:v>
                </c:pt>
                <c:pt idx="44">
                  <c:v>15.03589032436863</c:v>
                </c:pt>
                <c:pt idx="45">
                  <c:v>15.12109819562063</c:v>
                </c:pt>
                <c:pt idx="46">
                  <c:v>15.19396692519704</c:v>
                </c:pt>
                <c:pt idx="47">
                  <c:v>15.25630031977275</c:v>
                </c:pt>
                <c:pt idx="48">
                  <c:v>15.31320143383092</c:v>
                </c:pt>
                <c:pt idx="49">
                  <c:v>15.3669148214695</c:v>
                </c:pt>
                <c:pt idx="50">
                  <c:v>15.41468324522073</c:v>
                </c:pt>
                <c:pt idx="51">
                  <c:v>15.45533900951654</c:v>
                </c:pt>
                <c:pt idx="52">
                  <c:v>15.49047453713005</c:v>
                </c:pt>
                <c:pt idx="53">
                  <c:v>15.52122527356932</c:v>
                </c:pt>
                <c:pt idx="54">
                  <c:v>15.5477981060116</c:v>
                </c:pt>
                <c:pt idx="55">
                  <c:v>15.57128345157931</c:v>
                </c:pt>
                <c:pt idx="56">
                  <c:v>15.5920311929987</c:v>
                </c:pt>
                <c:pt idx="57">
                  <c:v>15.60193622085524</c:v>
                </c:pt>
                <c:pt idx="58">
                  <c:v>15.60193622085524</c:v>
                </c:pt>
                <c:pt idx="59">
                  <c:v>15.60193622085524</c:v>
                </c:pt>
                <c:pt idx="60">
                  <c:v>15.60193622085524</c:v>
                </c:pt>
                <c:pt idx="61">
                  <c:v>15.60193622085524</c:v>
                </c:pt>
                <c:pt idx="62">
                  <c:v>15.60193622085524</c:v>
                </c:pt>
                <c:pt idx="63">
                  <c:v>15.60193622085524</c:v>
                </c:pt>
                <c:pt idx="64">
                  <c:v>15.60193622085524</c:v>
                </c:pt>
                <c:pt idx="65">
                  <c:v>15.60193622085524</c:v>
                </c:pt>
                <c:pt idx="66">
                  <c:v>15.60193622085524</c:v>
                </c:pt>
                <c:pt idx="67">
                  <c:v>15.60193622085524</c:v>
                </c:pt>
                <c:pt idx="68">
                  <c:v>15.60193622085524</c:v>
                </c:pt>
                <c:pt idx="69">
                  <c:v>15.60193622085524</c:v>
                </c:pt>
                <c:pt idx="70">
                  <c:v>15.60193622085524</c:v>
                </c:pt>
                <c:pt idx="71">
                  <c:v>15.60193622085524</c:v>
                </c:pt>
                <c:pt idx="72">
                  <c:v>15.60193622085524</c:v>
                </c:pt>
                <c:pt idx="73">
                  <c:v>15.60193622085524</c:v>
                </c:pt>
                <c:pt idx="74">
                  <c:v>15.60193622085524</c:v>
                </c:pt>
                <c:pt idx="75">
                  <c:v>15.60193622085524</c:v>
                </c:pt>
                <c:pt idx="76">
                  <c:v>15.60193622085524</c:v>
                </c:pt>
                <c:pt idx="77">
                  <c:v>15.60193622085524</c:v>
                </c:pt>
                <c:pt idx="78">
                  <c:v>15.61349676834849</c:v>
                </c:pt>
                <c:pt idx="79">
                  <c:v>15.63793114571598</c:v>
                </c:pt>
                <c:pt idx="80">
                  <c:v>15.66517979304634</c:v>
                </c:pt>
                <c:pt idx="81">
                  <c:v>15.69641472330107</c:v>
                </c:pt>
                <c:pt idx="82">
                  <c:v>15.73306628935232</c:v>
                </c:pt>
                <c:pt idx="83">
                  <c:v>15.77569760680268</c:v>
                </c:pt>
                <c:pt idx="84">
                  <c:v>15.82505884243054</c:v>
                </c:pt>
                <c:pt idx="85">
                  <c:v>15.88111467888104</c:v>
                </c:pt>
                <c:pt idx="86">
                  <c:v>15.94601097247492</c:v>
                </c:pt>
                <c:pt idx="87">
                  <c:v>16.02327684259854</c:v>
                </c:pt>
                <c:pt idx="88">
                  <c:v>16.11404963888366</c:v>
                </c:pt>
                <c:pt idx="89">
                  <c:v>16.21970150596938</c:v>
                </c:pt>
                <c:pt idx="90">
                  <c:v>16.34686818242023</c:v>
                </c:pt>
                <c:pt idx="91">
                  <c:v>16.49771841543511</c:v>
                </c:pt>
                <c:pt idx="92">
                  <c:v>16.66743400217496</c:v>
                </c:pt>
                <c:pt idx="93">
                  <c:v>16.83358515217357</c:v>
                </c:pt>
                <c:pt idx="94">
                  <c:v>16.96824368603194</c:v>
                </c:pt>
                <c:pt idx="95">
                  <c:v>17.06790402926692</c:v>
                </c:pt>
                <c:pt idx="96">
                  <c:v>17.14324232634109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0.182645564419475</c:v>
                  </c:pt>
                  <c:pt idx="1">
                    <c:v>0.113467339359967</c:v>
                  </c:pt>
                  <c:pt idx="2">
                    <c:v>0.100796900848277</c:v>
                  </c:pt>
                  <c:pt idx="3">
                    <c:v>0.109110515190815</c:v>
                  </c:pt>
                  <c:pt idx="4">
                    <c:v>0.303699957968982</c:v>
                  </c:pt>
                  <c:pt idx="5">
                    <c:v>0.151868744965534</c:v>
                  </c:pt>
                  <c:pt idx="6">
                    <c:v>0.275912392402457</c:v>
                  </c:pt>
                  <c:pt idx="7">
                    <c:v>0.356096304167361</c:v>
                  </c:pt>
                  <c:pt idx="8">
                    <c:v>0.0639838032908861</c:v>
                  </c:pt>
                  <c:pt idx="9">
                    <c:v>0.0857612150124367</c:v>
                  </c:pt>
                  <c:pt idx="10">
                    <c:v>0.0819927747072344</c:v>
                  </c:pt>
                  <c:pt idx="11">
                    <c:v>0.0658462924155706</c:v>
                  </c:pt>
                  <c:pt idx="12">
                    <c:v>0.140913363148706</c:v>
                  </c:pt>
                  <c:pt idx="13">
                    <c:v>0.131668087692099</c:v>
                  </c:pt>
                  <c:pt idx="14">
                    <c:v>0.0950661153107546</c:v>
                  </c:pt>
                  <c:pt idx="15">
                    <c:v>0.0934527549892246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0.182645564419475</c:v>
                  </c:pt>
                  <c:pt idx="1">
                    <c:v>0.113467339359967</c:v>
                  </c:pt>
                  <c:pt idx="2">
                    <c:v>0.100796900848277</c:v>
                  </c:pt>
                  <c:pt idx="3">
                    <c:v>0.109110515190815</c:v>
                  </c:pt>
                  <c:pt idx="4">
                    <c:v>0.303699957968982</c:v>
                  </c:pt>
                  <c:pt idx="5">
                    <c:v>0.151868744965534</c:v>
                  </c:pt>
                  <c:pt idx="6">
                    <c:v>0.275912392402457</c:v>
                  </c:pt>
                  <c:pt idx="7">
                    <c:v>0.356096304167361</c:v>
                  </c:pt>
                  <c:pt idx="8">
                    <c:v>0.0639838032908861</c:v>
                  </c:pt>
                  <c:pt idx="9">
                    <c:v>0.0857612150124367</c:v>
                  </c:pt>
                  <c:pt idx="10">
                    <c:v>0.0819927747072344</c:v>
                  </c:pt>
                  <c:pt idx="11">
                    <c:v>0.0658462924155706</c:v>
                  </c:pt>
                  <c:pt idx="12">
                    <c:v>0.140913363148706</c:v>
                  </c:pt>
                  <c:pt idx="13">
                    <c:v>0.131668087692099</c:v>
                  </c:pt>
                  <c:pt idx="14">
                    <c:v>0.0950661153107546</c:v>
                  </c:pt>
                  <c:pt idx="15">
                    <c:v>0.0934527549892246</c:v>
                  </c:pt>
                  <c:pt idx="16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26.09039859912952</c:v>
                </c:pt>
                <c:pt idx="1">
                  <c:v>26.85318913438649</c:v>
                </c:pt>
                <c:pt idx="2">
                  <c:v>25.85711799854122</c:v>
                </c:pt>
                <c:pt idx="3">
                  <c:v>25.92058366419233</c:v>
                </c:pt>
                <c:pt idx="4">
                  <c:v>25.32768968473976</c:v>
                </c:pt>
                <c:pt idx="5">
                  <c:v>25.16979752068229</c:v>
                </c:pt>
                <c:pt idx="6">
                  <c:v>24.12675257020982</c:v>
                </c:pt>
                <c:pt idx="7">
                  <c:v>22.1115593112669</c:v>
                </c:pt>
                <c:pt idx="8">
                  <c:v>18.45017032181674</c:v>
                </c:pt>
                <c:pt idx="9">
                  <c:v>14.19938085020837</c:v>
                </c:pt>
                <c:pt idx="10">
                  <c:v>10.98376008492566</c:v>
                </c:pt>
                <c:pt idx="11">
                  <c:v>8.968062780234229</c:v>
                </c:pt>
                <c:pt idx="12">
                  <c:v>7.942475830433712</c:v>
                </c:pt>
                <c:pt idx="13">
                  <c:v>7.649437670901659</c:v>
                </c:pt>
                <c:pt idx="14">
                  <c:v>6.728460598086633</c:v>
                </c:pt>
                <c:pt idx="15">
                  <c:v>6.599067125046506</c:v>
                </c:pt>
                <c:pt idx="16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0.0454278828974475</c:v>
                  </c:pt>
                  <c:pt idx="1">
                    <c:v>0.0818962805612603</c:v>
                  </c:pt>
                  <c:pt idx="2">
                    <c:v>0.0262278004195561</c:v>
                  </c:pt>
                  <c:pt idx="3">
                    <c:v>0.0393706070956306</c:v>
                  </c:pt>
                  <c:pt idx="4">
                    <c:v>0.0798273512121314</c:v>
                  </c:pt>
                  <c:pt idx="5">
                    <c:v>0.0347491905028456</c:v>
                  </c:pt>
                  <c:pt idx="6">
                    <c:v>0.0696133493779094</c:v>
                  </c:pt>
                  <c:pt idx="7">
                    <c:v>0.130126008792668</c:v>
                  </c:pt>
                  <c:pt idx="8">
                    <c:v>0.100289342539968</c:v>
                  </c:pt>
                  <c:pt idx="9">
                    <c:v>0.0935961346851915</c:v>
                  </c:pt>
                  <c:pt idx="10">
                    <c:v>0.17756831790415</c:v>
                  </c:pt>
                  <c:pt idx="11">
                    <c:v>0.151728218531968</c:v>
                  </c:pt>
                  <c:pt idx="12">
                    <c:v>0.377385564213397</c:v>
                  </c:pt>
                  <c:pt idx="13">
                    <c:v>0.207492032629709</c:v>
                  </c:pt>
                  <c:pt idx="14">
                    <c:v>0.309995284889577</c:v>
                  </c:pt>
                  <c:pt idx="15">
                    <c:v>0.327935252781815</c:v>
                  </c:pt>
                  <c:pt idx="16">
                    <c:v>0.191942150609162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0.0454278828974475</c:v>
                  </c:pt>
                  <c:pt idx="1">
                    <c:v>0.0818962805612603</c:v>
                  </c:pt>
                  <c:pt idx="2">
                    <c:v>0.0262278004195561</c:v>
                  </c:pt>
                  <c:pt idx="3">
                    <c:v>0.0393706070956306</c:v>
                  </c:pt>
                  <c:pt idx="4">
                    <c:v>0.0798273512121314</c:v>
                  </c:pt>
                  <c:pt idx="5">
                    <c:v>0.0347491905028456</c:v>
                  </c:pt>
                  <c:pt idx="6">
                    <c:v>0.0696133493779094</c:v>
                  </c:pt>
                  <c:pt idx="7">
                    <c:v>0.130126008792668</c:v>
                  </c:pt>
                  <c:pt idx="8">
                    <c:v>0.100289342539968</c:v>
                  </c:pt>
                  <c:pt idx="9">
                    <c:v>0.0935961346851915</c:v>
                  </c:pt>
                  <c:pt idx="10">
                    <c:v>0.17756831790415</c:v>
                  </c:pt>
                  <c:pt idx="11">
                    <c:v>0.151728218531968</c:v>
                  </c:pt>
                  <c:pt idx="12">
                    <c:v>0.377385564213397</c:v>
                  </c:pt>
                  <c:pt idx="13">
                    <c:v>0.207492032629709</c:v>
                  </c:pt>
                  <c:pt idx="14">
                    <c:v>0.309995284889577</c:v>
                  </c:pt>
                  <c:pt idx="15">
                    <c:v>0.327935252781815</c:v>
                  </c:pt>
                  <c:pt idx="16">
                    <c:v>0.191942150609162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0.386137004628304</c:v>
                </c:pt>
                <c:pt idx="1">
                  <c:v>0.54513459476937</c:v>
                </c:pt>
                <c:pt idx="2">
                  <c:v>0.810130578337814</c:v>
                </c:pt>
                <c:pt idx="3">
                  <c:v>1.227454052660349</c:v>
                </c:pt>
                <c:pt idx="4">
                  <c:v>1.606297896074037</c:v>
                </c:pt>
                <c:pt idx="5">
                  <c:v>2.282451406720815</c:v>
                </c:pt>
                <c:pt idx="6">
                  <c:v>3.729360606326315</c:v>
                </c:pt>
                <c:pt idx="7">
                  <c:v>6.552556565324962</c:v>
                </c:pt>
                <c:pt idx="8">
                  <c:v>10.85975387179183</c:v>
                </c:pt>
                <c:pt idx="9">
                  <c:v>15.94885697798268</c:v>
                </c:pt>
                <c:pt idx="10">
                  <c:v>19.37429185289876</c:v>
                </c:pt>
                <c:pt idx="11">
                  <c:v>21.53196374800578</c:v>
                </c:pt>
                <c:pt idx="12">
                  <c:v>22.28638549631559</c:v>
                </c:pt>
                <c:pt idx="13">
                  <c:v>22.83109463903281</c:v>
                </c:pt>
                <c:pt idx="14">
                  <c:v>22.4653613574941</c:v>
                </c:pt>
                <c:pt idx="15">
                  <c:v>23.47696405111178</c:v>
                </c:pt>
                <c:pt idx="16">
                  <c:v>24.35257473426877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0.000123808357836176</c:v>
                </c:pt>
                <c:pt idx="1">
                  <c:v>0.00297300017925474</c:v>
                </c:pt>
                <c:pt idx="2">
                  <c:v>0.00576044778087387</c:v>
                </c:pt>
                <c:pt idx="3">
                  <c:v>0.00668981026023845</c:v>
                </c:pt>
                <c:pt idx="4">
                  <c:v>0.00758928511568321</c:v>
                </c:pt>
                <c:pt idx="5">
                  <c:v>0.00765363814391705</c:v>
                </c:pt>
                <c:pt idx="6">
                  <c:v>0.00775016768626781</c:v>
                </c:pt>
                <c:pt idx="7">
                  <c:v>0.00784785567769405</c:v>
                </c:pt>
                <c:pt idx="8">
                  <c:v>0.00798085187104929</c:v>
                </c:pt>
                <c:pt idx="9">
                  <c:v>0.00837984045111503</c:v>
                </c:pt>
                <c:pt idx="10">
                  <c:v>0.0101643438233863</c:v>
                </c:pt>
                <c:pt idx="11">
                  <c:v>0.0116495198457547</c:v>
                </c:pt>
                <c:pt idx="12">
                  <c:v>0.0132689696606562</c:v>
                </c:pt>
                <c:pt idx="13">
                  <c:v>0.0148884194755577</c:v>
                </c:pt>
                <c:pt idx="14">
                  <c:v>0.0169759334128103</c:v>
                </c:pt>
                <c:pt idx="15">
                  <c:v>0.0192509766917388</c:v>
                </c:pt>
                <c:pt idx="16">
                  <c:v>0.0194385060334148</c:v>
                </c:pt>
                <c:pt idx="17">
                  <c:v>0.0194760893932135</c:v>
                </c:pt>
                <c:pt idx="18">
                  <c:v>0.0195136727530121</c:v>
                </c:pt>
                <c:pt idx="19">
                  <c:v>0.0197482781587658</c:v>
                </c:pt>
                <c:pt idx="20">
                  <c:v>0.0200651685145062</c:v>
                </c:pt>
                <c:pt idx="21">
                  <c:v>0.0224056239476312</c:v>
                </c:pt>
                <c:pt idx="22">
                  <c:v>0.0263061002366883</c:v>
                </c:pt>
                <c:pt idx="23">
                  <c:v>0.0279915168724079</c:v>
                </c:pt>
                <c:pt idx="24">
                  <c:v>0.0280346277022085</c:v>
                </c:pt>
                <c:pt idx="25">
                  <c:v>0.0282928482394683</c:v>
                </c:pt>
                <c:pt idx="26">
                  <c:v>0.0320089545571822</c:v>
                </c:pt>
                <c:pt idx="27">
                  <c:v>0.0354668403376362</c:v>
                </c:pt>
                <c:pt idx="28">
                  <c:v>0.0388476177493597</c:v>
                </c:pt>
                <c:pt idx="29">
                  <c:v>0.0425102074532227</c:v>
                </c:pt>
                <c:pt idx="30">
                  <c:v>0.0429326833679446</c:v>
                </c:pt>
                <c:pt idx="31">
                  <c:v>0.044262575647635</c:v>
                </c:pt>
                <c:pt idx="32">
                  <c:v>0.0456002659106668</c:v>
                </c:pt>
                <c:pt idx="33">
                  <c:v>0.0457487275165907</c:v>
                </c:pt>
                <c:pt idx="34">
                  <c:v>0.0458014153344453</c:v>
                </c:pt>
                <c:pt idx="35">
                  <c:v>0.0475368542833657</c:v>
                </c:pt>
                <c:pt idx="36">
                  <c:v>0.0493863583426164</c:v>
                </c:pt>
                <c:pt idx="37">
                  <c:v>0.049831416157841</c:v>
                </c:pt>
                <c:pt idx="38">
                  <c:v>0.0504995778907749</c:v>
                </c:pt>
                <c:pt idx="39">
                  <c:v>0.0526708160177617</c:v>
                </c:pt>
                <c:pt idx="40">
                  <c:v>0.054618950227039</c:v>
                </c:pt>
                <c:pt idx="41">
                  <c:v>0.0547857031552239</c:v>
                </c:pt>
                <c:pt idx="42">
                  <c:v>0.0547857031552239</c:v>
                </c:pt>
                <c:pt idx="43">
                  <c:v>0.0582926897379815</c:v>
                </c:pt>
                <c:pt idx="44">
                  <c:v>0.062133757187206</c:v>
                </c:pt>
                <c:pt idx="45">
                  <c:v>0.064193443355338</c:v>
                </c:pt>
                <c:pt idx="46">
                  <c:v>0.0671438201640163</c:v>
                </c:pt>
                <c:pt idx="47">
                  <c:v>0.0684243676504569</c:v>
                </c:pt>
                <c:pt idx="48">
                  <c:v>0.0687746536116122</c:v>
                </c:pt>
                <c:pt idx="49">
                  <c:v>0.0691872109827105</c:v>
                </c:pt>
                <c:pt idx="50">
                  <c:v>0.0693052583720808</c:v>
                </c:pt>
                <c:pt idx="51">
                  <c:v>0.0693052583720808</c:v>
                </c:pt>
                <c:pt idx="52">
                  <c:v>0.0693052583720808</c:v>
                </c:pt>
                <c:pt idx="53">
                  <c:v>0.0694817209644385</c:v>
                </c:pt>
                <c:pt idx="54">
                  <c:v>0.0698936698438391</c:v>
                </c:pt>
                <c:pt idx="55">
                  <c:v>0.0702472035202522</c:v>
                </c:pt>
                <c:pt idx="56">
                  <c:v>0.0708362234837083</c:v>
                </c:pt>
                <c:pt idx="57">
                  <c:v>0.0728977933558043</c:v>
                </c:pt>
                <c:pt idx="58">
                  <c:v>0.0744883906538146</c:v>
                </c:pt>
                <c:pt idx="59">
                  <c:v>0.0748419243302278</c:v>
                </c:pt>
                <c:pt idx="60">
                  <c:v>0.0753223388741274</c:v>
                </c:pt>
                <c:pt idx="61">
                  <c:v>0.0767154123161179</c:v>
                </c:pt>
                <c:pt idx="62">
                  <c:v>0.077981604890622</c:v>
                </c:pt>
                <c:pt idx="63">
                  <c:v>0.078614701177874</c:v>
                </c:pt>
                <c:pt idx="64">
                  <c:v>0.0800705610285176</c:v>
                </c:pt>
                <c:pt idx="65">
                  <c:v>0.0812733131692784</c:v>
                </c:pt>
                <c:pt idx="66">
                  <c:v>0.0817167421803909</c:v>
                </c:pt>
                <c:pt idx="67">
                  <c:v>0.0818436230478774</c:v>
                </c:pt>
                <c:pt idx="68">
                  <c:v>0.0819705039153639</c:v>
                </c:pt>
                <c:pt idx="69">
                  <c:v>0.0820973847828503</c:v>
                </c:pt>
                <c:pt idx="70">
                  <c:v>0.0830470292137284</c:v>
                </c:pt>
                <c:pt idx="71">
                  <c:v>0.0848828776417412</c:v>
                </c:pt>
                <c:pt idx="72">
                  <c:v>0.0858959625063625</c:v>
                </c:pt>
                <c:pt idx="73">
                  <c:v>0.0860862838075922</c:v>
                </c:pt>
                <c:pt idx="74">
                  <c:v>0.0880490131030915</c:v>
                </c:pt>
                <c:pt idx="75">
                  <c:v>0.0900117423985908</c:v>
                </c:pt>
                <c:pt idx="76">
                  <c:v>0.0908351599870726</c:v>
                </c:pt>
                <c:pt idx="77">
                  <c:v>0.0915316967080678</c:v>
                </c:pt>
                <c:pt idx="78">
                  <c:v>0.0915316967080678</c:v>
                </c:pt>
                <c:pt idx="79">
                  <c:v>0.0915316967080678</c:v>
                </c:pt>
                <c:pt idx="80">
                  <c:v>0.0915316967080678</c:v>
                </c:pt>
                <c:pt idx="81">
                  <c:v>0.0915951371418111</c:v>
                </c:pt>
                <c:pt idx="82">
                  <c:v>0.0946978321694181</c:v>
                </c:pt>
                <c:pt idx="83">
                  <c:v>0.0978005271970252</c:v>
                </c:pt>
                <c:pt idx="84">
                  <c:v>0.0985605043517637</c:v>
                </c:pt>
                <c:pt idx="85">
                  <c:v>0.0994467083488985</c:v>
                </c:pt>
                <c:pt idx="86">
                  <c:v>0.0996363756250381</c:v>
                </c:pt>
                <c:pt idx="87">
                  <c:v>0.0996363756250381</c:v>
                </c:pt>
                <c:pt idx="88">
                  <c:v>0.0996998160587813</c:v>
                </c:pt>
                <c:pt idx="89">
                  <c:v>0.100903222224632</c:v>
                </c:pt>
                <c:pt idx="90">
                  <c:v>0.102106628390483</c:v>
                </c:pt>
                <c:pt idx="91">
                  <c:v>0.102170068824227</c:v>
                </c:pt>
                <c:pt idx="92">
                  <c:v>0.102170068824227</c:v>
                </c:pt>
                <c:pt idx="93">
                  <c:v>0.102296949691713</c:v>
                </c:pt>
                <c:pt idx="94">
                  <c:v>0.102487270992943</c:v>
                </c:pt>
                <c:pt idx="95">
                  <c:v>0.102867259570312</c:v>
                </c:pt>
                <c:pt idx="96">
                  <c:v>0.103321851121086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72280"/>
        <c:axId val="2086993880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31466.0</c:v>
                </c:pt>
                <c:pt idx="1">
                  <c:v>6043.0</c:v>
                </c:pt>
                <c:pt idx="2">
                  <c:v>7009.0</c:v>
                </c:pt>
                <c:pt idx="3">
                  <c:v>7268.0</c:v>
                </c:pt>
                <c:pt idx="4">
                  <c:v>6501.0</c:v>
                </c:pt>
                <c:pt idx="5">
                  <c:v>12598.0</c:v>
                </c:pt>
                <c:pt idx="6">
                  <c:v>17668.0</c:v>
                </c:pt>
                <c:pt idx="7">
                  <c:v>3199.0</c:v>
                </c:pt>
                <c:pt idx="8">
                  <c:v>4675.0</c:v>
                </c:pt>
                <c:pt idx="9">
                  <c:v>6606.0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5.44133936696422E-17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0.0640279999999999</c:v>
                  </c:pt>
                  <c:pt idx="7">
                    <c:v>0.0924164575891833</c:v>
                  </c:pt>
                  <c:pt idx="8">
                    <c:v>0.0554498745535098</c:v>
                  </c:pt>
                  <c:pt idx="9">
                    <c:v>0.113563244345754</c:v>
                  </c:pt>
                  <c:pt idx="10">
                    <c:v>0.0999636829603632</c:v>
                  </c:pt>
                  <c:pt idx="11">
                    <c:v>0.0666424553069088</c:v>
                  </c:pt>
                  <c:pt idx="12">
                    <c:v>0.164283088482452</c:v>
                  </c:pt>
                  <c:pt idx="13">
                    <c:v>0.213159716384999</c:v>
                  </c:pt>
                  <c:pt idx="14">
                    <c:v>0.121203047854967</c:v>
                  </c:pt>
                  <c:pt idx="15">
                    <c:v>0.0805667998702526</c:v>
                  </c:pt>
                  <c:pt idx="16">
                    <c:v>0.073353289149158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5.44133936696422E-17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0.0640279999999999</c:v>
                  </c:pt>
                  <c:pt idx="7">
                    <c:v>0.0924164575891833</c:v>
                  </c:pt>
                  <c:pt idx="8">
                    <c:v>0.0554498745535098</c:v>
                  </c:pt>
                  <c:pt idx="9">
                    <c:v>0.113563244345754</c:v>
                  </c:pt>
                  <c:pt idx="10">
                    <c:v>0.0999636829603632</c:v>
                  </c:pt>
                  <c:pt idx="11">
                    <c:v>0.0666424553069088</c:v>
                  </c:pt>
                  <c:pt idx="12">
                    <c:v>0.164283088482452</c:v>
                  </c:pt>
                  <c:pt idx="13">
                    <c:v>0.213159716384999</c:v>
                  </c:pt>
                  <c:pt idx="14">
                    <c:v>0.121203047854967</c:v>
                  </c:pt>
                  <c:pt idx="15">
                    <c:v>0.0805667998702526</c:v>
                  </c:pt>
                  <c:pt idx="16">
                    <c:v>0.073353289149158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30.0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0.1722805</c:v>
                </c:pt>
                <c:pt idx="1">
                  <c:v>0.2379092</c:v>
                </c:pt>
                <c:pt idx="2">
                  <c:v>0.2971351</c:v>
                </c:pt>
                <c:pt idx="3">
                  <c:v>0.3451561</c:v>
                </c:pt>
                <c:pt idx="4">
                  <c:v>0.3931771</c:v>
                </c:pt>
                <c:pt idx="5">
                  <c:v>0.5372401</c:v>
                </c:pt>
                <c:pt idx="6">
                  <c:v>1.034504</c:v>
                </c:pt>
                <c:pt idx="7">
                  <c:v>1.696126666666666</c:v>
                </c:pt>
                <c:pt idx="8">
                  <c:v>3.115414</c:v>
                </c:pt>
                <c:pt idx="9">
                  <c:v>3.296826666666667</c:v>
                </c:pt>
                <c:pt idx="10">
                  <c:v>3.787708</c:v>
                </c:pt>
                <c:pt idx="11">
                  <c:v>4.118519333333333</c:v>
                </c:pt>
                <c:pt idx="12">
                  <c:v>4.128575333333333</c:v>
                </c:pt>
                <c:pt idx="13">
                  <c:v>4.331330666666667</c:v>
                </c:pt>
                <c:pt idx="14">
                  <c:v>3.659036666666666</c:v>
                </c:pt>
                <c:pt idx="15">
                  <c:v>3.114798666666667</c:v>
                </c:pt>
                <c:pt idx="16">
                  <c:v>3.115414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005544"/>
        <c:axId val="2086999624"/>
      </c:scatterChart>
      <c:valAx>
        <c:axId val="206547228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86993880"/>
        <c:crosses val="autoZero"/>
        <c:crossBetween val="midCat"/>
        <c:majorUnit val="6.0"/>
      </c:valAx>
      <c:valAx>
        <c:axId val="2086993880"/>
        <c:scaling>
          <c:orientation val="minMax"/>
          <c:max val="6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65472280"/>
        <c:crosses val="autoZero"/>
        <c:crossBetween val="midCat"/>
      </c:valAx>
      <c:valAx>
        <c:axId val="2086999624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087005544"/>
        <c:crosses val="max"/>
        <c:crossBetween val="midCat"/>
        <c:majorUnit val="1.0"/>
        <c:minorUnit val="0.2"/>
      </c:valAx>
      <c:valAx>
        <c:axId val="2087005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8699962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0" workbookViewId="0">
      <selection activeCell="C19" sqref="C19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38.6640625" style="2" customWidth="1"/>
    <col min="4" max="16384" width="8.83203125" style="2"/>
  </cols>
  <sheetData>
    <row r="1" spans="1:3">
      <c r="A1" s="76" t="s">
        <v>0</v>
      </c>
      <c r="B1" s="77"/>
      <c r="C1" s="33">
        <v>42039</v>
      </c>
    </row>
    <row r="2" spans="1:3" ht="16">
      <c r="A2" s="76" t="s">
        <v>1</v>
      </c>
      <c r="B2" s="78"/>
      <c r="C2" s="31" t="s">
        <v>129</v>
      </c>
    </row>
    <row r="3" spans="1:3">
      <c r="A3" s="11"/>
      <c r="B3" s="11"/>
      <c r="C3" s="10"/>
    </row>
    <row r="4" spans="1:3">
      <c r="A4" s="79" t="s">
        <v>49</v>
      </c>
      <c r="B4" s="79"/>
      <c r="C4" s="7" t="s">
        <v>107</v>
      </c>
    </row>
    <row r="6" spans="1:3">
      <c r="A6" s="40" t="s">
        <v>83</v>
      </c>
      <c r="B6" s="40" t="s">
        <v>84</v>
      </c>
      <c r="C6" s="40" t="s">
        <v>69</v>
      </c>
    </row>
    <row r="7" spans="1:3">
      <c r="A7" s="36" t="s">
        <v>85</v>
      </c>
      <c r="B7" s="36" t="s">
        <v>86</v>
      </c>
      <c r="C7" s="36" t="s">
        <v>101</v>
      </c>
    </row>
    <row r="8" spans="1:3">
      <c r="A8" s="36" t="s">
        <v>87</v>
      </c>
      <c r="B8" s="36" t="s">
        <v>88</v>
      </c>
      <c r="C8" s="36" t="s">
        <v>101</v>
      </c>
    </row>
    <row r="9" spans="1:3">
      <c r="A9" s="36" t="s">
        <v>89</v>
      </c>
      <c r="B9" s="36" t="s">
        <v>90</v>
      </c>
      <c r="C9" s="36" t="s">
        <v>101</v>
      </c>
    </row>
    <row r="10" spans="1:3">
      <c r="A10" s="36" t="s">
        <v>91</v>
      </c>
      <c r="B10" s="36" t="s">
        <v>92</v>
      </c>
      <c r="C10" s="36" t="s">
        <v>101</v>
      </c>
    </row>
    <row r="11" spans="1:3">
      <c r="A11" s="29" t="s">
        <v>148</v>
      </c>
      <c r="B11" s="29" t="s">
        <v>150</v>
      </c>
      <c r="C11" s="29" t="s">
        <v>101</v>
      </c>
    </row>
    <row r="12" spans="1:3">
      <c r="A12" s="36" t="s">
        <v>73</v>
      </c>
      <c r="B12" s="36" t="s">
        <v>93</v>
      </c>
      <c r="C12" s="36" t="s">
        <v>101</v>
      </c>
    </row>
    <row r="13" spans="1:3" ht="16">
      <c r="A13" s="10" t="s">
        <v>77</v>
      </c>
      <c r="B13" s="36" t="s">
        <v>94</v>
      </c>
      <c r="C13" s="36" t="s">
        <v>101</v>
      </c>
    </row>
    <row r="14" spans="1:3" ht="16">
      <c r="A14" s="10" t="s">
        <v>76</v>
      </c>
      <c r="B14" s="36" t="s">
        <v>94</v>
      </c>
      <c r="C14" s="36" t="s">
        <v>101</v>
      </c>
    </row>
    <row r="15" spans="1:3" ht="16">
      <c r="A15" s="36" t="s">
        <v>109</v>
      </c>
      <c r="B15" s="36" t="s">
        <v>95</v>
      </c>
      <c r="C15" s="36" t="s">
        <v>101</v>
      </c>
    </row>
    <row r="16" spans="1:3" ht="16">
      <c r="A16" s="36" t="s">
        <v>108</v>
      </c>
      <c r="B16" s="36" t="s">
        <v>94</v>
      </c>
      <c r="C16" s="36" t="s">
        <v>101</v>
      </c>
    </row>
    <row r="17" spans="1:3" ht="16">
      <c r="A17" s="36" t="s">
        <v>110</v>
      </c>
      <c r="B17" s="36" t="s">
        <v>94</v>
      </c>
      <c r="C17" s="36" t="s">
        <v>101</v>
      </c>
    </row>
    <row r="18" spans="1:3" ht="16">
      <c r="A18" s="36" t="s">
        <v>111</v>
      </c>
      <c r="B18" s="36" t="s">
        <v>151</v>
      </c>
      <c r="C18" s="36" t="s">
        <v>101</v>
      </c>
    </row>
    <row r="19" spans="1:3" ht="16">
      <c r="A19" s="36" t="s">
        <v>75</v>
      </c>
      <c r="B19" s="36" t="s">
        <v>152</v>
      </c>
      <c r="C19" s="36" t="s">
        <v>101</v>
      </c>
    </row>
    <row r="20" spans="1:3" ht="16">
      <c r="A20" s="36" t="s">
        <v>112</v>
      </c>
      <c r="B20" s="36" t="s">
        <v>96</v>
      </c>
      <c r="C20" s="36" t="s">
        <v>101</v>
      </c>
    </row>
    <row r="21" spans="1:3" ht="16">
      <c r="A21" s="36" t="s">
        <v>113</v>
      </c>
      <c r="B21" s="36" t="s">
        <v>97</v>
      </c>
      <c r="C21" s="36" t="s">
        <v>101</v>
      </c>
    </row>
    <row r="22" spans="1:3" ht="16">
      <c r="A22" s="36" t="s">
        <v>114</v>
      </c>
      <c r="B22" s="36" t="s">
        <v>98</v>
      </c>
      <c r="C22" s="36" t="s">
        <v>101</v>
      </c>
    </row>
    <row r="23" spans="1:3" ht="16">
      <c r="A23" s="36" t="s">
        <v>115</v>
      </c>
      <c r="B23" s="36" t="s">
        <v>98</v>
      </c>
      <c r="C23" s="36" t="s">
        <v>101</v>
      </c>
    </row>
    <row r="24" spans="1:3">
      <c r="A24" s="36" t="s">
        <v>99</v>
      </c>
      <c r="B24" s="36" t="s">
        <v>98</v>
      </c>
      <c r="C24" s="36" t="s">
        <v>101</v>
      </c>
    </row>
    <row r="25" spans="1:3">
      <c r="A25" s="36" t="s">
        <v>100</v>
      </c>
      <c r="B25" s="36" t="s">
        <v>98</v>
      </c>
      <c r="C25" s="36" t="s">
        <v>101</v>
      </c>
    </row>
    <row r="26" spans="1:3">
      <c r="A26" s="36" t="s">
        <v>74</v>
      </c>
      <c r="B26" s="36" t="s">
        <v>102</v>
      </c>
      <c r="C26" s="36" t="s">
        <v>103</v>
      </c>
    </row>
    <row r="27" spans="1:3">
      <c r="A27" s="36" t="s">
        <v>104</v>
      </c>
      <c r="B27" s="36" t="s">
        <v>101</v>
      </c>
      <c r="C27" s="36" t="s">
        <v>106</v>
      </c>
    </row>
    <row r="28" spans="1:3">
      <c r="A28" s="36" t="s">
        <v>105</v>
      </c>
      <c r="B28" s="36" t="s">
        <v>101</v>
      </c>
      <c r="C28" s="36" t="s">
        <v>106</v>
      </c>
    </row>
    <row r="29" spans="1:3" ht="16">
      <c r="A29" s="29" t="s">
        <v>149</v>
      </c>
      <c r="B29" s="29" t="s">
        <v>93</v>
      </c>
      <c r="C29" s="29" t="s">
        <v>145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D24" sqref="D24:F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142</v>
      </c>
      <c r="B2" s="17">
        <v>180.16</v>
      </c>
    </row>
    <row r="4" spans="1:8">
      <c r="A4" s="94" t="s">
        <v>143</v>
      </c>
      <c r="B4" s="95"/>
      <c r="C4" s="95"/>
      <c r="D4" s="95"/>
      <c r="E4" s="95"/>
      <c r="F4" s="95"/>
      <c r="G4" s="95"/>
      <c r="H4" s="96"/>
    </row>
    <row r="5" spans="1:8">
      <c r="A5" s="97" t="s">
        <v>62</v>
      </c>
      <c r="B5" s="95"/>
      <c r="C5" s="96"/>
      <c r="D5" s="98" t="s">
        <v>45</v>
      </c>
      <c r="E5" s="98" t="s">
        <v>46</v>
      </c>
      <c r="F5" s="98" t="s">
        <v>47</v>
      </c>
      <c r="G5" s="100" t="s">
        <v>63</v>
      </c>
      <c r="H5" s="100" t="s">
        <v>64</v>
      </c>
    </row>
    <row r="6" spans="1:8">
      <c r="A6" s="28" t="s">
        <v>4</v>
      </c>
      <c r="B6" s="28" t="s">
        <v>5</v>
      </c>
      <c r="C6" s="28" t="s">
        <v>19</v>
      </c>
      <c r="D6" s="99"/>
      <c r="E6" s="99"/>
      <c r="F6" s="99"/>
      <c r="G6" s="101"/>
      <c r="H6" s="101"/>
    </row>
    <row r="7" spans="1:8">
      <c r="A7" s="16">
        <v>0</v>
      </c>
      <c r="B7" s="62">
        <v>-0.16666666666666666</v>
      </c>
      <c r="C7" s="16">
        <v>2</v>
      </c>
      <c r="D7" s="19">
        <v>2.3050000000000002</v>
      </c>
      <c r="E7" s="19">
        <v>2.3239999999999998</v>
      </c>
      <c r="F7" s="19">
        <v>2.2629999999999999</v>
      </c>
      <c r="G7" s="19">
        <f>(C7*1000*AVERAGE(D7:F7)/$B$2)</f>
        <v>25.503256364712843</v>
      </c>
      <c r="H7" s="19">
        <f>(C7*1000*STDEV(D7:F7))/$B$2</f>
        <v>0.34651768379542541</v>
      </c>
    </row>
    <row r="8" spans="1:8">
      <c r="A8" s="16">
        <v>0</v>
      </c>
      <c r="B8" s="63">
        <v>0.16666666666666666</v>
      </c>
      <c r="C8" s="16">
        <v>2</v>
      </c>
      <c r="D8" s="19">
        <v>2.355</v>
      </c>
      <c r="E8" s="19">
        <v>2.3610000000000002</v>
      </c>
      <c r="F8" s="19">
        <v>2.33</v>
      </c>
      <c r="G8" s="19">
        <f t="shared" ref="G8:G17" si="0">(C8*1000*AVERAGE(D8:F8))/$B$2</f>
        <v>26.073120189461225</v>
      </c>
      <c r="H8" s="19">
        <f t="shared" ref="H8:H17" si="1">(C8*1000*STDEV(D8:F8))/$B$2</f>
        <v>0.18252460709204485</v>
      </c>
    </row>
    <row r="9" spans="1:8">
      <c r="A9" s="16">
        <v>1</v>
      </c>
      <c r="B9" s="63">
        <v>2</v>
      </c>
      <c r="C9" s="16">
        <v>2</v>
      </c>
      <c r="D9" s="19">
        <v>2.4129999999999998</v>
      </c>
      <c r="E9" s="19">
        <v>2.4289999999999998</v>
      </c>
      <c r="F9" s="19">
        <v>2.41</v>
      </c>
      <c r="G9" s="19">
        <f t="shared" si="0"/>
        <v>26.835405565423326</v>
      </c>
      <c r="H9" s="19">
        <f t="shared" si="1"/>
        <v>0.11339219542661631</v>
      </c>
    </row>
    <row r="10" spans="1:8">
      <c r="A10" s="16">
        <v>2</v>
      </c>
      <c r="B10" s="63">
        <v>3.3333333333333335</v>
      </c>
      <c r="C10" s="16">
        <v>2</v>
      </c>
      <c r="D10" s="19">
        <v>2.3359999999999999</v>
      </c>
      <c r="E10" s="19">
        <v>2.3290000000000002</v>
      </c>
      <c r="F10" s="19">
        <v>2.3180000000000001</v>
      </c>
      <c r="G10" s="19">
        <f t="shared" si="0"/>
        <v>25.83999407933689</v>
      </c>
      <c r="H10" s="19">
        <f t="shared" si="1"/>
        <v>0.10073014793380751</v>
      </c>
    </row>
    <row r="11" spans="1:8">
      <c r="A11" s="16">
        <v>3</v>
      </c>
      <c r="B11" s="63">
        <v>4.666666666666667</v>
      </c>
      <c r="C11" s="16">
        <v>2</v>
      </c>
      <c r="D11" s="19">
        <v>2.3260000000000001</v>
      </c>
      <c r="E11" s="19">
        <v>2.3260000000000001</v>
      </c>
      <c r="F11" s="19">
        <v>2.343</v>
      </c>
      <c r="G11" s="19">
        <f t="shared" si="0"/>
        <v>25.884399052693901</v>
      </c>
      <c r="H11" s="19">
        <f t="shared" si="1"/>
        <v>0.10895819911438258</v>
      </c>
    </row>
    <row r="12" spans="1:8">
      <c r="A12" s="16">
        <v>4</v>
      </c>
      <c r="B12" s="63">
        <v>6</v>
      </c>
      <c r="C12" s="16">
        <v>2</v>
      </c>
      <c r="D12" s="19">
        <v>2.3010000000000002</v>
      </c>
      <c r="E12" s="19">
        <v>2.2480000000000002</v>
      </c>
      <c r="F12" s="19">
        <v>2.286</v>
      </c>
      <c r="G12" s="19">
        <f t="shared" si="0"/>
        <v>25.292332741267028</v>
      </c>
      <c r="H12" s="19">
        <f t="shared" si="1"/>
        <v>0.30327599895889307</v>
      </c>
    </row>
    <row r="13" spans="1:8">
      <c r="A13" s="16">
        <v>5</v>
      </c>
      <c r="B13" s="63">
        <v>7.333333333333333</v>
      </c>
      <c r="C13" s="16">
        <v>2</v>
      </c>
      <c r="D13" s="19">
        <v>2.2599999999999998</v>
      </c>
      <c r="E13" s="19">
        <v>2.2770000000000001</v>
      </c>
      <c r="F13" s="19">
        <v>2.25</v>
      </c>
      <c r="G13" s="19">
        <f t="shared" si="0"/>
        <v>25.114712847838959</v>
      </c>
      <c r="H13" s="19">
        <f t="shared" si="1"/>
        <v>0.15153637677207968</v>
      </c>
    </row>
    <row r="14" spans="1:8">
      <c r="A14" s="16">
        <v>6</v>
      </c>
      <c r="B14" s="63">
        <v>8.6666666666666661</v>
      </c>
      <c r="C14" s="16">
        <v>2</v>
      </c>
      <c r="D14" s="19">
        <v>2.137</v>
      </c>
      <c r="E14" s="19">
        <v>2.1739999999999999</v>
      </c>
      <c r="F14" s="19">
        <v>2.1840000000000002</v>
      </c>
      <c r="G14" s="19">
        <f t="shared" si="0"/>
        <v>24.034191829484904</v>
      </c>
      <c r="H14" s="19">
        <f t="shared" si="1"/>
        <v>0.27485387218339186</v>
      </c>
    </row>
    <row r="15" spans="1:8">
      <c r="A15" s="16">
        <v>7</v>
      </c>
      <c r="B15" s="63">
        <v>10</v>
      </c>
      <c r="C15" s="16">
        <v>2</v>
      </c>
      <c r="D15" s="19">
        <v>1.9390000000000001</v>
      </c>
      <c r="E15" s="19">
        <v>1.992</v>
      </c>
      <c r="F15" s="19">
        <v>1.996</v>
      </c>
      <c r="G15" s="19">
        <f t="shared" si="0"/>
        <v>21.932356423919479</v>
      </c>
      <c r="H15" s="19">
        <f t="shared" si="1"/>
        <v>0.35321032561730792</v>
      </c>
    </row>
    <row r="16" spans="1:8">
      <c r="A16" s="16">
        <v>8</v>
      </c>
      <c r="B16" s="63">
        <v>11.333333333333334</v>
      </c>
      <c r="C16" s="16">
        <v>2</v>
      </c>
      <c r="D16" s="19">
        <v>1.635</v>
      </c>
      <c r="E16" s="19">
        <v>1.6379999999999999</v>
      </c>
      <c r="F16" s="19">
        <v>1.6459999999999999</v>
      </c>
      <c r="G16" s="19">
        <f t="shared" si="0"/>
        <v>18.202338661930135</v>
      </c>
      <c r="H16" s="19">
        <f t="shared" si="1"/>
        <v>6.3124341730431688E-2</v>
      </c>
    </row>
    <row r="17" spans="1:8">
      <c r="A17" s="16">
        <v>9</v>
      </c>
      <c r="B17" s="63">
        <v>12.666666666666666</v>
      </c>
      <c r="C17" s="16">
        <v>2</v>
      </c>
      <c r="D17" s="19">
        <v>1.2450000000000001</v>
      </c>
      <c r="E17" s="19">
        <v>1.2589999999999999</v>
      </c>
      <c r="F17" s="19">
        <v>1.2569999999999999</v>
      </c>
      <c r="G17" s="19">
        <f t="shared" si="0"/>
        <v>13.917258732978095</v>
      </c>
      <c r="H17" s="19">
        <f t="shared" si="1"/>
        <v>8.4057257930730961E-2</v>
      </c>
    </row>
    <row r="18" spans="1:8">
      <c r="A18" s="16">
        <v>10</v>
      </c>
      <c r="B18" s="63">
        <v>14</v>
      </c>
      <c r="C18" s="16">
        <v>2</v>
      </c>
      <c r="D18" s="19">
        <v>0.95799999999999996</v>
      </c>
      <c r="E18" s="19">
        <v>0.97199999999999998</v>
      </c>
      <c r="F18" s="19">
        <v>0.96799999999999997</v>
      </c>
      <c r="G18" s="19">
        <f t="shared" ref="G18:G23" si="2">(C18*1000*AVERAGE(D18:F18))/$B$2</f>
        <v>10.723801065719359</v>
      </c>
      <c r="H18" s="19">
        <f t="shared" ref="H18:H23" si="3">(C18*1000*STDEV(D18:F18))/$B$2</f>
        <v>8.0052204162166796E-2</v>
      </c>
    </row>
    <row r="19" spans="1:8">
      <c r="A19" s="16">
        <v>11</v>
      </c>
      <c r="B19" s="63">
        <v>15.333333333333334</v>
      </c>
      <c r="C19" s="16">
        <v>2</v>
      </c>
      <c r="D19" s="19">
        <v>0.78300000000000003</v>
      </c>
      <c r="E19" s="19">
        <v>0.78300000000000003</v>
      </c>
      <c r="F19" s="19">
        <v>0.79300000000000004</v>
      </c>
      <c r="G19" s="19">
        <f t="shared" si="2"/>
        <v>8.7292776791000595</v>
      </c>
      <c r="H19" s="19">
        <f t="shared" si="3"/>
        <v>6.4093058302578401E-2</v>
      </c>
    </row>
    <row r="20" spans="1:8">
      <c r="A20" s="16">
        <v>12</v>
      </c>
      <c r="B20" s="63">
        <v>16.666666666666668</v>
      </c>
      <c r="C20" s="16">
        <v>2</v>
      </c>
      <c r="D20" s="19">
        <v>0.68200000000000005</v>
      </c>
      <c r="E20" s="19">
        <v>0.69899999999999995</v>
      </c>
      <c r="F20" s="19">
        <v>0.70599999999999996</v>
      </c>
      <c r="G20" s="19">
        <f t="shared" si="2"/>
        <v>7.722764949674362</v>
      </c>
      <c r="H20" s="19">
        <f t="shared" si="3"/>
        <v>0.13701530921827665</v>
      </c>
    </row>
    <row r="21" spans="1:8">
      <c r="A21" s="16">
        <v>13</v>
      </c>
      <c r="B21" s="63">
        <v>18</v>
      </c>
      <c r="C21" s="16">
        <v>2</v>
      </c>
      <c r="D21" s="19">
        <v>0.65900000000000003</v>
      </c>
      <c r="E21" s="19">
        <v>0.68200000000000005</v>
      </c>
      <c r="F21" s="19">
        <v>0.66900000000000004</v>
      </c>
      <c r="G21" s="19">
        <f t="shared" si="2"/>
        <v>7.4378330373001775</v>
      </c>
      <c r="H21" s="19">
        <f t="shared" si="3"/>
        <v>0.12802578368861908</v>
      </c>
    </row>
    <row r="22" spans="1:8">
      <c r="A22" s="16">
        <v>14</v>
      </c>
      <c r="B22" s="63">
        <v>24</v>
      </c>
      <c r="C22" s="16">
        <v>2</v>
      </c>
      <c r="D22" s="19">
        <v>0.57999999999999996</v>
      </c>
      <c r="E22" s="19">
        <v>0.59599999999999997</v>
      </c>
      <c r="F22" s="19">
        <v>0.59199999999999997</v>
      </c>
      <c r="G22" s="19">
        <f t="shared" si="2"/>
        <v>6.5423327412670211</v>
      </c>
      <c r="H22" s="19">
        <f t="shared" si="3"/>
        <v>9.2436323244499768E-2</v>
      </c>
    </row>
    <row r="23" spans="1:8">
      <c r="A23" s="16">
        <v>15</v>
      </c>
      <c r="B23" s="63">
        <v>30</v>
      </c>
      <c r="C23" s="16">
        <v>2</v>
      </c>
      <c r="D23" s="19">
        <v>0.56899999999999995</v>
      </c>
      <c r="E23" s="19">
        <v>0.57999999999999996</v>
      </c>
      <c r="F23" s="19">
        <v>0.58499999999999996</v>
      </c>
      <c r="G23" s="19">
        <f t="shared" si="2"/>
        <v>6.4165186500888103</v>
      </c>
      <c r="H23" s="19">
        <f t="shared" si="3"/>
        <v>9.0867592938193339E-2</v>
      </c>
    </row>
    <row r="24" spans="1:8">
      <c r="A24" s="16">
        <v>16</v>
      </c>
      <c r="B24" s="63">
        <v>48</v>
      </c>
      <c r="C24" s="16">
        <v>2</v>
      </c>
      <c r="D24" s="73">
        <v>0</v>
      </c>
      <c r="E24" s="73">
        <v>0</v>
      </c>
      <c r="F24" s="73">
        <v>0</v>
      </c>
      <c r="G24" s="19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65</v>
      </c>
      <c r="B2" s="17">
        <v>46.03</v>
      </c>
    </row>
    <row r="4" spans="1:8">
      <c r="A4" s="94" t="s">
        <v>65</v>
      </c>
      <c r="B4" s="95"/>
      <c r="C4" s="95"/>
      <c r="D4" s="95"/>
      <c r="E4" s="95"/>
      <c r="F4" s="95"/>
      <c r="G4" s="95"/>
      <c r="H4" s="96"/>
    </row>
    <row r="5" spans="1:8">
      <c r="A5" s="97" t="s">
        <v>62</v>
      </c>
      <c r="B5" s="95"/>
      <c r="C5" s="96"/>
      <c r="D5" s="98" t="s">
        <v>45</v>
      </c>
      <c r="E5" s="98" t="s">
        <v>46</v>
      </c>
      <c r="F5" s="98" t="s">
        <v>47</v>
      </c>
      <c r="G5" s="100" t="s">
        <v>63</v>
      </c>
      <c r="H5" s="100" t="s">
        <v>64</v>
      </c>
    </row>
    <row r="6" spans="1:8">
      <c r="A6" s="28" t="s">
        <v>4</v>
      </c>
      <c r="B6" s="28" t="s">
        <v>60</v>
      </c>
      <c r="C6" s="28" t="s">
        <v>19</v>
      </c>
      <c r="D6" s="99"/>
      <c r="E6" s="99"/>
      <c r="F6" s="99"/>
      <c r="G6" s="101"/>
      <c r="H6" s="101"/>
    </row>
    <row r="7" spans="1:8">
      <c r="A7" s="64">
        <v>0</v>
      </c>
      <c r="B7" s="62">
        <v>-0.16666666666666666</v>
      </c>
      <c r="C7" s="16">
        <v>2</v>
      </c>
      <c r="D7" s="54">
        <v>0</v>
      </c>
      <c r="E7" s="54">
        <v>0</v>
      </c>
      <c r="F7" s="54">
        <v>0</v>
      </c>
      <c r="G7" s="16">
        <f>(C7*1000*AVERAGE(D7:F7))/$B$2</f>
        <v>0</v>
      </c>
      <c r="H7" s="19">
        <f t="shared" ref="H7:H9" si="0">(C7*1000*STDEV(D7:F7))/$B$2</f>
        <v>0</v>
      </c>
    </row>
    <row r="8" spans="1:8">
      <c r="A8" s="65">
        <v>0</v>
      </c>
      <c r="B8" s="63">
        <v>0.16666666666666666</v>
      </c>
      <c r="C8" s="16">
        <v>2</v>
      </c>
      <c r="D8" s="54">
        <v>0</v>
      </c>
      <c r="E8" s="54">
        <v>0</v>
      </c>
      <c r="F8" s="54">
        <v>0</v>
      </c>
      <c r="G8" s="16">
        <f t="shared" ref="G8:G10" si="1">(C8*1000*AVERAGE(D8:F8))/$B$2</f>
        <v>0</v>
      </c>
      <c r="H8" s="19">
        <f t="shared" si="0"/>
        <v>0</v>
      </c>
    </row>
    <row r="9" spans="1:8">
      <c r="A9" s="65">
        <v>1</v>
      </c>
      <c r="B9" s="63">
        <v>2</v>
      </c>
      <c r="C9" s="16">
        <v>2</v>
      </c>
      <c r="D9" s="54">
        <v>0</v>
      </c>
      <c r="E9" s="54">
        <v>0</v>
      </c>
      <c r="F9" s="54">
        <v>0</v>
      </c>
      <c r="G9" s="16">
        <f t="shared" si="1"/>
        <v>0</v>
      </c>
      <c r="H9" s="19">
        <f t="shared" si="0"/>
        <v>0</v>
      </c>
    </row>
    <row r="10" spans="1:8">
      <c r="A10" s="65">
        <v>2</v>
      </c>
      <c r="B10" s="63">
        <v>3.3333333333333335</v>
      </c>
      <c r="C10" s="16">
        <v>2</v>
      </c>
      <c r="D10" s="54">
        <v>2E-3</v>
      </c>
      <c r="E10" s="54">
        <v>2E-3</v>
      </c>
      <c r="F10" s="54">
        <v>2E-3</v>
      </c>
      <c r="G10" s="16">
        <f t="shared" si="1"/>
        <v>8.689984792526613E-2</v>
      </c>
      <c r="H10" s="19">
        <f t="shared" ref="H10:H23" si="2">(C10*1000*STDEV(D10:F10))/$B$2</f>
        <v>0</v>
      </c>
    </row>
    <row r="11" spans="1:8">
      <c r="A11" s="65">
        <v>3</v>
      </c>
      <c r="B11" s="63">
        <v>4.666666666666667</v>
      </c>
      <c r="C11" s="16">
        <v>2</v>
      </c>
      <c r="D11" s="54">
        <v>5.0000000000000001E-3</v>
      </c>
      <c r="E11" s="54">
        <v>6.0000000000000001E-3</v>
      </c>
      <c r="F11" s="54">
        <v>4.0000000000000001E-3</v>
      </c>
      <c r="G11" s="16">
        <f t="shared" ref="G11:G23" si="3">(C11*1000*AVERAGE(D11:F11))/$B$2</f>
        <v>0.21724961981316532</v>
      </c>
      <c r="H11" s="19">
        <f t="shared" si="2"/>
        <v>4.3449923962633065E-2</v>
      </c>
    </row>
    <row r="12" spans="1:8">
      <c r="A12" s="65">
        <v>4</v>
      </c>
      <c r="B12" s="63">
        <v>6</v>
      </c>
      <c r="C12" s="16">
        <v>2</v>
      </c>
      <c r="D12" s="54">
        <v>7.0000000000000001E-3</v>
      </c>
      <c r="E12" s="54">
        <v>8.0000000000000002E-3</v>
      </c>
      <c r="F12" s="54">
        <v>7.0000000000000001E-3</v>
      </c>
      <c r="G12" s="16">
        <f t="shared" si="3"/>
        <v>0.31863277572597581</v>
      </c>
      <c r="H12" s="19">
        <f t="shared" si="2"/>
        <v>2.5085825296094974E-2</v>
      </c>
    </row>
    <row r="13" spans="1:8">
      <c r="A13" s="65">
        <v>5</v>
      </c>
      <c r="B13" s="63">
        <v>7.333333333333333</v>
      </c>
      <c r="C13" s="16">
        <v>2</v>
      </c>
      <c r="D13" s="54">
        <v>1.7000000000000001E-2</v>
      </c>
      <c r="E13" s="54">
        <v>1.7999999999999999E-2</v>
      </c>
      <c r="F13" s="54">
        <v>1.6E-2</v>
      </c>
      <c r="G13" s="16">
        <f t="shared" si="3"/>
        <v>0.73864870736476207</v>
      </c>
      <c r="H13" s="19">
        <f t="shared" si="2"/>
        <v>4.3449923962633023E-2</v>
      </c>
    </row>
    <row r="14" spans="1:8">
      <c r="A14" s="65">
        <v>6</v>
      </c>
      <c r="B14" s="63">
        <v>8.6666666666666661</v>
      </c>
      <c r="C14" s="16">
        <v>2</v>
      </c>
      <c r="D14" s="54">
        <v>4.1000000000000002E-2</v>
      </c>
      <c r="E14" s="54">
        <v>4.2999999999999997E-2</v>
      </c>
      <c r="F14" s="54">
        <v>4.1000000000000002E-2</v>
      </c>
      <c r="G14" s="16">
        <f t="shared" si="3"/>
        <v>1.8104134984430442</v>
      </c>
      <c r="H14" s="19">
        <f t="shared" si="2"/>
        <v>5.0171650592189816E-2</v>
      </c>
    </row>
    <row r="15" spans="1:8">
      <c r="A15" s="65">
        <v>7</v>
      </c>
      <c r="B15" s="63">
        <v>10</v>
      </c>
      <c r="C15" s="16">
        <v>2</v>
      </c>
      <c r="D15" s="54">
        <v>0.11</v>
      </c>
      <c r="E15" s="54">
        <v>0.11700000000000001</v>
      </c>
      <c r="F15" s="54">
        <v>0.112</v>
      </c>
      <c r="G15" s="16">
        <f t="shared" si="3"/>
        <v>4.9098414077775363</v>
      </c>
      <c r="H15" s="19">
        <f t="shared" si="2"/>
        <v>0.15666092876228516</v>
      </c>
    </row>
    <row r="16" spans="1:8">
      <c r="A16" s="65">
        <v>8</v>
      </c>
      <c r="B16" s="63">
        <v>11.333333333333334</v>
      </c>
      <c r="C16" s="16">
        <v>2</v>
      </c>
      <c r="D16" s="54">
        <v>0.216</v>
      </c>
      <c r="E16" s="54">
        <v>0.218</v>
      </c>
      <c r="F16" s="54">
        <v>0.219</v>
      </c>
      <c r="G16" s="16">
        <f t="shared" si="3"/>
        <v>9.4576001158664642</v>
      </c>
      <c r="H16" s="19">
        <f t="shared" si="2"/>
        <v>6.6370855166280593E-2</v>
      </c>
    </row>
    <row r="17" spans="1:8">
      <c r="A17" s="65">
        <v>9</v>
      </c>
      <c r="B17" s="63">
        <v>12.666666666666666</v>
      </c>
      <c r="C17" s="16">
        <v>2</v>
      </c>
      <c r="D17" s="54">
        <v>0.33300000000000002</v>
      </c>
      <c r="E17" s="54">
        <v>0.34100000000000003</v>
      </c>
      <c r="F17" s="54">
        <v>0.33800000000000002</v>
      </c>
      <c r="G17" s="16">
        <f t="shared" si="3"/>
        <v>14.657107683394885</v>
      </c>
      <c r="H17" s="19">
        <f t="shared" si="2"/>
        <v>0.17560077707266492</v>
      </c>
    </row>
    <row r="18" spans="1:8">
      <c r="A18" s="65">
        <v>10</v>
      </c>
      <c r="B18" s="63">
        <v>14</v>
      </c>
      <c r="C18" s="16">
        <v>2</v>
      </c>
      <c r="D18" s="54">
        <v>0.42099999999999999</v>
      </c>
      <c r="E18" s="54">
        <v>0.43</v>
      </c>
      <c r="F18" s="54">
        <v>0.42699999999999999</v>
      </c>
      <c r="G18" s="16">
        <f t="shared" si="3"/>
        <v>18.509667608081685</v>
      </c>
      <c r="H18" s="19">
        <f t="shared" si="2"/>
        <v>0.19911256549884179</v>
      </c>
    </row>
    <row r="19" spans="1:8">
      <c r="A19" s="65">
        <v>11</v>
      </c>
      <c r="B19" s="63">
        <v>15.333333333333334</v>
      </c>
      <c r="C19" s="16">
        <v>2</v>
      </c>
      <c r="D19" s="54">
        <v>0.48</v>
      </c>
      <c r="E19" s="54">
        <v>0.48199999999999998</v>
      </c>
      <c r="F19" s="54">
        <v>0.48599999999999999</v>
      </c>
      <c r="G19" s="16">
        <f t="shared" si="3"/>
        <v>20.971829965964226</v>
      </c>
      <c r="H19" s="19">
        <f t="shared" si="2"/>
        <v>0.13274171033256119</v>
      </c>
    </row>
    <row r="20" spans="1:8">
      <c r="A20" s="65">
        <v>12</v>
      </c>
      <c r="B20" s="63">
        <v>16.666666666666668</v>
      </c>
      <c r="C20" s="16">
        <v>2</v>
      </c>
      <c r="D20" s="54">
        <v>0.503</v>
      </c>
      <c r="E20" s="54">
        <v>0.51700000000000002</v>
      </c>
      <c r="F20" s="54">
        <v>0.51800000000000002</v>
      </c>
      <c r="G20" s="16">
        <f t="shared" si="3"/>
        <v>22.275327684843219</v>
      </c>
      <c r="H20" s="19">
        <f t="shared" si="2"/>
        <v>0.36439266059552861</v>
      </c>
    </row>
    <row r="21" spans="1:8">
      <c r="A21" s="65">
        <v>13</v>
      </c>
      <c r="B21" s="63">
        <v>18</v>
      </c>
      <c r="C21" s="16">
        <v>2</v>
      </c>
      <c r="D21" s="54">
        <v>0.52600000000000002</v>
      </c>
      <c r="E21" s="54">
        <v>0.53200000000000003</v>
      </c>
      <c r="F21" s="54">
        <v>0.52500000000000002</v>
      </c>
      <c r="G21" s="16">
        <f t="shared" si="3"/>
        <v>22.927076544282716</v>
      </c>
      <c r="H21" s="19">
        <f t="shared" si="2"/>
        <v>0.16449875721052293</v>
      </c>
    </row>
    <row r="22" spans="1:8">
      <c r="A22" s="65">
        <v>14</v>
      </c>
      <c r="B22" s="63">
        <v>24</v>
      </c>
      <c r="C22" s="16">
        <v>2</v>
      </c>
      <c r="D22" s="54">
        <v>0.503</v>
      </c>
      <c r="E22" s="54">
        <v>0.51200000000000001</v>
      </c>
      <c r="F22" s="54">
        <v>0.51</v>
      </c>
      <c r="G22" s="16">
        <f t="shared" si="3"/>
        <v>22.087044681005146</v>
      </c>
      <c r="H22" s="19">
        <f t="shared" si="2"/>
        <v>0.20533632962209916</v>
      </c>
    </row>
    <row r="23" spans="1:8">
      <c r="A23" s="65">
        <v>15</v>
      </c>
      <c r="B23" s="63">
        <v>30</v>
      </c>
      <c r="C23" s="16">
        <v>2</v>
      </c>
      <c r="D23" s="54">
        <v>0.51900000000000002</v>
      </c>
      <c r="E23" s="54">
        <v>0.53</v>
      </c>
      <c r="F23" s="54">
        <v>0.54</v>
      </c>
      <c r="G23" s="16">
        <f t="shared" si="3"/>
        <v>23.013976392207979</v>
      </c>
      <c r="H23" s="19">
        <f t="shared" si="2"/>
        <v>0.45639658937182259</v>
      </c>
    </row>
    <row r="24" spans="1:8">
      <c r="A24" s="65">
        <v>16</v>
      </c>
      <c r="B24" s="63">
        <v>48</v>
      </c>
      <c r="C24" s="16">
        <v>2</v>
      </c>
      <c r="D24" s="54">
        <v>0.57399999999999995</v>
      </c>
      <c r="E24" s="54">
        <v>0.57999999999999996</v>
      </c>
      <c r="F24" s="54">
        <v>0.58299999999999996</v>
      </c>
      <c r="G24" s="16">
        <f t="shared" ref="G24" si="4">(C24*1000*AVERAGE(D24:F24))/$B$2</f>
        <v>25.157505974364543</v>
      </c>
      <c r="H24" s="19">
        <f t="shared" ref="H24" si="5">(C24*1000*STDEV(D24:F24))/$B$2</f>
        <v>0.19911256549884179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4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94" t="s">
        <v>43</v>
      </c>
      <c r="B4" s="95"/>
      <c r="C4" s="95"/>
      <c r="D4" s="95"/>
      <c r="E4" s="95"/>
      <c r="F4" s="95"/>
      <c r="G4" s="95"/>
      <c r="H4" s="96"/>
    </row>
    <row r="5" spans="1:8">
      <c r="A5" s="97" t="s">
        <v>62</v>
      </c>
      <c r="B5" s="95"/>
      <c r="C5" s="96"/>
      <c r="D5" s="98" t="s">
        <v>45</v>
      </c>
      <c r="E5" s="98" t="s">
        <v>46</v>
      </c>
      <c r="F5" s="98" t="s">
        <v>47</v>
      </c>
      <c r="G5" s="100" t="s">
        <v>63</v>
      </c>
      <c r="H5" s="100" t="s">
        <v>64</v>
      </c>
    </row>
    <row r="6" spans="1:8">
      <c r="A6" s="22" t="s">
        <v>4</v>
      </c>
      <c r="B6" s="22" t="s">
        <v>60</v>
      </c>
      <c r="C6" s="22" t="s">
        <v>19</v>
      </c>
      <c r="D6" s="99"/>
      <c r="E6" s="99"/>
      <c r="F6" s="99"/>
      <c r="G6" s="101"/>
      <c r="H6" s="101"/>
    </row>
    <row r="7" spans="1:8">
      <c r="A7" s="64">
        <v>0</v>
      </c>
      <c r="B7" s="62">
        <v>-0.16666666666666666</v>
      </c>
      <c r="C7" s="16">
        <v>2</v>
      </c>
      <c r="D7" s="19">
        <v>0.75900000000000001</v>
      </c>
      <c r="E7" s="19">
        <v>0.75800000000000001</v>
      </c>
      <c r="F7" s="19">
        <v>0.751</v>
      </c>
      <c r="G7" s="16">
        <f>(C7*1000*AVERAGE(D7:F7))/$B$2</f>
        <v>25.179017485428808</v>
      </c>
      <c r="H7" s="19">
        <f>(C7*1000*STDEV(D7:F7))/$B$2</f>
        <v>0.14517565174157129</v>
      </c>
    </row>
    <row r="8" spans="1:8">
      <c r="A8" s="65">
        <v>0</v>
      </c>
      <c r="B8" s="63">
        <v>0.16666666666666666</v>
      </c>
      <c r="C8" s="16">
        <v>2</v>
      </c>
      <c r="D8" s="19">
        <v>0.79600000000000004</v>
      </c>
      <c r="E8" s="19">
        <v>0.80200000000000005</v>
      </c>
      <c r="F8" s="19">
        <v>0.77700000000000002</v>
      </c>
      <c r="G8" s="16">
        <f t="shared" ref="G8:G17" si="0">(C8*1000*AVERAGE(D8:F8))/$B$2</f>
        <v>26.3669164585068</v>
      </c>
      <c r="H8" s="19">
        <f t="shared" ref="H8:H17" si="1">(C8*1000*STDEV(D8:F8))/$B$2</f>
        <v>0.43467714572194083</v>
      </c>
    </row>
    <row r="9" spans="1:8">
      <c r="A9" s="65">
        <v>1</v>
      </c>
      <c r="B9" s="63">
        <v>2</v>
      </c>
      <c r="C9" s="16">
        <v>2</v>
      </c>
      <c r="D9" s="19">
        <v>0.81</v>
      </c>
      <c r="E9" s="19">
        <v>0.82599999999999996</v>
      </c>
      <c r="F9" s="19">
        <v>0.80500000000000005</v>
      </c>
      <c r="G9" s="16">
        <f t="shared" si="0"/>
        <v>27.099639189564257</v>
      </c>
      <c r="H9" s="19">
        <f t="shared" si="1"/>
        <v>0.36535071156046084</v>
      </c>
    </row>
    <row r="10" spans="1:8">
      <c r="A10" s="65">
        <v>2</v>
      </c>
      <c r="B10" s="63">
        <v>3.3333333333333335</v>
      </c>
      <c r="C10" s="16">
        <v>2</v>
      </c>
      <c r="D10" s="19">
        <v>0.77700000000000002</v>
      </c>
      <c r="E10" s="19">
        <v>0.78700000000000003</v>
      </c>
      <c r="F10" s="19">
        <v>0.78400000000000003</v>
      </c>
      <c r="G10" s="16">
        <f t="shared" si="0"/>
        <v>26.067166250346933</v>
      </c>
      <c r="H10" s="19">
        <f t="shared" si="1"/>
        <v>0.17091095551863081</v>
      </c>
    </row>
    <row r="11" spans="1:8">
      <c r="A11" s="65">
        <v>3</v>
      </c>
      <c r="B11" s="63">
        <v>4.666666666666667</v>
      </c>
      <c r="C11" s="16">
        <v>2</v>
      </c>
      <c r="D11" s="19">
        <v>0.79800000000000004</v>
      </c>
      <c r="E11" s="19">
        <v>0.77700000000000002</v>
      </c>
      <c r="F11" s="19">
        <v>0.78600000000000003</v>
      </c>
      <c r="G11" s="16">
        <f t="shared" si="0"/>
        <v>26.211490424646129</v>
      </c>
      <c r="H11" s="19">
        <f t="shared" si="1"/>
        <v>0.35089604505754363</v>
      </c>
    </row>
    <row r="12" spans="1:8">
      <c r="A12" s="65">
        <v>4</v>
      </c>
      <c r="B12" s="63">
        <v>6</v>
      </c>
      <c r="C12" s="16">
        <v>2</v>
      </c>
      <c r="D12" s="19">
        <v>0.77900000000000003</v>
      </c>
      <c r="E12" s="19">
        <v>0.76100000000000001</v>
      </c>
      <c r="F12" s="19">
        <v>0.77300000000000002</v>
      </c>
      <c r="G12" s="16">
        <f t="shared" si="0"/>
        <v>25.678601165695255</v>
      </c>
      <c r="H12" s="19">
        <f t="shared" si="1"/>
        <v>0.30525067077141343</v>
      </c>
    </row>
    <row r="13" spans="1:8">
      <c r="A13" s="65">
        <v>5</v>
      </c>
      <c r="B13" s="63">
        <v>7.333333333333333</v>
      </c>
      <c r="C13" s="16">
        <v>2</v>
      </c>
      <c r="D13" s="19">
        <v>0.77100000000000002</v>
      </c>
      <c r="E13" s="19">
        <v>0.76300000000000001</v>
      </c>
      <c r="F13" s="19">
        <v>0.751</v>
      </c>
      <c r="G13" s="16">
        <f t="shared" si="0"/>
        <v>25.367749097973913</v>
      </c>
      <c r="H13" s="19">
        <f t="shared" si="1"/>
        <v>0.33526880645110213</v>
      </c>
    </row>
    <row r="14" spans="1:8">
      <c r="A14" s="65">
        <v>6</v>
      </c>
      <c r="B14" s="63">
        <v>8.6666666666666661</v>
      </c>
      <c r="C14" s="16">
        <v>2</v>
      </c>
      <c r="D14" s="19">
        <v>0.73099999999999998</v>
      </c>
      <c r="E14" s="19">
        <v>0.74299999999999999</v>
      </c>
      <c r="F14" s="19">
        <v>0.746</v>
      </c>
      <c r="G14" s="16">
        <f t="shared" si="0"/>
        <v>24.646128226477931</v>
      </c>
      <c r="H14" s="19">
        <f t="shared" si="1"/>
        <v>0.26435483541028409</v>
      </c>
    </row>
    <row r="15" spans="1:8">
      <c r="A15" s="65">
        <v>7</v>
      </c>
      <c r="B15" s="63">
        <v>10</v>
      </c>
      <c r="C15" s="16">
        <v>2</v>
      </c>
      <c r="D15" s="19">
        <v>0.70599999999999996</v>
      </c>
      <c r="E15" s="19">
        <v>0.72099999999999997</v>
      </c>
      <c r="F15" s="19">
        <v>0.72099999999999997</v>
      </c>
      <c r="G15" s="16">
        <f t="shared" si="0"/>
        <v>23.84679433805163</v>
      </c>
      <c r="H15" s="19">
        <f t="shared" si="1"/>
        <v>0.28843477228457598</v>
      </c>
    </row>
    <row r="16" spans="1:8">
      <c r="A16" s="65">
        <v>8</v>
      </c>
      <c r="B16" s="63">
        <v>11.333333333333334</v>
      </c>
      <c r="C16" s="16">
        <v>2</v>
      </c>
      <c r="D16" s="19">
        <v>0.66100000000000003</v>
      </c>
      <c r="E16" s="19">
        <v>0.66100000000000003</v>
      </c>
      <c r="F16" s="19">
        <v>0.65800000000000003</v>
      </c>
      <c r="G16" s="16">
        <f t="shared" si="0"/>
        <v>21.981681931723564</v>
      </c>
      <c r="H16" s="19">
        <f t="shared" si="1"/>
        <v>5.7686954456915206E-2</v>
      </c>
    </row>
    <row r="17" spans="1:8">
      <c r="A17" s="65">
        <v>9</v>
      </c>
      <c r="B17" s="63">
        <v>12.666666666666666</v>
      </c>
      <c r="C17" s="16">
        <v>2</v>
      </c>
      <c r="D17" s="19">
        <v>0.59499999999999997</v>
      </c>
      <c r="E17" s="19">
        <v>0.60699999999999998</v>
      </c>
      <c r="F17" s="19">
        <v>0.60699999999999998</v>
      </c>
      <c r="G17" s="16">
        <f t="shared" si="0"/>
        <v>20.083263946711075</v>
      </c>
      <c r="H17" s="19">
        <f t="shared" si="1"/>
        <v>0.23074781782766085</v>
      </c>
    </row>
    <row r="18" spans="1:8">
      <c r="A18" s="65">
        <v>10</v>
      </c>
      <c r="B18" s="63">
        <v>14</v>
      </c>
      <c r="C18" s="16">
        <v>2</v>
      </c>
      <c r="D18" s="19">
        <v>0.56499999999999995</v>
      </c>
      <c r="E18" s="19">
        <v>0.57799999999999996</v>
      </c>
      <c r="F18" s="19">
        <v>0.56699999999999995</v>
      </c>
      <c r="G18" s="16">
        <f t="shared" ref="G18:G23" si="2">(C18*1000*AVERAGE(D18:F18))/$B$2</f>
        <v>18.984179850124896</v>
      </c>
      <c r="H18" s="19">
        <f t="shared" ref="H18:H23" si="3">(C18*1000*STDEV(D18:F18))/$B$2</f>
        <v>0.23313905079100772</v>
      </c>
    </row>
    <row r="19" spans="1:8">
      <c r="A19" s="65">
        <v>11</v>
      </c>
      <c r="B19" s="63">
        <v>15.333333333333334</v>
      </c>
      <c r="C19" s="16">
        <v>2</v>
      </c>
      <c r="D19" s="19">
        <v>0.54500000000000004</v>
      </c>
      <c r="E19" s="19">
        <v>0.55100000000000005</v>
      </c>
      <c r="F19" s="19">
        <v>0.55000000000000004</v>
      </c>
      <c r="G19" s="16">
        <f t="shared" si="2"/>
        <v>18.273660838190402</v>
      </c>
      <c r="H19" s="19">
        <f t="shared" si="3"/>
        <v>0.10706245640847033</v>
      </c>
    </row>
    <row r="20" spans="1:8">
      <c r="A20" s="65">
        <v>12</v>
      </c>
      <c r="B20" s="63">
        <v>16.666666666666668</v>
      </c>
      <c r="C20" s="16">
        <v>2</v>
      </c>
      <c r="D20" s="19">
        <v>0.54400000000000004</v>
      </c>
      <c r="E20" s="19">
        <v>0.55500000000000005</v>
      </c>
      <c r="F20" s="19">
        <v>0.55500000000000005</v>
      </c>
      <c r="G20" s="16">
        <f t="shared" si="2"/>
        <v>18.362475714682216</v>
      </c>
      <c r="H20" s="19">
        <f t="shared" si="3"/>
        <v>0.21151883300868907</v>
      </c>
    </row>
    <row r="21" spans="1:8">
      <c r="A21" s="65">
        <v>13</v>
      </c>
      <c r="B21" s="63">
        <v>18</v>
      </c>
      <c r="C21" s="16">
        <v>2</v>
      </c>
      <c r="D21" s="19">
        <v>0.55200000000000005</v>
      </c>
      <c r="E21" s="19">
        <v>0.56499999999999995</v>
      </c>
      <c r="F21" s="19">
        <v>0.56200000000000006</v>
      </c>
      <c r="G21" s="16">
        <f t="shared" si="2"/>
        <v>18.640022203719123</v>
      </c>
      <c r="H21" s="19">
        <f t="shared" si="3"/>
        <v>0.22670638752885958</v>
      </c>
    </row>
    <row r="22" spans="1:8">
      <c r="A22" s="65">
        <v>14</v>
      </c>
      <c r="B22" s="63">
        <v>24</v>
      </c>
      <c r="C22" s="16">
        <v>2</v>
      </c>
      <c r="D22" s="19">
        <v>0.53200000000000003</v>
      </c>
      <c r="E22" s="19">
        <v>0.54500000000000004</v>
      </c>
      <c r="F22" s="19">
        <v>0.54200000000000004</v>
      </c>
      <c r="G22" s="16">
        <f t="shared" si="2"/>
        <v>17.973910630030531</v>
      </c>
      <c r="H22" s="19">
        <f t="shared" si="3"/>
        <v>0.22670638752886102</v>
      </c>
    </row>
    <row r="23" spans="1:8">
      <c r="A23" s="65">
        <v>15</v>
      </c>
      <c r="B23" s="63">
        <v>30</v>
      </c>
      <c r="C23" s="16">
        <v>2</v>
      </c>
      <c r="D23" s="19">
        <v>0.55100000000000005</v>
      </c>
      <c r="E23" s="19">
        <v>0.55700000000000005</v>
      </c>
      <c r="F23" s="19">
        <v>0.55800000000000005</v>
      </c>
      <c r="G23" s="16">
        <f t="shared" si="2"/>
        <v>18.49569802941993</v>
      </c>
      <c r="H23" s="19">
        <f t="shared" si="3"/>
        <v>0.12609288583514358</v>
      </c>
    </row>
    <row r="24" spans="1:8">
      <c r="A24" s="65">
        <v>16</v>
      </c>
      <c r="B24" s="63">
        <v>48</v>
      </c>
      <c r="C24" s="16">
        <v>2</v>
      </c>
      <c r="D24" s="19">
        <v>0.59199999999999997</v>
      </c>
      <c r="E24" s="19">
        <v>0.59499999999999997</v>
      </c>
      <c r="F24" s="19">
        <v>0.59799999999999998</v>
      </c>
      <c r="G24" s="16">
        <f t="shared" ref="G24" si="4">(C24*1000*AVERAGE(D24:F24))/$B$2</f>
        <v>19.816819317235634</v>
      </c>
      <c r="H24" s="19">
        <f t="shared" ref="H24" si="5">(C24*1000*STDEV(D24:F24))/$B$2</f>
        <v>9.9916736053289018E-2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A25" sqref="A25:XFD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67</v>
      </c>
      <c r="B2" s="17">
        <v>74.08</v>
      </c>
    </row>
    <row r="4" spans="1:8">
      <c r="A4" s="94" t="s">
        <v>67</v>
      </c>
      <c r="B4" s="95"/>
      <c r="C4" s="95"/>
      <c r="D4" s="95"/>
      <c r="E4" s="95"/>
      <c r="F4" s="95"/>
      <c r="G4" s="95"/>
      <c r="H4" s="96"/>
    </row>
    <row r="5" spans="1:8">
      <c r="A5" s="97" t="s">
        <v>62</v>
      </c>
      <c r="B5" s="95"/>
      <c r="C5" s="96"/>
      <c r="D5" s="98" t="s">
        <v>45</v>
      </c>
      <c r="E5" s="98" t="s">
        <v>46</v>
      </c>
      <c r="F5" s="98" t="s">
        <v>47</v>
      </c>
      <c r="G5" s="100" t="s">
        <v>63</v>
      </c>
      <c r="H5" s="100" t="s">
        <v>64</v>
      </c>
    </row>
    <row r="6" spans="1:8">
      <c r="A6" s="28" t="s">
        <v>4</v>
      </c>
      <c r="B6" s="28" t="s">
        <v>60</v>
      </c>
      <c r="C6" s="28" t="s">
        <v>19</v>
      </c>
      <c r="D6" s="99"/>
      <c r="E6" s="99"/>
      <c r="F6" s="99"/>
      <c r="G6" s="101"/>
      <c r="H6" s="101"/>
    </row>
    <row r="7" spans="1:8">
      <c r="A7" s="64">
        <v>0</v>
      </c>
      <c r="B7" s="62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65">
        <v>0</v>
      </c>
      <c r="B8" s="63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5">
        <v>1</v>
      </c>
      <c r="B9" s="63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5">
        <v>2</v>
      </c>
      <c r="B10" s="63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5">
        <v>3</v>
      </c>
      <c r="B11" s="63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5">
        <v>4</v>
      </c>
      <c r="B12" s="63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5">
        <v>5</v>
      </c>
      <c r="B13" s="63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5">
        <v>6</v>
      </c>
      <c r="B14" s="63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5">
        <v>7</v>
      </c>
      <c r="B15" s="63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5">
        <v>8</v>
      </c>
      <c r="B16" s="63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5">
        <v>9</v>
      </c>
      <c r="B17" s="63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5">
        <v>10</v>
      </c>
      <c r="B18" s="63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5">
        <v>11</v>
      </c>
      <c r="B19" s="63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5">
        <v>12</v>
      </c>
      <c r="B20" s="63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5">
        <v>13</v>
      </c>
      <c r="B21" s="63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5">
        <v>14</v>
      </c>
      <c r="B22" s="63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5">
        <v>15</v>
      </c>
      <c r="B23" s="63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5">
        <v>16</v>
      </c>
      <c r="B24" s="63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3"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61</v>
      </c>
    </row>
    <row r="2" spans="1:8">
      <c r="A2" s="27" t="s">
        <v>66</v>
      </c>
      <c r="B2" s="17">
        <v>88.11</v>
      </c>
    </row>
    <row r="4" spans="1:8">
      <c r="A4" s="94" t="s">
        <v>66</v>
      </c>
      <c r="B4" s="95"/>
      <c r="C4" s="95"/>
      <c r="D4" s="95"/>
      <c r="E4" s="95"/>
      <c r="F4" s="95"/>
      <c r="G4" s="95"/>
      <c r="H4" s="96"/>
    </row>
    <row r="5" spans="1:8">
      <c r="A5" s="97" t="s">
        <v>62</v>
      </c>
      <c r="B5" s="95"/>
      <c r="C5" s="96"/>
      <c r="D5" s="98" t="s">
        <v>45</v>
      </c>
      <c r="E5" s="98" t="s">
        <v>46</v>
      </c>
      <c r="F5" s="98" t="s">
        <v>47</v>
      </c>
      <c r="G5" s="100" t="s">
        <v>63</v>
      </c>
      <c r="H5" s="100" t="s">
        <v>64</v>
      </c>
    </row>
    <row r="6" spans="1:8">
      <c r="A6" s="28" t="s">
        <v>4</v>
      </c>
      <c r="B6" s="28" t="s">
        <v>60</v>
      </c>
      <c r="C6" s="28" t="s">
        <v>19</v>
      </c>
      <c r="D6" s="99"/>
      <c r="E6" s="99"/>
      <c r="F6" s="99"/>
      <c r="G6" s="101"/>
      <c r="H6" s="101"/>
    </row>
    <row r="7" spans="1:8">
      <c r="A7" s="64">
        <v>0</v>
      </c>
      <c r="B7" s="62">
        <v>-0.16666666666666666</v>
      </c>
      <c r="C7" s="16">
        <v>2</v>
      </c>
      <c r="D7" s="74">
        <v>8.0000000000000002E-3</v>
      </c>
      <c r="E7" s="75">
        <v>0.01</v>
      </c>
      <c r="F7" s="75">
        <v>5.0000000000000001E-3</v>
      </c>
      <c r="G7" s="16">
        <f>(C7*1000*AVERAGE(D7:F7))/$B$2</f>
        <v>0.17402489312601674</v>
      </c>
      <c r="H7" s="19">
        <f>(C7*1000*STDEV(D7:F7))/$B$2</f>
        <v>5.7124310031178835E-2</v>
      </c>
    </row>
    <row r="8" spans="1:8">
      <c r="A8" s="65">
        <v>0</v>
      </c>
      <c r="B8" s="63">
        <v>0.16666666666666666</v>
      </c>
      <c r="C8" s="16">
        <v>2</v>
      </c>
      <c r="D8" s="55">
        <v>1.7000000000000001E-2</v>
      </c>
      <c r="E8" s="56">
        <v>1.9E-2</v>
      </c>
      <c r="F8" s="56">
        <v>1.4999999999999999E-2</v>
      </c>
      <c r="G8" s="16">
        <f>(C8*1000*AVERAGE(D8:F8))/$B$2</f>
        <v>0.38588128475768924</v>
      </c>
      <c r="H8" s="19">
        <f t="shared" ref="H8:H17" si="0">(C8*1000*STDEV(D8:F8))/$B$2</f>
        <v>4.5397798206786973E-2</v>
      </c>
    </row>
    <row r="9" spans="1:8">
      <c r="A9" s="65">
        <v>1</v>
      </c>
      <c r="B9" s="63">
        <v>2</v>
      </c>
      <c r="C9" s="16">
        <v>2</v>
      </c>
      <c r="D9" s="55">
        <v>2.1000000000000001E-2</v>
      </c>
      <c r="E9" s="56">
        <v>2.3E-2</v>
      </c>
      <c r="F9" s="56">
        <v>2.8000000000000001E-2</v>
      </c>
      <c r="G9" s="16">
        <f t="shared" ref="G9:G17" si="1">(C9*1000*AVERAGE(D9:F9))/$B$2</f>
        <v>0.54477357848144359</v>
      </c>
      <c r="H9" s="19">
        <f t="shared" si="0"/>
        <v>8.1842044613868792E-2</v>
      </c>
    </row>
    <row r="10" spans="1:8">
      <c r="A10" s="65">
        <v>2</v>
      </c>
      <c r="B10" s="63">
        <v>3.3333333333333335</v>
      </c>
      <c r="C10" s="16">
        <v>2</v>
      </c>
      <c r="D10" s="54">
        <v>3.5000000000000003E-2</v>
      </c>
      <c r="E10" s="54">
        <v>3.5000000000000003E-2</v>
      </c>
      <c r="F10" s="54">
        <v>3.6999999999999998E-2</v>
      </c>
      <c r="G10" s="16">
        <f t="shared" si="1"/>
        <v>0.8095940680210344</v>
      </c>
      <c r="H10" s="19">
        <f t="shared" si="0"/>
        <v>2.6210431015304701E-2</v>
      </c>
    </row>
    <row r="11" spans="1:8">
      <c r="A11" s="65">
        <v>3</v>
      </c>
      <c r="B11" s="63">
        <v>4.666666666666667</v>
      </c>
      <c r="C11" s="16">
        <v>2</v>
      </c>
      <c r="D11" s="54">
        <v>5.2999999999999999E-2</v>
      </c>
      <c r="E11" s="54">
        <v>5.2999999999999999E-2</v>
      </c>
      <c r="F11" s="54">
        <v>5.6000000000000001E-2</v>
      </c>
      <c r="G11" s="16">
        <f t="shared" si="1"/>
        <v>1.2257405515832482</v>
      </c>
      <c r="H11" s="19">
        <f t="shared" si="0"/>
        <v>3.9315646522957187E-2</v>
      </c>
    </row>
    <row r="12" spans="1:8">
      <c r="A12" s="65">
        <v>4</v>
      </c>
      <c r="B12" s="63">
        <v>6</v>
      </c>
      <c r="C12" s="16">
        <v>2</v>
      </c>
      <c r="D12" s="54">
        <v>7.0999999999999994E-2</v>
      </c>
      <c r="E12" s="54">
        <v>6.7000000000000004E-2</v>
      </c>
      <c r="F12" s="54">
        <v>7.3999999999999996E-2</v>
      </c>
      <c r="G12" s="16">
        <f t="shared" si="1"/>
        <v>1.6040555366398064</v>
      </c>
      <c r="H12" s="19">
        <f t="shared" si="0"/>
        <v>7.9715913841430994E-2</v>
      </c>
    </row>
    <row r="13" spans="1:8">
      <c r="A13" s="65">
        <v>5</v>
      </c>
      <c r="B13" s="63">
        <v>7.333333333333333</v>
      </c>
      <c r="C13" s="16">
        <v>2</v>
      </c>
      <c r="D13" s="54">
        <v>0.1</v>
      </c>
      <c r="E13" s="54">
        <v>0.10199999999999999</v>
      </c>
      <c r="F13" s="54">
        <v>9.9000000000000005E-2</v>
      </c>
      <c r="G13" s="16">
        <f t="shared" si="1"/>
        <v>2.27745621004048</v>
      </c>
      <c r="H13" s="19">
        <f t="shared" si="0"/>
        <v>3.4673141111155159E-2</v>
      </c>
    </row>
    <row r="14" spans="1:8">
      <c r="A14" s="65">
        <v>6</v>
      </c>
      <c r="B14" s="63">
        <v>8.6666666666666661</v>
      </c>
      <c r="C14" s="16">
        <v>2</v>
      </c>
      <c r="D14" s="54">
        <v>0.161</v>
      </c>
      <c r="E14" s="54">
        <v>0.16700000000000001</v>
      </c>
      <c r="F14" s="54">
        <v>0.16300000000000001</v>
      </c>
      <c r="G14" s="16">
        <f t="shared" si="1"/>
        <v>3.7150531532554001</v>
      </c>
      <c r="H14" s="19">
        <f t="shared" si="0"/>
        <v>6.9346282222310651E-2</v>
      </c>
    </row>
    <row r="15" spans="1:8">
      <c r="A15" s="65">
        <v>7</v>
      </c>
      <c r="B15" s="63">
        <v>10</v>
      </c>
      <c r="C15" s="16">
        <v>2</v>
      </c>
      <c r="D15" s="54">
        <v>0.28000000000000003</v>
      </c>
      <c r="E15" s="54">
        <v>0.28799999999999998</v>
      </c>
      <c r="F15" s="54">
        <v>0.29099999999999998</v>
      </c>
      <c r="G15" s="16">
        <f t="shared" si="1"/>
        <v>6.4994514432716679</v>
      </c>
      <c r="H15" s="19">
        <f t="shared" si="0"/>
        <v>0.1290714039967609</v>
      </c>
    </row>
    <row r="16" spans="1:8">
      <c r="A16" s="65">
        <v>8</v>
      </c>
      <c r="B16" s="63">
        <v>11.333333333333334</v>
      </c>
      <c r="C16" s="16">
        <v>2</v>
      </c>
      <c r="D16" s="57">
        <v>0.46700000000000003</v>
      </c>
      <c r="E16" s="57">
        <v>0.47399999999999998</v>
      </c>
      <c r="F16" s="57">
        <v>0.47499999999999998</v>
      </c>
      <c r="G16" s="16">
        <f t="shared" si="1"/>
        <v>10.713880376801725</v>
      </c>
      <c r="H16" s="19">
        <f t="shared" si="0"/>
        <v>9.8942207321317574E-2</v>
      </c>
    </row>
    <row r="17" spans="1:8">
      <c r="A17" s="65">
        <v>9</v>
      </c>
      <c r="B17" s="63">
        <v>12.666666666666666</v>
      </c>
      <c r="C17" s="16">
        <v>2</v>
      </c>
      <c r="D17" s="57">
        <v>0.68500000000000005</v>
      </c>
      <c r="E17" s="57">
        <v>0.69299999999999995</v>
      </c>
      <c r="F17" s="57">
        <v>0.68799999999999994</v>
      </c>
      <c r="G17" s="16">
        <f t="shared" si="1"/>
        <v>15.63197518253698</v>
      </c>
      <c r="H17" s="19">
        <f t="shared" si="0"/>
        <v>9.1736508553565618E-2</v>
      </c>
    </row>
    <row r="18" spans="1:8">
      <c r="A18" s="65">
        <v>10</v>
      </c>
      <c r="B18" s="63">
        <v>14</v>
      </c>
      <c r="C18" s="16">
        <v>2</v>
      </c>
      <c r="D18" s="57">
        <v>0.82499999999999996</v>
      </c>
      <c r="E18" s="57">
        <v>0.84</v>
      </c>
      <c r="F18" s="57">
        <v>0.83499999999999996</v>
      </c>
      <c r="G18" s="16">
        <f t="shared" ref="G18:G23" si="2">(C18*1000*AVERAGE(D18:F18))/$B$2</f>
        <v>18.915749252827904</v>
      </c>
      <c r="H18" s="19">
        <f t="shared" ref="H18:H23" si="3">(C18*1000*STDEV(D18:F18))/$B$2</f>
        <v>0.17336570555577666</v>
      </c>
    </row>
    <row r="19" spans="1:8">
      <c r="A19" s="65">
        <v>11</v>
      </c>
      <c r="B19" s="63">
        <v>15.333333333333334</v>
      </c>
      <c r="C19" s="16">
        <v>2</v>
      </c>
      <c r="D19" s="57">
        <v>0.91700000000000004</v>
      </c>
      <c r="E19" s="57">
        <v>0.92300000000000004</v>
      </c>
      <c r="F19" s="57">
        <v>0.93</v>
      </c>
      <c r="G19" s="16">
        <f t="shared" si="2"/>
        <v>20.958650172133318</v>
      </c>
      <c r="H19" s="19">
        <f t="shared" si="3"/>
        <v>0.14768827825780767</v>
      </c>
    </row>
    <row r="20" spans="1:8">
      <c r="A20" s="65">
        <v>12</v>
      </c>
      <c r="B20" s="63">
        <v>16.666666666666668</v>
      </c>
      <c r="C20" s="16">
        <v>2</v>
      </c>
      <c r="D20" s="57">
        <v>0.93600000000000005</v>
      </c>
      <c r="E20" s="57">
        <v>0.96399999999999997</v>
      </c>
      <c r="F20" s="57">
        <v>0.96399999999999997</v>
      </c>
      <c r="G20" s="16">
        <f t="shared" si="2"/>
        <v>21.669882344039646</v>
      </c>
      <c r="H20" s="19">
        <f t="shared" si="3"/>
        <v>0.36694603421426564</v>
      </c>
    </row>
    <row r="21" spans="1:8">
      <c r="A21" s="65">
        <v>13</v>
      </c>
      <c r="B21" s="63">
        <v>18</v>
      </c>
      <c r="C21" s="16">
        <v>2</v>
      </c>
      <c r="D21" s="57">
        <v>0.97099999999999997</v>
      </c>
      <c r="E21" s="57">
        <v>0.98799999999999999</v>
      </c>
      <c r="F21" s="57">
        <v>0.97499999999999998</v>
      </c>
      <c r="G21" s="16">
        <f t="shared" si="2"/>
        <v>22.199523323118832</v>
      </c>
      <c r="H21" s="19">
        <f t="shared" si="3"/>
        <v>0.20175222828999201</v>
      </c>
    </row>
    <row r="22" spans="1:8">
      <c r="A22" s="65">
        <v>14</v>
      </c>
      <c r="B22" s="63">
        <v>24</v>
      </c>
      <c r="C22" s="16">
        <v>2</v>
      </c>
      <c r="D22" s="57">
        <v>0.94699999999999995</v>
      </c>
      <c r="E22" s="57">
        <v>0.97</v>
      </c>
      <c r="F22" s="57">
        <v>0.97</v>
      </c>
      <c r="G22" s="16">
        <f t="shared" si="2"/>
        <v>21.843907237165659</v>
      </c>
      <c r="H22" s="19">
        <f t="shared" si="3"/>
        <v>0.30141995667600513</v>
      </c>
    </row>
    <row r="23" spans="1:8">
      <c r="A23" s="65">
        <v>15</v>
      </c>
      <c r="B23" s="63">
        <v>30</v>
      </c>
      <c r="C23" s="16">
        <v>2</v>
      </c>
      <c r="D23" s="57">
        <v>0.99099999999999999</v>
      </c>
      <c r="E23" s="57">
        <v>1.0069999999999999</v>
      </c>
      <c r="F23" s="57">
        <v>1.0189999999999999</v>
      </c>
      <c r="G23" s="16">
        <f t="shared" si="2"/>
        <v>22.827526198312711</v>
      </c>
      <c r="H23" s="19">
        <f t="shared" si="3"/>
        <v>0.31886365536572331</v>
      </c>
    </row>
    <row r="24" spans="1:8">
      <c r="A24" s="65">
        <v>16</v>
      </c>
      <c r="B24" s="63">
        <v>48</v>
      </c>
      <c r="C24" s="16">
        <v>2</v>
      </c>
      <c r="D24" s="57">
        <v>1.024</v>
      </c>
      <c r="E24" s="57">
        <v>1.0369999999999999</v>
      </c>
      <c r="F24" s="57">
        <v>1.0389999999999999</v>
      </c>
      <c r="G24" s="16">
        <f t="shared" ref="G24" si="4">(C24*1000*AVERAGE(D24:F24))/$B$2</f>
        <v>23.4555290735066</v>
      </c>
      <c r="H24" s="19">
        <f t="shared" ref="H24" si="5">(C24*1000*STDEV(D24:F24))/$B$2</f>
        <v>0.18487181512307393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36" sqref="G36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94" t="s">
        <v>42</v>
      </c>
      <c r="B4" s="95"/>
      <c r="C4" s="95"/>
      <c r="D4" s="95"/>
      <c r="E4" s="95"/>
      <c r="F4" s="95"/>
      <c r="G4" s="95"/>
      <c r="H4" s="96"/>
    </row>
    <row r="5" spans="1:8">
      <c r="A5" s="97" t="s">
        <v>62</v>
      </c>
      <c r="B5" s="95"/>
      <c r="C5" s="96"/>
      <c r="D5" s="98" t="s">
        <v>45</v>
      </c>
      <c r="E5" s="98" t="s">
        <v>46</v>
      </c>
      <c r="F5" s="98" t="s">
        <v>47</v>
      </c>
      <c r="G5" s="100" t="s">
        <v>63</v>
      </c>
      <c r="H5" s="100" t="s">
        <v>64</v>
      </c>
    </row>
    <row r="6" spans="1:8">
      <c r="A6" s="22" t="s">
        <v>4</v>
      </c>
      <c r="B6" s="22" t="s">
        <v>60</v>
      </c>
      <c r="C6" s="22" t="s">
        <v>19</v>
      </c>
      <c r="D6" s="99"/>
      <c r="E6" s="99"/>
      <c r="F6" s="99"/>
      <c r="G6" s="101"/>
      <c r="H6" s="101"/>
    </row>
    <row r="7" spans="1:8">
      <c r="A7" s="64">
        <v>0</v>
      </c>
      <c r="B7" s="62">
        <v>-0.16666666666666666</v>
      </c>
      <c r="C7" s="16">
        <v>2</v>
      </c>
      <c r="D7" s="41">
        <v>3.1E-2</v>
      </c>
      <c r="E7" s="41">
        <v>3.2000000000000001E-2</v>
      </c>
      <c r="F7" s="41">
        <v>0.03</v>
      </c>
      <c r="G7" s="16">
        <f>(C7*1000*AVERAGE(D7:F7))/$B$2</f>
        <v>0.68827708703374779</v>
      </c>
      <c r="H7" s="19">
        <f>(C7*1000*STDEV(D7:F7))/$B$2</f>
        <v>2.2202486678508014E-2</v>
      </c>
    </row>
    <row r="8" spans="1:8">
      <c r="A8" s="65">
        <v>0</v>
      </c>
      <c r="B8" s="63">
        <v>0.16666666666666666</v>
      </c>
      <c r="C8" s="16">
        <v>2</v>
      </c>
      <c r="D8" s="41">
        <v>3.2000000000000001E-2</v>
      </c>
      <c r="E8" s="41">
        <v>3.2000000000000001E-2</v>
      </c>
      <c r="F8" s="41">
        <v>3.2000000000000001E-2</v>
      </c>
      <c r="G8" s="16">
        <f t="shared" ref="G8:G23" si="0">(C8*1000*AVERAGE(D8:F8))/$B$2</f>
        <v>0.71047957371225579</v>
      </c>
      <c r="H8" s="19">
        <f t="shared" ref="H8:H23" si="1">(C8*1000*STDEV(D8:F8))/$B$2</f>
        <v>0</v>
      </c>
    </row>
    <row r="9" spans="1:8">
      <c r="A9" s="65">
        <v>1</v>
      </c>
      <c r="B9" s="63">
        <v>2</v>
      </c>
      <c r="C9" s="16">
        <v>2</v>
      </c>
      <c r="D9" s="41">
        <v>3.4000000000000002E-2</v>
      </c>
      <c r="E9" s="41">
        <v>3.4000000000000002E-2</v>
      </c>
      <c r="F9" s="41">
        <v>3.5000000000000003E-2</v>
      </c>
      <c r="G9" s="16">
        <f t="shared" si="0"/>
        <v>0.76228537596210777</v>
      </c>
      <c r="H9" s="19">
        <f t="shared" si="1"/>
        <v>1.2818611660515681E-2</v>
      </c>
    </row>
    <row r="10" spans="1:8">
      <c r="A10" s="65">
        <v>2</v>
      </c>
      <c r="B10" s="63">
        <v>3.3333333333333335</v>
      </c>
      <c r="C10" s="16">
        <v>2</v>
      </c>
      <c r="D10" s="54">
        <v>3.3000000000000002E-2</v>
      </c>
      <c r="E10" s="54">
        <v>3.4000000000000002E-2</v>
      </c>
      <c r="F10" s="54">
        <v>3.3000000000000002E-2</v>
      </c>
      <c r="G10" s="16">
        <f t="shared" si="0"/>
        <v>0.74008288928359978</v>
      </c>
      <c r="H10" s="19">
        <f t="shared" si="1"/>
        <v>1.2818611660515681E-2</v>
      </c>
    </row>
    <row r="11" spans="1:8">
      <c r="A11" s="65">
        <v>3</v>
      </c>
      <c r="B11" s="63">
        <v>4.666666666666667</v>
      </c>
      <c r="C11" s="16">
        <v>2</v>
      </c>
      <c r="D11" s="54">
        <v>3.5000000000000003E-2</v>
      </c>
      <c r="E11" s="54">
        <v>3.4000000000000002E-2</v>
      </c>
      <c r="F11" s="54">
        <v>3.5999999999999997E-2</v>
      </c>
      <c r="G11" s="16">
        <f t="shared" si="0"/>
        <v>0.77708703374777977</v>
      </c>
      <c r="H11" s="19">
        <f t="shared" si="1"/>
        <v>2.2202486678507938E-2</v>
      </c>
    </row>
    <row r="12" spans="1:8">
      <c r="A12" s="65">
        <v>4</v>
      </c>
      <c r="B12" s="63">
        <v>6</v>
      </c>
      <c r="C12" s="16">
        <v>2</v>
      </c>
      <c r="D12" s="54">
        <v>3.4000000000000002E-2</v>
      </c>
      <c r="E12" s="54">
        <v>3.3000000000000002E-2</v>
      </c>
      <c r="F12" s="54">
        <v>3.5000000000000003E-2</v>
      </c>
      <c r="G12" s="16">
        <f t="shared" si="0"/>
        <v>0.75488454706927177</v>
      </c>
      <c r="H12" s="19">
        <f t="shared" si="1"/>
        <v>2.2202486678508014E-2</v>
      </c>
    </row>
    <row r="13" spans="1:8">
      <c r="A13" s="65">
        <v>5</v>
      </c>
      <c r="B13" s="63">
        <v>7.333333333333333</v>
      </c>
      <c r="C13" s="16">
        <v>2</v>
      </c>
      <c r="D13" s="54">
        <v>3.4000000000000002E-2</v>
      </c>
      <c r="E13" s="54">
        <v>3.5000000000000003E-2</v>
      </c>
      <c r="F13" s="54">
        <v>3.4000000000000002E-2</v>
      </c>
      <c r="G13" s="16">
        <f t="shared" si="0"/>
        <v>0.76228537596210777</v>
      </c>
      <c r="H13" s="19">
        <f t="shared" si="1"/>
        <v>1.2818611660515681E-2</v>
      </c>
    </row>
    <row r="14" spans="1:8">
      <c r="A14" s="65">
        <v>6</v>
      </c>
      <c r="B14" s="63">
        <v>8.6666666666666661</v>
      </c>
      <c r="C14" s="16">
        <v>2</v>
      </c>
      <c r="D14" s="54">
        <v>3.3000000000000002E-2</v>
      </c>
      <c r="E14" s="54">
        <v>3.5000000000000003E-2</v>
      </c>
      <c r="F14" s="54">
        <v>3.5999999999999997E-2</v>
      </c>
      <c r="G14" s="16">
        <f t="shared" si="0"/>
        <v>0.76968620485494388</v>
      </c>
      <c r="H14" s="19">
        <f t="shared" si="1"/>
        <v>3.3914858606837142E-2</v>
      </c>
    </row>
    <row r="15" spans="1:8">
      <c r="A15" s="65">
        <v>7</v>
      </c>
      <c r="B15" s="63">
        <v>10</v>
      </c>
      <c r="C15" s="16">
        <v>2</v>
      </c>
      <c r="D15" s="54">
        <v>3.3000000000000002E-2</v>
      </c>
      <c r="E15" s="54">
        <v>3.5000000000000003E-2</v>
      </c>
      <c r="F15" s="54">
        <v>3.5999999999999997E-2</v>
      </c>
      <c r="G15" s="16">
        <f t="shared" si="0"/>
        <v>0.76968620485494388</v>
      </c>
      <c r="H15" s="19">
        <f t="shared" si="1"/>
        <v>3.3914858606837142E-2</v>
      </c>
    </row>
    <row r="16" spans="1:8">
      <c r="A16" s="65">
        <v>8</v>
      </c>
      <c r="B16" s="63">
        <v>11.333333333333334</v>
      </c>
      <c r="C16" s="16">
        <v>2</v>
      </c>
      <c r="D16" s="54">
        <v>3.4000000000000002E-2</v>
      </c>
      <c r="E16" s="54">
        <v>3.5999999999999997E-2</v>
      </c>
      <c r="F16" s="54">
        <v>3.5999999999999997E-2</v>
      </c>
      <c r="G16" s="16">
        <f t="shared" si="0"/>
        <v>0.78448786264061576</v>
      </c>
      <c r="H16" s="19">
        <f t="shared" si="1"/>
        <v>2.5637223321031275E-2</v>
      </c>
    </row>
    <row r="17" spans="1:8">
      <c r="A17" s="65">
        <v>9</v>
      </c>
      <c r="B17" s="63">
        <v>12.666666666666666</v>
      </c>
      <c r="C17" s="16">
        <v>2</v>
      </c>
      <c r="D17" s="54">
        <v>3.6999999999999998E-2</v>
      </c>
      <c r="E17" s="54">
        <v>3.7999999999999999E-2</v>
      </c>
      <c r="F17" s="54">
        <v>3.6999999999999998E-2</v>
      </c>
      <c r="G17" s="16">
        <f t="shared" si="0"/>
        <v>0.82889283599763164</v>
      </c>
      <c r="H17" s="19">
        <f t="shared" si="1"/>
        <v>1.2818611660515681E-2</v>
      </c>
    </row>
    <row r="18" spans="1:8">
      <c r="A18" s="65">
        <v>10</v>
      </c>
      <c r="B18" s="63">
        <v>14</v>
      </c>
      <c r="C18" s="16">
        <v>2</v>
      </c>
      <c r="D18" s="41">
        <v>4.1000000000000002E-2</v>
      </c>
      <c r="E18" s="41">
        <v>4.1000000000000002E-2</v>
      </c>
      <c r="F18" s="41">
        <v>4.1000000000000002E-2</v>
      </c>
      <c r="G18" s="16">
        <f t="shared" si="0"/>
        <v>0.91030195381882772</v>
      </c>
      <c r="H18" s="19">
        <f t="shared" si="1"/>
        <v>0</v>
      </c>
    </row>
    <row r="19" spans="1:8">
      <c r="A19" s="65">
        <v>11</v>
      </c>
      <c r="B19" s="63">
        <v>15.333333333333334</v>
      </c>
      <c r="C19" s="16">
        <v>2</v>
      </c>
      <c r="D19" s="54">
        <v>4.7E-2</v>
      </c>
      <c r="E19" s="54">
        <v>4.5999999999999999E-2</v>
      </c>
      <c r="F19" s="54">
        <v>4.8000000000000001E-2</v>
      </c>
      <c r="G19" s="16">
        <f t="shared" si="0"/>
        <v>1.0435168738898759</v>
      </c>
      <c r="H19" s="19">
        <f t="shared" si="1"/>
        <v>2.2202486678508014E-2</v>
      </c>
    </row>
    <row r="20" spans="1:8">
      <c r="A20" s="65">
        <v>12</v>
      </c>
      <c r="B20" s="63">
        <v>16.666666666666668</v>
      </c>
      <c r="C20" s="16">
        <v>2</v>
      </c>
      <c r="D20" s="54">
        <v>5.2999999999999999E-2</v>
      </c>
      <c r="E20" s="54">
        <v>5.5E-2</v>
      </c>
      <c r="F20" s="54">
        <v>5.5E-2</v>
      </c>
      <c r="G20" s="16">
        <f t="shared" si="0"/>
        <v>1.2063351095322676</v>
      </c>
      <c r="H20" s="19">
        <f t="shared" si="1"/>
        <v>2.5637223321031362E-2</v>
      </c>
    </row>
    <row r="21" spans="1:8">
      <c r="A21" s="65">
        <v>13</v>
      </c>
      <c r="B21" s="63">
        <v>18</v>
      </c>
      <c r="C21" s="16">
        <v>2</v>
      </c>
      <c r="D21" s="54">
        <v>6.3E-2</v>
      </c>
      <c r="E21" s="54">
        <v>6.5000000000000002E-2</v>
      </c>
      <c r="F21" s="54">
        <v>6.3E-2</v>
      </c>
      <c r="G21" s="16">
        <f t="shared" si="0"/>
        <v>1.4135583185316756</v>
      </c>
      <c r="H21" s="19">
        <f t="shared" si="1"/>
        <v>2.5637223321031362E-2</v>
      </c>
    </row>
    <row r="22" spans="1:8">
      <c r="A22" s="65">
        <v>14</v>
      </c>
      <c r="B22" s="63">
        <v>24</v>
      </c>
      <c r="C22" s="16">
        <v>2</v>
      </c>
      <c r="D22" s="54">
        <v>7.5999999999999998E-2</v>
      </c>
      <c r="E22" s="54">
        <v>7.8E-2</v>
      </c>
      <c r="F22" s="54">
        <v>7.9000000000000001E-2</v>
      </c>
      <c r="G22" s="16">
        <f t="shared" si="0"/>
        <v>1.7243931320307873</v>
      </c>
      <c r="H22" s="19">
        <f t="shared" si="1"/>
        <v>3.3914858606837212E-2</v>
      </c>
    </row>
    <row r="23" spans="1:8">
      <c r="A23" s="65">
        <v>15</v>
      </c>
      <c r="B23" s="63">
        <v>30</v>
      </c>
      <c r="C23" s="16">
        <v>2</v>
      </c>
      <c r="D23" s="54">
        <v>9.1999999999999998E-2</v>
      </c>
      <c r="E23" s="54">
        <v>9.4E-2</v>
      </c>
      <c r="F23" s="54">
        <v>9.2999999999999999E-2</v>
      </c>
      <c r="G23" s="16">
        <f t="shared" si="0"/>
        <v>2.0648312611012436</v>
      </c>
      <c r="H23" s="19">
        <f t="shared" si="1"/>
        <v>2.2202486678508014E-2</v>
      </c>
    </row>
    <row r="24" spans="1:8">
      <c r="A24" s="65">
        <v>16</v>
      </c>
      <c r="B24" s="63">
        <v>48</v>
      </c>
      <c r="C24" s="16">
        <v>2</v>
      </c>
      <c r="D24" s="57">
        <v>0.51300000000000001</v>
      </c>
      <c r="E24" s="57">
        <v>0.52100000000000002</v>
      </c>
      <c r="F24" s="57">
        <v>0.52</v>
      </c>
      <c r="G24" s="16">
        <f t="shared" ref="G24" si="2">(C24*1000*AVERAGE(D24:F24))/$B$2</f>
        <v>11.50088809946714</v>
      </c>
      <c r="H24" s="19">
        <f t="shared" ref="H24" si="3">(C24*1000*STDEV(D24:F24))/$B$2</f>
        <v>9.6778395726924454E-2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25" sqref="A25:XFD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94" t="s">
        <v>44</v>
      </c>
      <c r="B4" s="95"/>
      <c r="C4" s="95"/>
      <c r="D4" s="95"/>
      <c r="E4" s="95"/>
      <c r="F4" s="95"/>
      <c r="G4" s="95"/>
      <c r="H4" s="96"/>
    </row>
    <row r="5" spans="1:8">
      <c r="A5" s="97" t="s">
        <v>62</v>
      </c>
      <c r="B5" s="95"/>
      <c r="C5" s="96"/>
      <c r="D5" s="98" t="s">
        <v>45</v>
      </c>
      <c r="E5" s="98" t="s">
        <v>46</v>
      </c>
      <c r="F5" s="98" t="s">
        <v>47</v>
      </c>
      <c r="G5" s="100" t="s">
        <v>63</v>
      </c>
      <c r="H5" s="100" t="s">
        <v>64</v>
      </c>
    </row>
    <row r="6" spans="1:8">
      <c r="A6" s="22" t="s">
        <v>4</v>
      </c>
      <c r="B6" s="22" t="s">
        <v>60</v>
      </c>
      <c r="C6" s="22" t="s">
        <v>19</v>
      </c>
      <c r="D6" s="99"/>
      <c r="E6" s="99"/>
      <c r="F6" s="99"/>
      <c r="G6" s="101"/>
      <c r="H6" s="101"/>
    </row>
    <row r="7" spans="1:8">
      <c r="A7" s="64">
        <v>0</v>
      </c>
      <c r="B7" s="62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65">
        <v>0</v>
      </c>
      <c r="B8" s="63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65">
        <v>1</v>
      </c>
      <c r="B9" s="63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65">
        <v>2</v>
      </c>
      <c r="B10" s="63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65">
        <v>3</v>
      </c>
      <c r="B11" s="63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65">
        <v>4</v>
      </c>
      <c r="B12" s="63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65">
        <v>5</v>
      </c>
      <c r="B13" s="63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65">
        <v>6</v>
      </c>
      <c r="B14" s="63">
        <v>8.6666666666666661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65">
        <v>7</v>
      </c>
      <c r="B15" s="63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65">
        <v>8</v>
      </c>
      <c r="B16" s="63">
        <v>11.333333333333334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65">
        <v>9</v>
      </c>
      <c r="B17" s="63">
        <v>12.666666666666666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65">
        <v>10</v>
      </c>
      <c r="B18" s="63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65">
        <v>11</v>
      </c>
      <c r="B19" s="63">
        <v>15.333333333333334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65">
        <v>12</v>
      </c>
      <c r="B20" s="63">
        <v>16.666666666666668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65">
        <v>13</v>
      </c>
      <c r="B21" s="63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65">
        <v>14</v>
      </c>
      <c r="B22" s="63">
        <v>24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65">
        <v>15</v>
      </c>
      <c r="B23" s="63">
        <v>30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65">
        <v>16</v>
      </c>
      <c r="B24" s="63">
        <v>48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" si="4">(C24*1000*AVERAGE(D24:F24))/$B$2</f>
        <v>0</v>
      </c>
      <c r="H24" s="19">
        <f t="shared" ref="H24" si="5"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8"/>
  <sheetViews>
    <sheetView workbookViewId="0">
      <selection activeCell="B6" sqref="B6"/>
    </sheetView>
  </sheetViews>
  <sheetFormatPr baseColWidth="10" defaultColWidth="8.83203125" defaultRowHeight="14" x14ac:dyDescent="0"/>
  <cols>
    <col min="1" max="1" width="26.1640625" customWidth="1"/>
  </cols>
  <sheetData>
    <row r="1" spans="1:5">
      <c r="B1" s="30" t="s">
        <v>78</v>
      </c>
      <c r="C1" s="30" t="s">
        <v>79</v>
      </c>
    </row>
    <row r="2" spans="1:5">
      <c r="A2" s="30" t="s">
        <v>144</v>
      </c>
      <c r="B2" s="70">
        <f>Metabolites!H4-Metabolites!H20</f>
        <v>26.090398599129522</v>
      </c>
      <c r="C2" s="70">
        <f>Metabolites!I4+Metabolites!I20</f>
        <v>0.18264556441947494</v>
      </c>
    </row>
    <row r="3" spans="1:5">
      <c r="A3" s="30" t="s">
        <v>123</v>
      </c>
      <c r="B3" s="70">
        <f>Metabolites!P4-Metabolites!P20</f>
        <v>5.8096853268062993</v>
      </c>
      <c r="C3" s="70">
        <f>Metabolites!Q4+Metabolites!Q20</f>
        <v>0.53870320670538285</v>
      </c>
    </row>
    <row r="4" spans="1:5">
      <c r="A4" s="30" t="s">
        <v>124</v>
      </c>
      <c r="B4" s="70">
        <f>Metabolites!T20-Metabolites!T4</f>
        <v>26.119642939989092</v>
      </c>
      <c r="C4" s="70">
        <f>Metabolites!U4+Metabolites!U20</f>
        <v>0.20672753177498968</v>
      </c>
    </row>
    <row r="5" spans="1:5">
      <c r="A5" s="30" t="s">
        <v>125</v>
      </c>
      <c r="B5" s="70">
        <f>Metabolites!L20-Metabolites!L4</f>
        <v>11.22978374558074</v>
      </c>
      <c r="C5" s="70">
        <f>Metabolites!M20+Metabolites!M4</f>
        <v>0.10047963988433807</v>
      </c>
    </row>
    <row r="6" spans="1:5">
      <c r="A6" s="30" t="s">
        <v>126</v>
      </c>
      <c r="B6" s="70">
        <f>Metabolites!L41-Metabolites!L25</f>
        <v>23.966437729640464</v>
      </c>
      <c r="C6" s="70">
        <f>Metabolites!M41+Metabolites!M25</f>
        <v>0.23737003350660932</v>
      </c>
    </row>
    <row r="7" spans="1:5">
      <c r="A7" s="30" t="s">
        <v>80</v>
      </c>
      <c r="B7" s="70">
        <f>'H2'!G101</f>
        <v>0.10332185112108598</v>
      </c>
      <c r="C7" s="70"/>
    </row>
    <row r="8" spans="1:5">
      <c r="A8" s="30" t="s">
        <v>81</v>
      </c>
      <c r="B8" s="70">
        <f>'CO2'!G105</f>
        <v>17.21482683166349</v>
      </c>
      <c r="C8" s="70"/>
    </row>
    <row r="9" spans="1:5">
      <c r="A9" s="30" t="s">
        <v>127</v>
      </c>
      <c r="B9" s="70">
        <f>Calculation!G20*1.5/1000</f>
        <v>5.7000000000000002E-2</v>
      </c>
      <c r="C9" s="70"/>
    </row>
    <row r="10" spans="1:5" ht="16">
      <c r="A10" s="30" t="s">
        <v>128</v>
      </c>
      <c r="B10" s="70">
        <f>Calculation!H20*1.5/1000</f>
        <v>0</v>
      </c>
      <c r="C10" s="70"/>
    </row>
    <row r="12" spans="1:5">
      <c r="A12" s="30" t="s">
        <v>82</v>
      </c>
      <c r="B12" s="66">
        <f>((4*$B$6)+(3*$B$5)+($B$4)+(B8))/((6*$B$2)+(2*$B$3))</f>
        <v>1.0281146535059706</v>
      </c>
    </row>
    <row r="14" spans="1:5">
      <c r="A14" s="60"/>
      <c r="B14" s="60"/>
      <c r="C14" s="60" t="s">
        <v>130</v>
      </c>
      <c r="D14" s="60" t="s">
        <v>131</v>
      </c>
    </row>
    <row r="15" spans="1:5">
      <c r="A15" s="60" t="s">
        <v>171</v>
      </c>
      <c r="B15" s="60" t="s">
        <v>132</v>
      </c>
      <c r="C15" s="71">
        <f>B2</f>
        <v>26.090398599129522</v>
      </c>
      <c r="D15" s="71">
        <f>B2</f>
        <v>26.090398599129522</v>
      </c>
      <c r="E15" s="60"/>
    </row>
    <row r="16" spans="1:5">
      <c r="A16" s="60" t="s">
        <v>172</v>
      </c>
      <c r="B16" s="60" t="s">
        <v>133</v>
      </c>
      <c r="C16" s="71">
        <f>2*C15</f>
        <v>52.180797198259043</v>
      </c>
      <c r="D16" s="71">
        <f>2*B2</f>
        <v>52.180797198259043</v>
      </c>
      <c r="E16" s="60"/>
    </row>
    <row r="17" spans="1:5">
      <c r="A17" s="60" t="s">
        <v>173</v>
      </c>
      <c r="B17" s="60" t="s">
        <v>134</v>
      </c>
      <c r="C17" s="71">
        <f>B5</f>
        <v>11.22978374558074</v>
      </c>
      <c r="D17" s="71">
        <f>B5</f>
        <v>11.22978374558074</v>
      </c>
      <c r="E17" s="60"/>
    </row>
    <row r="18" spans="1:5">
      <c r="A18" s="60" t="s">
        <v>174</v>
      </c>
      <c r="B18" s="60" t="s">
        <v>135</v>
      </c>
      <c r="C18" s="71">
        <f>B4</f>
        <v>26.119642939989092</v>
      </c>
      <c r="D18" s="71">
        <f>B4</f>
        <v>26.119642939989092</v>
      </c>
      <c r="E18" s="60"/>
    </row>
    <row r="19" spans="1:5">
      <c r="A19" s="60" t="s">
        <v>175</v>
      </c>
      <c r="B19" s="60" t="s">
        <v>136</v>
      </c>
      <c r="C19" s="72">
        <f>C16-C17-C18</f>
        <v>14.831370512689212</v>
      </c>
      <c r="D19" s="72">
        <f>B8</f>
        <v>17.21482683166349</v>
      </c>
      <c r="E19" s="60"/>
    </row>
    <row r="20" spans="1:5">
      <c r="A20" s="60" t="s">
        <v>176</v>
      </c>
      <c r="B20" s="60" t="s">
        <v>137</v>
      </c>
      <c r="C20" s="71">
        <f>B3</f>
        <v>5.8096853268062993</v>
      </c>
      <c r="D20" s="71">
        <f>B3</f>
        <v>5.8096853268062993</v>
      </c>
      <c r="E20" s="60"/>
    </row>
    <row r="21" spans="1:5">
      <c r="A21" s="60" t="s">
        <v>177</v>
      </c>
      <c r="B21" s="60" t="s">
        <v>139</v>
      </c>
      <c r="C21" s="71">
        <f>C16-C17+C20</f>
        <v>46.760698779484599</v>
      </c>
      <c r="D21" s="71">
        <f>B6</f>
        <v>23.966437729640464</v>
      </c>
      <c r="E21" s="60"/>
    </row>
    <row r="22" spans="1:5">
      <c r="A22" s="60" t="s">
        <v>178</v>
      </c>
      <c r="B22" s="60" t="s">
        <v>140</v>
      </c>
      <c r="C22" s="72">
        <f>C21/2</f>
        <v>23.3803493897423</v>
      </c>
      <c r="D22" s="72">
        <f>B6</f>
        <v>23.966437729640464</v>
      </c>
      <c r="E22" s="60"/>
    </row>
    <row r="23" spans="1:5">
      <c r="A23" s="60" t="s">
        <v>179</v>
      </c>
      <c r="B23" s="60"/>
      <c r="C23">
        <v>0</v>
      </c>
      <c r="D23" s="70">
        <f>B7</f>
        <v>0.10332185112108598</v>
      </c>
      <c r="E23" s="60"/>
    </row>
    <row r="24" spans="1:5">
      <c r="A24" s="60"/>
      <c r="B24" s="60"/>
      <c r="C24" s="61"/>
      <c r="D24" s="61"/>
      <c r="E24" s="60"/>
    </row>
    <row r="25" spans="1:5">
      <c r="A25" s="60"/>
      <c r="B25" s="60"/>
      <c r="C25" s="60"/>
      <c r="D25" s="60"/>
      <c r="E25" s="60"/>
    </row>
    <row r="26" spans="1:5">
      <c r="A26" s="60"/>
      <c r="B26" s="60"/>
      <c r="C26" s="60"/>
      <c r="D26" s="60"/>
      <c r="E26" s="60"/>
    </row>
    <row r="27" spans="1:5">
      <c r="A27" s="60"/>
      <c r="B27" s="60"/>
      <c r="C27" s="60"/>
      <c r="D27" s="60"/>
      <c r="E27" s="60"/>
    </row>
    <row r="28" spans="1:5">
      <c r="C28" s="60"/>
      <c r="D28" s="60"/>
      <c r="E28" s="6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20" sqref="K20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80" t="s">
        <v>4</v>
      </c>
      <c r="B1" s="80" t="s">
        <v>117</v>
      </c>
      <c r="C1" s="80" t="s">
        <v>117</v>
      </c>
      <c r="D1" s="80" t="s">
        <v>5</v>
      </c>
      <c r="E1" s="4" t="s">
        <v>7</v>
      </c>
      <c r="F1" s="4" t="s">
        <v>9</v>
      </c>
      <c r="G1" s="79" t="s">
        <v>11</v>
      </c>
      <c r="H1" s="79" t="s">
        <v>12</v>
      </c>
      <c r="I1" s="4" t="s">
        <v>13</v>
      </c>
      <c r="J1" s="4" t="s">
        <v>16</v>
      </c>
      <c r="K1" s="4" t="s">
        <v>16</v>
      </c>
    </row>
    <row r="2" spans="1:11">
      <c r="A2" s="81"/>
      <c r="B2" s="81"/>
      <c r="C2" s="81"/>
      <c r="D2" s="81"/>
      <c r="E2" s="5" t="s">
        <v>8</v>
      </c>
      <c r="F2" s="5" t="s">
        <v>10</v>
      </c>
      <c r="G2" s="79"/>
      <c r="H2" s="79"/>
      <c r="I2" s="5" t="s">
        <v>14</v>
      </c>
      <c r="J2" s="5" t="s">
        <v>17</v>
      </c>
      <c r="K2" s="5" t="s">
        <v>141</v>
      </c>
    </row>
    <row r="3" spans="1:11">
      <c r="A3" s="32" t="s">
        <v>6</v>
      </c>
      <c r="B3" s="31">
        <v>-10</v>
      </c>
      <c r="C3" s="31">
        <f>B3</f>
        <v>-10</v>
      </c>
      <c r="D3" s="13">
        <f>C3/60</f>
        <v>-0.16666666666666666</v>
      </c>
      <c r="E3" s="3">
        <v>66</v>
      </c>
      <c r="F3" s="1">
        <f>E3</f>
        <v>66</v>
      </c>
      <c r="G3" s="1">
        <v>0</v>
      </c>
      <c r="H3" s="1">
        <v>0</v>
      </c>
      <c r="I3" s="1">
        <f>$F$22+G3+H3</f>
        <v>1500</v>
      </c>
      <c r="J3" s="13">
        <f>F3*1500/I3</f>
        <v>66</v>
      </c>
      <c r="K3" s="13">
        <f>$F$23-J3</f>
        <v>1509</v>
      </c>
    </row>
    <row r="4" spans="1:11">
      <c r="A4" s="1">
        <v>0</v>
      </c>
      <c r="B4" s="31">
        <v>10</v>
      </c>
      <c r="C4" s="31">
        <f>B4</f>
        <v>10</v>
      </c>
      <c r="D4" s="13">
        <f t="shared" ref="D4:D19" si="0">C4/60</f>
        <v>0.16666666666666666</v>
      </c>
      <c r="E4" s="1">
        <v>48</v>
      </c>
      <c r="F4" s="1">
        <f>E4+F3</f>
        <v>114</v>
      </c>
      <c r="G4" s="39">
        <v>1</v>
      </c>
      <c r="H4" s="39">
        <v>0</v>
      </c>
      <c r="I4" s="1">
        <f t="shared" ref="I4:I20" si="1">$F$23-F3+G4+H4</f>
        <v>1510</v>
      </c>
      <c r="J4" s="13">
        <f>E4*K3/I4</f>
        <v>47.968211920529804</v>
      </c>
      <c r="K4" s="13">
        <f>K3-J4</f>
        <v>1461.0317880794703</v>
      </c>
    </row>
    <row r="5" spans="1:11">
      <c r="A5" s="1">
        <v>1</v>
      </c>
      <c r="B5" s="31">
        <v>110</v>
      </c>
      <c r="C5" s="31">
        <f>C4+B5</f>
        <v>120</v>
      </c>
      <c r="D5" s="13">
        <f t="shared" si="0"/>
        <v>2</v>
      </c>
      <c r="E5" s="1">
        <v>52</v>
      </c>
      <c r="F5" s="1">
        <f t="shared" ref="F5:F18" si="2">E5+F4</f>
        <v>166</v>
      </c>
      <c r="G5" s="39">
        <v>1</v>
      </c>
      <c r="H5" s="39">
        <v>0</v>
      </c>
      <c r="I5" s="39">
        <f t="shared" si="1"/>
        <v>1462</v>
      </c>
      <c r="J5" s="13">
        <f t="shared" ref="J5:J13" si="3">E5*K4/I5</f>
        <v>51.965562913907284</v>
      </c>
      <c r="K5" s="13">
        <f>K4-J5</f>
        <v>1409.0662251655631</v>
      </c>
    </row>
    <row r="6" spans="1:11">
      <c r="A6" s="1">
        <v>2</v>
      </c>
      <c r="B6" s="31">
        <v>80</v>
      </c>
      <c r="C6" s="31">
        <f>C5+B6</f>
        <v>200</v>
      </c>
      <c r="D6" s="13">
        <f t="shared" si="0"/>
        <v>3.3333333333333335</v>
      </c>
      <c r="E6" s="1">
        <v>49</v>
      </c>
      <c r="F6" s="1">
        <f t="shared" si="2"/>
        <v>215</v>
      </c>
      <c r="G6" s="39">
        <v>1</v>
      </c>
      <c r="H6" s="39">
        <v>0</v>
      </c>
      <c r="I6" s="39">
        <f t="shared" si="1"/>
        <v>1410</v>
      </c>
      <c r="J6" s="13">
        <f>E6*K5/I6</f>
        <v>48.967549668874177</v>
      </c>
      <c r="K6" s="13">
        <f t="shared" ref="K6:K13" si="4">K5-J6</f>
        <v>1360.0986754966889</v>
      </c>
    </row>
    <row r="7" spans="1:11">
      <c r="A7" s="1">
        <v>3</v>
      </c>
      <c r="B7" s="31">
        <v>80</v>
      </c>
      <c r="C7" s="31">
        <f>C6+B7</f>
        <v>280</v>
      </c>
      <c r="D7" s="13">
        <f t="shared" si="0"/>
        <v>4.666666666666667</v>
      </c>
      <c r="E7" s="1">
        <v>50</v>
      </c>
      <c r="F7" s="1">
        <f t="shared" si="2"/>
        <v>265</v>
      </c>
      <c r="G7" s="39">
        <v>2</v>
      </c>
      <c r="H7" s="39">
        <v>0</v>
      </c>
      <c r="I7" s="39">
        <f t="shared" si="1"/>
        <v>1362</v>
      </c>
      <c r="J7" s="13">
        <f>E7*K6/I7</f>
        <v>49.930201009423229</v>
      </c>
      <c r="K7" s="13">
        <f>K6-J7</f>
        <v>1310.1684744872657</v>
      </c>
    </row>
    <row r="8" spans="1:11">
      <c r="A8" s="1">
        <v>4</v>
      </c>
      <c r="B8" s="31">
        <v>80</v>
      </c>
      <c r="C8" s="31">
        <f t="shared" ref="C8:C18" si="5">C7+B8</f>
        <v>360</v>
      </c>
      <c r="D8" s="13">
        <f t="shared" si="0"/>
        <v>6</v>
      </c>
      <c r="E8" s="1">
        <v>53</v>
      </c>
      <c r="F8" s="1">
        <f t="shared" si="2"/>
        <v>318</v>
      </c>
      <c r="G8" s="39">
        <v>2</v>
      </c>
      <c r="H8" s="39">
        <v>0</v>
      </c>
      <c r="I8" s="39">
        <f t="shared" si="1"/>
        <v>1312</v>
      </c>
      <c r="J8" s="13">
        <f t="shared" si="3"/>
        <v>52.926013069988628</v>
      </c>
      <c r="K8" s="13">
        <f t="shared" si="4"/>
        <v>1257.2424614172771</v>
      </c>
    </row>
    <row r="9" spans="1:11">
      <c r="A9" s="1">
        <v>5</v>
      </c>
      <c r="B9" s="31">
        <v>80</v>
      </c>
      <c r="C9" s="31">
        <f t="shared" si="5"/>
        <v>440</v>
      </c>
      <c r="D9" s="13">
        <f t="shared" si="0"/>
        <v>7.333333333333333</v>
      </c>
      <c r="E9" s="1">
        <v>51</v>
      </c>
      <c r="F9" s="1">
        <f t="shared" si="2"/>
        <v>369</v>
      </c>
      <c r="G9" s="39">
        <v>3</v>
      </c>
      <c r="H9" s="39">
        <v>0</v>
      </c>
      <c r="I9" s="39">
        <f t="shared" si="1"/>
        <v>1260</v>
      </c>
      <c r="J9" s="13">
        <f t="shared" si="3"/>
        <v>50.888385343080266</v>
      </c>
      <c r="K9" s="13">
        <f t="shared" si="4"/>
        <v>1206.3540760741969</v>
      </c>
    </row>
    <row r="10" spans="1:11">
      <c r="A10" s="1">
        <v>6</v>
      </c>
      <c r="B10" s="31">
        <v>80</v>
      </c>
      <c r="C10" s="31">
        <f t="shared" si="5"/>
        <v>520</v>
      </c>
      <c r="D10" s="13">
        <f t="shared" si="0"/>
        <v>8.6666666666666661</v>
      </c>
      <c r="E10" s="1">
        <v>49</v>
      </c>
      <c r="F10" s="1">
        <f t="shared" si="2"/>
        <v>418</v>
      </c>
      <c r="G10" s="39">
        <v>5</v>
      </c>
      <c r="H10" s="39">
        <v>0</v>
      </c>
      <c r="I10" s="39">
        <f t="shared" si="1"/>
        <v>1211</v>
      </c>
      <c r="J10" s="13">
        <f t="shared" si="3"/>
        <v>48.812014638840338</v>
      </c>
      <c r="K10" s="13">
        <f t="shared" si="4"/>
        <v>1157.5420614353566</v>
      </c>
    </row>
    <row r="11" spans="1:11">
      <c r="A11" s="1">
        <v>7</v>
      </c>
      <c r="B11" s="31">
        <v>80</v>
      </c>
      <c r="C11" s="31">
        <f t="shared" si="5"/>
        <v>600</v>
      </c>
      <c r="D11" s="13">
        <f t="shared" si="0"/>
        <v>10</v>
      </c>
      <c r="E11" s="1">
        <v>56</v>
      </c>
      <c r="F11" s="1">
        <f t="shared" si="2"/>
        <v>474</v>
      </c>
      <c r="G11" s="39">
        <v>10</v>
      </c>
      <c r="H11" s="39">
        <v>0</v>
      </c>
      <c r="I11" s="39">
        <f t="shared" si="1"/>
        <v>1167</v>
      </c>
      <c r="J11" s="13">
        <f t="shared" si="3"/>
        <v>55.546148620719762</v>
      </c>
      <c r="K11" s="13">
        <f t="shared" si="4"/>
        <v>1101.9959128146368</v>
      </c>
    </row>
    <row r="12" spans="1:11">
      <c r="A12" s="1">
        <v>8</v>
      </c>
      <c r="B12" s="31">
        <v>80</v>
      </c>
      <c r="C12" s="31">
        <f t="shared" si="5"/>
        <v>680</v>
      </c>
      <c r="D12" s="13">
        <f t="shared" si="0"/>
        <v>11.333333333333334</v>
      </c>
      <c r="E12" s="1">
        <v>51</v>
      </c>
      <c r="F12" s="1">
        <f t="shared" si="2"/>
        <v>525</v>
      </c>
      <c r="G12" s="39">
        <v>16</v>
      </c>
      <c r="H12" s="39">
        <v>0</v>
      </c>
      <c r="I12" s="39">
        <f t="shared" si="1"/>
        <v>1117</v>
      </c>
      <c r="J12" s="13">
        <f t="shared" si="3"/>
        <v>50.314943199235877</v>
      </c>
      <c r="K12" s="13">
        <f t="shared" si="4"/>
        <v>1051.680969615401</v>
      </c>
    </row>
    <row r="13" spans="1:11">
      <c r="A13" s="1">
        <v>9</v>
      </c>
      <c r="B13" s="31">
        <v>80</v>
      </c>
      <c r="C13" s="31">
        <f t="shared" si="5"/>
        <v>760</v>
      </c>
      <c r="D13" s="13">
        <f t="shared" si="0"/>
        <v>12.666666666666666</v>
      </c>
      <c r="E13" s="1">
        <v>45</v>
      </c>
      <c r="F13" s="1">
        <f t="shared" si="2"/>
        <v>570</v>
      </c>
      <c r="G13" s="39">
        <v>23</v>
      </c>
      <c r="H13" s="39">
        <v>0</v>
      </c>
      <c r="I13" s="39">
        <f t="shared" si="1"/>
        <v>1073</v>
      </c>
      <c r="J13" s="13">
        <f t="shared" si="3"/>
        <v>44.105912052836011</v>
      </c>
      <c r="K13" s="13">
        <f t="shared" si="4"/>
        <v>1007.5750575625649</v>
      </c>
    </row>
    <row r="14" spans="1:11">
      <c r="A14" s="36">
        <v>10</v>
      </c>
      <c r="B14" s="31">
        <v>80</v>
      </c>
      <c r="C14" s="31">
        <f t="shared" si="5"/>
        <v>840</v>
      </c>
      <c r="D14" s="13">
        <f t="shared" si="0"/>
        <v>14</v>
      </c>
      <c r="E14" s="3">
        <v>45</v>
      </c>
      <c r="F14" s="36">
        <f t="shared" si="2"/>
        <v>615</v>
      </c>
      <c r="G14" s="39">
        <v>27</v>
      </c>
      <c r="H14" s="39">
        <v>0</v>
      </c>
      <c r="I14" s="39">
        <f t="shared" si="1"/>
        <v>1032</v>
      </c>
      <c r="J14" s="13">
        <f t="shared" ref="J14:J19" si="6">E14*K13/I14</f>
        <v>43.934958905344402</v>
      </c>
      <c r="K14" s="13">
        <f t="shared" ref="K14:K19" si="7">K13-J14</f>
        <v>963.64009865722051</v>
      </c>
    </row>
    <row r="15" spans="1:11">
      <c r="A15" s="36">
        <v>11</v>
      </c>
      <c r="B15" s="31">
        <v>80</v>
      </c>
      <c r="C15" s="31">
        <f t="shared" si="5"/>
        <v>920</v>
      </c>
      <c r="D15" s="13">
        <f t="shared" si="0"/>
        <v>15.333333333333334</v>
      </c>
      <c r="E15" s="36">
        <v>52</v>
      </c>
      <c r="F15" s="36">
        <f t="shared" si="2"/>
        <v>667</v>
      </c>
      <c r="G15" s="39">
        <v>30</v>
      </c>
      <c r="H15" s="39">
        <v>0</v>
      </c>
      <c r="I15" s="39">
        <f t="shared" si="1"/>
        <v>990</v>
      </c>
      <c r="J15" s="13">
        <f t="shared" si="6"/>
        <v>50.615439525429764</v>
      </c>
      <c r="K15" s="13">
        <f t="shared" si="7"/>
        <v>913.02465913179071</v>
      </c>
    </row>
    <row r="16" spans="1:11">
      <c r="A16" s="36">
        <v>12</v>
      </c>
      <c r="B16" s="31">
        <v>80</v>
      </c>
      <c r="C16" s="31">
        <f t="shared" si="5"/>
        <v>1000</v>
      </c>
      <c r="D16" s="13">
        <f t="shared" si="0"/>
        <v>16.666666666666668</v>
      </c>
      <c r="E16" s="36">
        <v>54</v>
      </c>
      <c r="F16" s="36">
        <f t="shared" si="2"/>
        <v>721</v>
      </c>
      <c r="G16" s="39">
        <v>31</v>
      </c>
      <c r="H16" s="39">
        <v>0</v>
      </c>
      <c r="I16" s="39">
        <f t="shared" si="1"/>
        <v>939</v>
      </c>
      <c r="J16" s="13">
        <f t="shared" si="6"/>
        <v>52.506210429304261</v>
      </c>
      <c r="K16" s="13">
        <f t="shared" si="7"/>
        <v>860.51844870248647</v>
      </c>
    </row>
    <row r="17" spans="1:11">
      <c r="A17" s="36">
        <v>13</v>
      </c>
      <c r="B17" s="31">
        <v>80</v>
      </c>
      <c r="C17" s="31">
        <f t="shared" si="5"/>
        <v>1080</v>
      </c>
      <c r="D17" s="13">
        <f t="shared" si="0"/>
        <v>18</v>
      </c>
      <c r="E17" s="36">
        <v>49</v>
      </c>
      <c r="F17" s="36">
        <f t="shared" si="2"/>
        <v>770</v>
      </c>
      <c r="G17" s="39">
        <v>31</v>
      </c>
      <c r="H17" s="39">
        <v>0</v>
      </c>
      <c r="I17" s="39">
        <f t="shared" si="1"/>
        <v>885</v>
      </c>
      <c r="J17" s="13">
        <f t="shared" si="6"/>
        <v>47.644524278442752</v>
      </c>
      <c r="K17" s="13">
        <f t="shared" si="7"/>
        <v>812.87392442404371</v>
      </c>
    </row>
    <row r="18" spans="1:11">
      <c r="A18" s="36">
        <v>14</v>
      </c>
      <c r="B18" s="31">
        <v>360</v>
      </c>
      <c r="C18" s="31">
        <f t="shared" si="5"/>
        <v>1440</v>
      </c>
      <c r="D18" s="13">
        <f t="shared" si="0"/>
        <v>24</v>
      </c>
      <c r="E18" s="36">
        <v>46</v>
      </c>
      <c r="F18" s="36">
        <f t="shared" si="2"/>
        <v>816</v>
      </c>
      <c r="G18" s="39">
        <v>31</v>
      </c>
      <c r="H18" s="39">
        <v>0</v>
      </c>
      <c r="I18" s="39">
        <f t="shared" si="1"/>
        <v>836</v>
      </c>
      <c r="J18" s="13">
        <f t="shared" si="6"/>
        <v>44.727512587925851</v>
      </c>
      <c r="K18" s="13">
        <f t="shared" si="7"/>
        <v>768.14641183611786</v>
      </c>
    </row>
    <row r="19" spans="1:11">
      <c r="A19" s="36">
        <v>15</v>
      </c>
      <c r="B19" s="31">
        <v>360</v>
      </c>
      <c r="C19" s="31">
        <f>C18+B19</f>
        <v>1800</v>
      </c>
      <c r="D19" s="13">
        <f t="shared" si="0"/>
        <v>30</v>
      </c>
      <c r="E19" s="36">
        <v>55</v>
      </c>
      <c r="F19" s="36">
        <f>E19+F18</f>
        <v>871</v>
      </c>
      <c r="G19" s="39">
        <v>31</v>
      </c>
      <c r="H19" s="39">
        <v>0</v>
      </c>
      <c r="I19" s="39">
        <f t="shared" si="1"/>
        <v>790</v>
      </c>
      <c r="J19" s="13">
        <f t="shared" si="6"/>
        <v>53.478547659476554</v>
      </c>
      <c r="K19" s="13">
        <f t="shared" si="7"/>
        <v>714.66786417664127</v>
      </c>
    </row>
    <row r="20" spans="1:11">
      <c r="A20" s="39">
        <v>16</v>
      </c>
      <c r="B20" s="31">
        <v>1080</v>
      </c>
      <c r="C20" s="31">
        <f>C19+B20</f>
        <v>2880</v>
      </c>
      <c r="D20" s="13">
        <f t="shared" ref="D20" si="8">C20/60</f>
        <v>48</v>
      </c>
      <c r="E20" s="39">
        <v>60</v>
      </c>
      <c r="F20" s="39">
        <f t="shared" ref="F20" si="9">E20+F19</f>
        <v>931</v>
      </c>
      <c r="G20" s="39">
        <v>38</v>
      </c>
      <c r="H20" s="39">
        <v>0</v>
      </c>
      <c r="I20" s="39">
        <f t="shared" si="1"/>
        <v>742</v>
      </c>
      <c r="J20" s="13">
        <f t="shared" ref="J20" si="10">E20*K19/I20</f>
        <v>57.78985424608959</v>
      </c>
      <c r="K20" s="13">
        <f t="shared" ref="K20" si="11">K19-J20</f>
        <v>656.87800993055168</v>
      </c>
    </row>
    <row r="22" spans="1:11">
      <c r="A22" s="76" t="s">
        <v>15</v>
      </c>
      <c r="B22" s="77"/>
      <c r="C22" s="77"/>
      <c r="D22" s="77"/>
      <c r="E22" s="78"/>
      <c r="F22" s="1">
        <v>1500</v>
      </c>
    </row>
    <row r="23" spans="1:11">
      <c r="A23" s="76" t="s">
        <v>15</v>
      </c>
      <c r="B23" s="77"/>
      <c r="C23" s="77"/>
      <c r="D23" s="77"/>
      <c r="E23" s="78"/>
      <c r="F23" s="39">
        <v>1575</v>
      </c>
    </row>
  </sheetData>
  <mergeCells count="8">
    <mergeCell ref="A23:E23"/>
    <mergeCell ref="A1:A2"/>
    <mergeCell ref="D1:D2"/>
    <mergeCell ref="G1:G2"/>
    <mergeCell ref="H1:H2"/>
    <mergeCell ref="A22:E22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D3" sqref="D3:D21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80" t="s">
        <v>4</v>
      </c>
      <c r="B1" s="80" t="s">
        <v>117</v>
      </c>
      <c r="C1" s="80" t="s">
        <v>117</v>
      </c>
      <c r="D1" s="80" t="s">
        <v>5</v>
      </c>
      <c r="E1" s="85" t="s">
        <v>18</v>
      </c>
      <c r="F1" s="85"/>
      <c r="G1" s="85"/>
      <c r="H1" s="85"/>
      <c r="I1" s="85" t="s">
        <v>20</v>
      </c>
      <c r="J1" s="85"/>
      <c r="K1" s="85"/>
      <c r="L1" s="85"/>
      <c r="M1" s="85" t="s">
        <v>21</v>
      </c>
      <c r="N1" s="85"/>
      <c r="O1" s="85"/>
      <c r="P1" s="85"/>
      <c r="Q1" s="37" t="s">
        <v>22</v>
      </c>
      <c r="R1" s="37" t="s">
        <v>22</v>
      </c>
      <c r="S1" s="37" t="s">
        <v>22</v>
      </c>
    </row>
    <row r="2" spans="1:19">
      <c r="A2" s="81"/>
      <c r="B2" s="81"/>
      <c r="C2" s="81"/>
      <c r="D2" s="81"/>
      <c r="E2" s="40" t="s">
        <v>19</v>
      </c>
      <c r="F2" s="40" t="s">
        <v>68</v>
      </c>
      <c r="G2" s="40" t="s">
        <v>118</v>
      </c>
      <c r="H2" s="40" t="s">
        <v>70</v>
      </c>
      <c r="I2" s="40" t="s">
        <v>19</v>
      </c>
      <c r="J2" s="40" t="s">
        <v>68</v>
      </c>
      <c r="K2" s="40" t="s">
        <v>69</v>
      </c>
      <c r="L2" s="40" t="s">
        <v>70</v>
      </c>
      <c r="M2" s="40" t="s">
        <v>19</v>
      </c>
      <c r="N2" s="40" t="s">
        <v>68</v>
      </c>
      <c r="O2" s="40" t="s">
        <v>69</v>
      </c>
      <c r="P2" s="40" t="s">
        <v>71</v>
      </c>
      <c r="Q2" s="38" t="s">
        <v>70</v>
      </c>
      <c r="R2" s="38" t="s">
        <v>23</v>
      </c>
      <c r="S2" s="38" t="s">
        <v>72</v>
      </c>
    </row>
    <row r="3" spans="1:19" s="6" customFormat="1">
      <c r="A3" s="39" t="s">
        <v>6</v>
      </c>
      <c r="B3" s="31">
        <v>-10</v>
      </c>
      <c r="C3" s="31">
        <f>B3</f>
        <v>-10</v>
      </c>
      <c r="D3" s="13">
        <f>C3/60</f>
        <v>-0.16666666666666666</v>
      </c>
      <c r="Q3" s="82"/>
      <c r="R3" s="83"/>
      <c r="S3" s="84"/>
    </row>
    <row r="4" spans="1:19">
      <c r="A4" s="39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Q4" s="44" t="e">
        <f>AVERAGE('Flow cytometer'!P4,'Flow cytometer'!L4,'Flow cytometer'!H4)*Calculation!K4/Calculation!M3</f>
        <v>#DIV/0!</v>
      </c>
      <c r="R4" s="44" t="e">
        <f>STDEV('Flow cytometer'!P4,'Flow cytometer'!L4,'Flow cytometer'!H4)*Calculation!K4/Calculation!M3</f>
        <v>#DIV/0!</v>
      </c>
      <c r="S4" s="45" t="e">
        <f t="shared" ref="S4:S19" si="1">LOG(Q4)</f>
        <v>#DIV/0!</v>
      </c>
    </row>
    <row r="5" spans="1:19">
      <c r="A5" s="39">
        <v>1</v>
      </c>
      <c r="B5" s="31">
        <v>110</v>
      </c>
      <c r="C5" s="31">
        <f>C4+B5</f>
        <v>120</v>
      </c>
      <c r="D5" s="13">
        <f t="shared" si="0"/>
        <v>2</v>
      </c>
      <c r="Q5" s="44" t="e">
        <f>AVERAGE('Flow cytometer'!P5,'Flow cytometer'!L5,'Flow cytometer'!H5)*Calculation!K5/Calculation!M4</f>
        <v>#DIV/0!</v>
      </c>
      <c r="R5" s="44" t="e">
        <f>STDEV('Flow cytometer'!P5,'Flow cytometer'!L5,'Flow cytometer'!H5)*Calculation!K5/Calculation!M4</f>
        <v>#DIV/0!</v>
      </c>
      <c r="S5" s="45" t="e">
        <f t="shared" si="1"/>
        <v>#DIV/0!</v>
      </c>
    </row>
    <row r="6" spans="1:19">
      <c r="A6" s="39">
        <v>2</v>
      </c>
      <c r="B6" s="31">
        <v>80</v>
      </c>
      <c r="C6" s="31">
        <f>C5+B6</f>
        <v>200</v>
      </c>
      <c r="D6" s="13">
        <f t="shared" si="0"/>
        <v>3.3333333333333335</v>
      </c>
      <c r="Q6" s="44" t="e">
        <f>AVERAGE('Flow cytometer'!P6,'Flow cytometer'!L6,'Flow cytometer'!H6)*Calculation!K6/Calculation!M5</f>
        <v>#DIV/0!</v>
      </c>
      <c r="R6" s="44" t="e">
        <f>STDEV('Flow cytometer'!P6,'Flow cytometer'!L6,'Flow cytometer'!H6)*Calculation!K6/Calculation!M5</f>
        <v>#DIV/0!</v>
      </c>
      <c r="S6" s="45" t="e">
        <f t="shared" si="1"/>
        <v>#DIV/0!</v>
      </c>
    </row>
    <row r="7" spans="1:19">
      <c r="A7" s="39">
        <v>3</v>
      </c>
      <c r="B7" s="31">
        <v>80</v>
      </c>
      <c r="C7" s="31">
        <f>C6+B7</f>
        <v>280</v>
      </c>
      <c r="D7" s="13">
        <f t="shared" si="0"/>
        <v>4.666666666666667</v>
      </c>
      <c r="Q7" s="44" t="e">
        <f>AVERAGE('Flow cytometer'!P7,'Flow cytometer'!L7,'Flow cytometer'!H7)*Calculation!K7/Calculation!M6</f>
        <v>#DIV/0!</v>
      </c>
      <c r="R7" s="44" t="e">
        <f>STDEV('Flow cytometer'!P7,'Flow cytometer'!L7,'Flow cytometer'!H7)*Calculation!K7/Calculation!M6</f>
        <v>#DIV/0!</v>
      </c>
      <c r="S7" s="45" t="e">
        <f t="shared" si="1"/>
        <v>#DIV/0!</v>
      </c>
    </row>
    <row r="8" spans="1:19">
      <c r="A8" s="39">
        <v>4</v>
      </c>
      <c r="B8" s="31">
        <v>80</v>
      </c>
      <c r="C8" s="31">
        <f t="shared" ref="C8:C18" si="2">C7+B8</f>
        <v>360</v>
      </c>
      <c r="D8" s="13">
        <f t="shared" si="0"/>
        <v>6</v>
      </c>
      <c r="Q8" s="44" t="e">
        <f>AVERAGE('Flow cytometer'!P8,'Flow cytometer'!L8,'Flow cytometer'!H8)*Calculation!K8/Calculation!M7</f>
        <v>#DIV/0!</v>
      </c>
      <c r="R8" s="44" t="e">
        <f>STDEV('Flow cytometer'!P8,'Flow cytometer'!L8,'Flow cytometer'!H8)*Calculation!K8/Calculation!M7</f>
        <v>#DIV/0!</v>
      </c>
      <c r="S8" s="45" t="e">
        <f t="shared" si="1"/>
        <v>#DIV/0!</v>
      </c>
    </row>
    <row r="9" spans="1:19">
      <c r="A9" s="39">
        <v>5</v>
      </c>
      <c r="B9" s="31">
        <v>80</v>
      </c>
      <c r="C9" s="31">
        <f t="shared" si="2"/>
        <v>440</v>
      </c>
      <c r="D9" s="13">
        <f t="shared" si="0"/>
        <v>7.333333333333333</v>
      </c>
      <c r="Q9" s="44" t="e">
        <f>AVERAGE('Flow cytometer'!P9,'Flow cytometer'!L9,'Flow cytometer'!H9)*Calculation!K9/Calculation!M8</f>
        <v>#DIV/0!</v>
      </c>
      <c r="R9" s="44" t="e">
        <f>STDEV('Flow cytometer'!P9,'Flow cytometer'!L9,'Flow cytometer'!H9)*Calculation!K9/Calculation!M8</f>
        <v>#DIV/0!</v>
      </c>
      <c r="S9" s="45" t="e">
        <f t="shared" si="1"/>
        <v>#DIV/0!</v>
      </c>
    </row>
    <row r="10" spans="1:19">
      <c r="A10" s="39">
        <v>6</v>
      </c>
      <c r="B10" s="31">
        <v>80</v>
      </c>
      <c r="C10" s="31">
        <f t="shared" si="2"/>
        <v>520</v>
      </c>
      <c r="D10" s="13">
        <f t="shared" si="0"/>
        <v>8.6666666666666661</v>
      </c>
      <c r="Q10" s="44" t="e">
        <f>AVERAGE('Flow cytometer'!P10,'Flow cytometer'!L10,'Flow cytometer'!H10)*Calculation!K10/Calculation!M9</f>
        <v>#DIV/0!</v>
      </c>
      <c r="R10" s="44" t="e">
        <f>STDEV('Flow cytometer'!P10,'Flow cytometer'!L10,'Flow cytometer'!H10)*Calculation!K10/Calculation!M9</f>
        <v>#DIV/0!</v>
      </c>
      <c r="S10" s="45" t="e">
        <f t="shared" si="1"/>
        <v>#DIV/0!</v>
      </c>
    </row>
    <row r="11" spans="1:19">
      <c r="A11" s="39">
        <v>7</v>
      </c>
      <c r="B11" s="31">
        <v>80</v>
      </c>
      <c r="C11" s="31">
        <f t="shared" si="2"/>
        <v>600</v>
      </c>
      <c r="D11" s="13">
        <f t="shared" si="0"/>
        <v>10</v>
      </c>
      <c r="Q11" s="44" t="e">
        <f>AVERAGE('Flow cytometer'!P11,'Flow cytometer'!L11,'Flow cytometer'!H11)*Calculation!K11/Calculation!M10</f>
        <v>#DIV/0!</v>
      </c>
      <c r="R11" s="44" t="e">
        <f>STDEV('Flow cytometer'!P11,'Flow cytometer'!L11,'Flow cytometer'!H11)*Calculation!K11/Calculation!M10</f>
        <v>#DIV/0!</v>
      </c>
      <c r="S11" s="45" t="e">
        <f t="shared" si="1"/>
        <v>#DIV/0!</v>
      </c>
    </row>
    <row r="12" spans="1:19">
      <c r="A12" s="39">
        <v>8</v>
      </c>
      <c r="B12" s="31">
        <v>80</v>
      </c>
      <c r="C12" s="31">
        <f t="shared" si="2"/>
        <v>680</v>
      </c>
      <c r="D12" s="13">
        <f t="shared" si="0"/>
        <v>11.333333333333334</v>
      </c>
      <c r="Q12" s="44" t="e">
        <f>AVERAGE('Flow cytometer'!P12,'Flow cytometer'!L12,'Flow cytometer'!H12)*Calculation!K12/Calculation!M11</f>
        <v>#DIV/0!</v>
      </c>
      <c r="R12" s="44" t="e">
        <f>STDEV('Flow cytometer'!P12,'Flow cytometer'!L12,'Flow cytometer'!H12)*Calculation!K12/Calculation!M11</f>
        <v>#DIV/0!</v>
      </c>
      <c r="S12" s="45" t="e">
        <f t="shared" si="1"/>
        <v>#DIV/0!</v>
      </c>
    </row>
    <row r="13" spans="1:19">
      <c r="A13" s="39">
        <v>9</v>
      </c>
      <c r="B13" s="31">
        <v>80</v>
      </c>
      <c r="C13" s="31">
        <f t="shared" si="2"/>
        <v>760</v>
      </c>
      <c r="D13" s="13">
        <f t="shared" si="0"/>
        <v>12.666666666666666</v>
      </c>
      <c r="Q13" s="44" t="e">
        <f>AVERAGE('Flow cytometer'!P13,'Flow cytometer'!L13,'Flow cytometer'!H13)*Calculation!K13/Calculation!M12</f>
        <v>#DIV/0!</v>
      </c>
      <c r="R13" s="44" t="e">
        <f>STDEV('Flow cytometer'!P13,'Flow cytometer'!L13,'Flow cytometer'!H13)*Calculation!K13/Calculation!M12</f>
        <v>#DIV/0!</v>
      </c>
      <c r="S13" s="45" t="e">
        <f t="shared" si="1"/>
        <v>#DIV/0!</v>
      </c>
    </row>
    <row r="14" spans="1:19">
      <c r="A14" s="39">
        <v>10</v>
      </c>
      <c r="B14" s="31">
        <v>80</v>
      </c>
      <c r="C14" s="31">
        <f t="shared" si="2"/>
        <v>840</v>
      </c>
      <c r="D14" s="13">
        <f t="shared" si="0"/>
        <v>14</v>
      </c>
      <c r="Q14" s="44" t="e">
        <f>AVERAGE('Flow cytometer'!P14,'Flow cytometer'!L14,'Flow cytometer'!H14)*Calculation!K14/Calculation!M13</f>
        <v>#DIV/0!</v>
      </c>
      <c r="R14" s="44" t="e">
        <f>STDEV('Flow cytometer'!P14,'Flow cytometer'!L14,'Flow cytometer'!H14)*Calculation!K14/Calculation!M13</f>
        <v>#DIV/0!</v>
      </c>
      <c r="S14" s="45" t="e">
        <f t="shared" si="1"/>
        <v>#DIV/0!</v>
      </c>
    </row>
    <row r="15" spans="1:19">
      <c r="A15" s="39">
        <v>11</v>
      </c>
      <c r="B15" s="31">
        <v>80</v>
      </c>
      <c r="C15" s="31">
        <f t="shared" si="2"/>
        <v>920</v>
      </c>
      <c r="D15" s="13">
        <f t="shared" si="0"/>
        <v>15.333333333333334</v>
      </c>
      <c r="Q15" s="44" t="e">
        <f>AVERAGE('Flow cytometer'!P15,'Flow cytometer'!L15,'Flow cytometer'!H15)*Calculation!K15/Calculation!M14</f>
        <v>#DIV/0!</v>
      </c>
      <c r="R15" s="44" t="e">
        <f>STDEV('Flow cytometer'!P15,'Flow cytometer'!L15,'Flow cytometer'!H15)*Calculation!K15/Calculation!M14</f>
        <v>#DIV/0!</v>
      </c>
      <c r="S15" s="45" t="e">
        <f t="shared" si="1"/>
        <v>#DIV/0!</v>
      </c>
    </row>
    <row r="16" spans="1:19">
      <c r="A16" s="39">
        <v>12</v>
      </c>
      <c r="B16" s="31">
        <v>80</v>
      </c>
      <c r="C16" s="31">
        <f t="shared" si="2"/>
        <v>1000</v>
      </c>
      <c r="D16" s="13">
        <f t="shared" si="0"/>
        <v>16.666666666666668</v>
      </c>
      <c r="Q16" s="44" t="e">
        <f>AVERAGE('Flow cytometer'!P16,'Flow cytometer'!L16,'Flow cytometer'!H16)*Calculation!K16/Calculation!M15</f>
        <v>#DIV/0!</v>
      </c>
      <c r="R16" s="44" t="e">
        <f>STDEV('Flow cytometer'!P16,'Flow cytometer'!L16,'Flow cytometer'!H16)*Calculation!K16/Calculation!M15</f>
        <v>#DIV/0!</v>
      </c>
      <c r="S16" s="45" t="e">
        <f t="shared" si="1"/>
        <v>#DIV/0!</v>
      </c>
    </row>
    <row r="17" spans="1:19">
      <c r="A17" s="39">
        <v>13</v>
      </c>
      <c r="B17" s="31">
        <v>80</v>
      </c>
      <c r="C17" s="31">
        <f t="shared" si="2"/>
        <v>1080</v>
      </c>
      <c r="D17" s="13">
        <f t="shared" si="0"/>
        <v>18</v>
      </c>
      <c r="Q17" s="44" t="e">
        <f>AVERAGE('Flow cytometer'!P17,'Flow cytometer'!L17,'Flow cytometer'!H17)*Calculation!K17/Calculation!M16</f>
        <v>#DIV/0!</v>
      </c>
      <c r="R17" s="44" t="e">
        <f>STDEV('Flow cytometer'!P17,'Flow cytometer'!L17,'Flow cytometer'!H17)*Calculation!K17/Calculation!M16</f>
        <v>#DIV/0!</v>
      </c>
      <c r="S17" s="45" t="e">
        <f t="shared" si="1"/>
        <v>#DIV/0!</v>
      </c>
    </row>
    <row r="18" spans="1:19">
      <c r="A18" s="39">
        <v>14</v>
      </c>
      <c r="B18" s="31">
        <v>360</v>
      </c>
      <c r="C18" s="31">
        <f t="shared" si="2"/>
        <v>1440</v>
      </c>
      <c r="D18" s="13">
        <f t="shared" si="0"/>
        <v>24</v>
      </c>
      <c r="Q18" s="44" t="e">
        <f>AVERAGE('Flow cytometer'!P18,'Flow cytometer'!L18,'Flow cytometer'!H18)*Calculation!K18/Calculation!M17</f>
        <v>#DIV/0!</v>
      </c>
      <c r="R18" s="44" t="e">
        <f>STDEV('Flow cytometer'!P18,'Flow cytometer'!L18,'Flow cytometer'!H18)*Calculation!K18/Calculation!M17</f>
        <v>#DIV/0!</v>
      </c>
      <c r="S18" s="45" t="e">
        <f t="shared" si="1"/>
        <v>#DIV/0!</v>
      </c>
    </row>
    <row r="19" spans="1:19">
      <c r="A19" s="39">
        <v>15</v>
      </c>
      <c r="B19" s="31">
        <v>360</v>
      </c>
      <c r="C19" s="31">
        <f>C18+B19</f>
        <v>1800</v>
      </c>
      <c r="D19" s="13">
        <f t="shared" si="0"/>
        <v>30</v>
      </c>
      <c r="Q19" s="44" t="e">
        <f>AVERAGE('Flow cytometer'!P19,'Flow cytometer'!L19,'Flow cytometer'!H19)*Calculation!K19/Calculation!M18</f>
        <v>#DIV/0!</v>
      </c>
      <c r="R19" s="44" t="e">
        <f>STDEV('Flow cytometer'!P19,'Flow cytometer'!L19,'Flow cytometer'!H19)*Calculation!K19/Calculation!M18</f>
        <v>#DIV/0!</v>
      </c>
      <c r="S19" s="45" t="e">
        <f t="shared" si="1"/>
        <v>#DIV/0!</v>
      </c>
    </row>
    <row r="20" spans="1:19">
      <c r="A20" s="39">
        <v>16</v>
      </c>
      <c r="B20" s="31">
        <v>1080</v>
      </c>
      <c r="C20" s="31">
        <f>C19+B20</f>
        <v>2880</v>
      </c>
      <c r="D20" s="13">
        <f t="shared" si="0"/>
        <v>48</v>
      </c>
      <c r="Q20" s="44" t="e">
        <f>AVERAGE('Flow cytometer'!P20,'Flow cytometer'!L20,'Flow cytometer'!H20)*Calculation!K20/Calculation!M19</f>
        <v>#DIV/0!</v>
      </c>
      <c r="R20" s="44" t="e">
        <f>STDEV('Flow cytometer'!P20,'Flow cytometer'!L20,'Flow cytometer'!H20)*Calculation!K20/Calculation!M19</f>
        <v>#DIV/0!</v>
      </c>
      <c r="S20" s="45" t="e">
        <f t="shared" ref="S20" si="3">LOG(Q20)</f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0"/>
  <sheetViews>
    <sheetView topLeftCell="F1" workbookViewId="0">
      <selection activeCell="X5" sqref="X5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  <col min="21" max="23" width="14.83203125" customWidth="1"/>
    <col min="24" max="24" width="14.83203125" bestFit="1" customWidth="1"/>
  </cols>
  <sheetData>
    <row r="1" spans="1:24">
      <c r="A1" s="80" t="s">
        <v>4</v>
      </c>
      <c r="B1" s="80" t="s">
        <v>117</v>
      </c>
      <c r="C1" s="80" t="s">
        <v>117</v>
      </c>
      <c r="D1" s="80" t="s">
        <v>5</v>
      </c>
      <c r="E1" s="79" t="s">
        <v>119</v>
      </c>
      <c r="F1" s="79"/>
      <c r="G1" s="79"/>
      <c r="H1" s="79"/>
      <c r="I1" s="79" t="s">
        <v>120</v>
      </c>
      <c r="J1" s="79"/>
      <c r="K1" s="79"/>
      <c r="L1" s="79"/>
      <c r="M1" s="79" t="s">
        <v>121</v>
      </c>
      <c r="N1" s="79"/>
      <c r="O1" s="79"/>
      <c r="P1" s="79"/>
      <c r="Q1" s="24" t="s">
        <v>122</v>
      </c>
      <c r="R1" s="24" t="s">
        <v>122</v>
      </c>
      <c r="S1" s="24" t="s">
        <v>122</v>
      </c>
      <c r="T1" s="58" t="s">
        <v>122</v>
      </c>
      <c r="U1" s="67" t="s">
        <v>119</v>
      </c>
      <c r="V1" s="67" t="s">
        <v>120</v>
      </c>
      <c r="W1" s="67" t="s">
        <v>121</v>
      </c>
      <c r="X1" s="67" t="s">
        <v>122</v>
      </c>
    </row>
    <row r="2" spans="1:24">
      <c r="A2" s="81"/>
      <c r="B2" s="81"/>
      <c r="C2" s="81"/>
      <c r="D2" s="81"/>
      <c r="E2" s="23" t="s">
        <v>19</v>
      </c>
      <c r="F2" s="23" t="s">
        <v>68</v>
      </c>
      <c r="G2" s="23" t="s">
        <v>69</v>
      </c>
      <c r="H2" s="23" t="s">
        <v>70</v>
      </c>
      <c r="I2" s="23" t="s">
        <v>19</v>
      </c>
      <c r="J2" s="23" t="s">
        <v>68</v>
      </c>
      <c r="K2" s="23" t="s">
        <v>69</v>
      </c>
      <c r="L2" s="23" t="s">
        <v>70</v>
      </c>
      <c r="M2" s="23" t="s">
        <v>19</v>
      </c>
      <c r="N2" s="23" t="s">
        <v>68</v>
      </c>
      <c r="O2" s="23" t="s">
        <v>69</v>
      </c>
      <c r="P2" s="23" t="s">
        <v>71</v>
      </c>
      <c r="Q2" s="25" t="s">
        <v>70</v>
      </c>
      <c r="R2" s="25" t="s">
        <v>23</v>
      </c>
      <c r="S2" s="25" t="s">
        <v>72</v>
      </c>
      <c r="T2" s="59" t="s">
        <v>138</v>
      </c>
      <c r="U2" s="68" t="s">
        <v>147</v>
      </c>
      <c r="V2" s="68" t="s">
        <v>147</v>
      </c>
      <c r="W2" s="68" t="s">
        <v>147</v>
      </c>
      <c r="X2" s="68" t="s">
        <v>146</v>
      </c>
    </row>
    <row r="3" spans="1:24">
      <c r="A3" s="39" t="s">
        <v>6</v>
      </c>
      <c r="B3" s="31">
        <v>-10</v>
      </c>
      <c r="C3" s="31">
        <f>B3</f>
        <v>-10</v>
      </c>
      <c r="D3" s="13">
        <f>C3/60</f>
        <v>-0.16666666666666666</v>
      </c>
      <c r="E3" s="42" t="s">
        <v>101</v>
      </c>
      <c r="F3" s="42" t="s">
        <v>101</v>
      </c>
      <c r="G3" s="42" t="s">
        <v>101</v>
      </c>
      <c r="H3" s="43" t="s">
        <v>101</v>
      </c>
      <c r="I3" s="42" t="s">
        <v>101</v>
      </c>
      <c r="J3" s="42" t="s">
        <v>101</v>
      </c>
      <c r="K3" s="42" t="s">
        <v>101</v>
      </c>
      <c r="L3" s="43" t="s">
        <v>101</v>
      </c>
      <c r="M3" s="42" t="s">
        <v>101</v>
      </c>
      <c r="N3" s="42" t="s">
        <v>101</v>
      </c>
      <c r="O3" s="42" t="s">
        <v>101</v>
      </c>
      <c r="P3" s="43" t="s">
        <v>101</v>
      </c>
      <c r="Q3" s="86" t="s">
        <v>101</v>
      </c>
      <c r="R3" s="87"/>
      <c r="S3" s="88"/>
      <c r="T3" s="43" t="s">
        <v>101</v>
      </c>
      <c r="U3" s="43" t="s">
        <v>101</v>
      </c>
      <c r="V3" s="43" t="s">
        <v>101</v>
      </c>
      <c r="W3" s="43" t="s">
        <v>101</v>
      </c>
      <c r="X3" s="43" t="s">
        <v>101</v>
      </c>
    </row>
    <row r="4" spans="1:24">
      <c r="A4" s="39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31">
        <v>1</v>
      </c>
      <c r="F4" s="31">
        <v>28038</v>
      </c>
      <c r="G4" s="31">
        <v>7</v>
      </c>
      <c r="H4" s="43">
        <f>('Flow cytometer'!F4/'Flow cytometer'!G4)*POWER(10,'Flow cytometer'!E4+2)*10.2</f>
        <v>40855371.428571425</v>
      </c>
      <c r="I4" s="31">
        <v>1</v>
      </c>
      <c r="J4" s="31">
        <v>29396</v>
      </c>
      <c r="K4" s="31">
        <v>7</v>
      </c>
      <c r="L4" s="43">
        <f>('Flow cytometer'!J4/'Flow cytometer'!K4)*POWER(10,'Flow cytometer'!I4+2)*10.2</f>
        <v>42834171.428571433</v>
      </c>
      <c r="M4" s="31">
        <v>1</v>
      </c>
      <c r="N4" s="31">
        <v>31466</v>
      </c>
      <c r="O4" s="31">
        <v>7</v>
      </c>
      <c r="P4" s="43">
        <f>('Flow cytometer'!N4/'Flow cytometer'!O4)*POWER(10,'Flow cytometer'!M4+2)*10.2</f>
        <v>45850457.142857142</v>
      </c>
      <c r="Q4" s="46">
        <f>AVERAGE(H4,L4,P4)*Calculation!I4/Calculation!K3</f>
        <v>43208614.976805829</v>
      </c>
      <c r="R4" s="47">
        <f>STDEV(H4,L4,P4)*Calculation!I4/Calculation!K3</f>
        <v>2517102.9762423448</v>
      </c>
      <c r="S4" s="48">
        <f>LOG(Q4)</f>
        <v>7.6355703455157915</v>
      </c>
      <c r="T4" s="48">
        <f>LN(Q4)</f>
        <v>17.581550454092056</v>
      </c>
      <c r="U4" s="48">
        <f>LOG(H4)</f>
        <v>7.6112491631556178</v>
      </c>
      <c r="V4" s="48">
        <f>LOG(L4)</f>
        <v>7.6317903704552705</v>
      </c>
      <c r="W4" s="48">
        <f>LOG(P4)</f>
        <v>7.6613436700743183</v>
      </c>
      <c r="X4" s="48">
        <f xml:space="preserve"> STDEV(U4:W4)*Calculation!I4/Calculation!K3</f>
        <v>2.5198686532056837E-2</v>
      </c>
    </row>
    <row r="5" spans="1:24">
      <c r="A5" s="39">
        <v>1</v>
      </c>
      <c r="B5" s="31">
        <v>110</v>
      </c>
      <c r="C5" s="31">
        <f>C4+B5</f>
        <v>120</v>
      </c>
      <c r="D5" s="13">
        <f t="shared" si="0"/>
        <v>2</v>
      </c>
      <c r="E5" s="31">
        <v>2</v>
      </c>
      <c r="F5" s="31">
        <v>5231</v>
      </c>
      <c r="G5" s="31">
        <v>7</v>
      </c>
      <c r="H5" s="43">
        <f>('Flow cytometer'!F5/'Flow cytometer'!G5)*POWER(10,'Flow cytometer'!E5+2)*10.2</f>
        <v>76223142.857142866</v>
      </c>
      <c r="I5" s="31">
        <v>2</v>
      </c>
      <c r="J5" s="31">
        <v>6176</v>
      </c>
      <c r="K5" s="31">
        <v>7</v>
      </c>
      <c r="L5" s="43">
        <f>('Flow cytometer'!J5/'Flow cytometer'!K5)*POWER(10,'Flow cytometer'!I5+2)*10.2</f>
        <v>89993142.857142866</v>
      </c>
      <c r="M5" s="31">
        <v>2</v>
      </c>
      <c r="N5" s="31">
        <v>6043</v>
      </c>
      <c r="O5" s="31">
        <v>7</v>
      </c>
      <c r="P5" s="43">
        <f>('Flow cytometer'!N5/'Flow cytometer'!O5)*POWER(10,'Flow cytometer'!M5+2)*10.2</f>
        <v>88055142.857142866</v>
      </c>
      <c r="Q5" s="46">
        <f>AVERAGE(H5,L5,P5)*Calculation!I5/Calculation!K4</f>
        <v>84813310.61251539</v>
      </c>
      <c r="R5" s="47">
        <f>STDEV(H5,L5,P5)*Calculation!I5/Calculation!K4</f>
        <v>7458853.2408415386</v>
      </c>
      <c r="S5" s="48">
        <f t="shared" ref="S5:S19" si="1">LOG(Q5)</f>
        <v>7.9284640158407766</v>
      </c>
      <c r="T5" s="48">
        <f t="shared" ref="T5:T19" si="2">LN(Q5)</f>
        <v>18.255963053214678</v>
      </c>
      <c r="U5" s="48">
        <f t="shared" ref="U5:U20" si="3">LOG(H5)</f>
        <v>7.8820868517750968</v>
      </c>
      <c r="V5" s="48">
        <f t="shared" ref="V5:V20" si="4">LOG(L5)</f>
        <v>7.9542094190753403</v>
      </c>
      <c r="W5" s="48">
        <f t="shared" ref="W5:W20" si="5">LOG(P5)</f>
        <v>7.9447547259961171</v>
      </c>
      <c r="X5" s="48">
        <f xml:space="preserve"> STDEV(U5:W5)*Calculation!I5/Calculation!K4</f>
        <v>3.9222740485958175E-2</v>
      </c>
    </row>
    <row r="6" spans="1:24">
      <c r="A6" s="39">
        <v>2</v>
      </c>
      <c r="B6" s="31">
        <v>80</v>
      </c>
      <c r="C6" s="31">
        <f>C5+B6</f>
        <v>200</v>
      </c>
      <c r="D6" s="13">
        <f t="shared" si="0"/>
        <v>3.3333333333333335</v>
      </c>
      <c r="E6" s="31">
        <v>2</v>
      </c>
      <c r="F6" s="31">
        <v>7055</v>
      </c>
      <c r="G6" s="31">
        <v>7</v>
      </c>
      <c r="H6" s="43">
        <f>('Flow cytometer'!F6/'Flow cytometer'!G6)*POWER(10,'Flow cytometer'!E6+2)*10.2</f>
        <v>102801428.57142857</v>
      </c>
      <c r="I6" s="31">
        <v>2</v>
      </c>
      <c r="J6" s="31">
        <v>6273</v>
      </c>
      <c r="K6" s="31">
        <v>7</v>
      </c>
      <c r="L6" s="43">
        <f>('Flow cytometer'!J6/'Flow cytometer'!K6)*POWER(10,'Flow cytometer'!I6+2)*10.2</f>
        <v>91406571.428571418</v>
      </c>
      <c r="M6" s="31">
        <v>2</v>
      </c>
      <c r="N6" s="31">
        <v>7009</v>
      </c>
      <c r="O6" s="31">
        <v>7</v>
      </c>
      <c r="P6" s="43">
        <f>('Flow cytometer'!N6/'Flow cytometer'!O6)*POWER(10,'Flow cytometer'!M6+2)*10.2</f>
        <v>102131142.85714285</v>
      </c>
      <c r="Q6" s="46">
        <f>AVERAGE(H6,L6,P6)*Calculation!I6/Calculation!K5</f>
        <v>98845174.666287974</v>
      </c>
      <c r="R6" s="47">
        <f>STDEV(H6,L6,P6)*Calculation!I6/Calculation!K5</f>
        <v>6398355.511599876</v>
      </c>
      <c r="S6" s="48">
        <f t="shared" si="1"/>
        <v>7.9949554731746826</v>
      </c>
      <c r="T6" s="48">
        <f t="shared" si="2"/>
        <v>18.409065291683181</v>
      </c>
      <c r="U6" s="48">
        <f t="shared" si="3"/>
        <v>8.0119991498380276</v>
      </c>
      <c r="V6" s="48">
        <f t="shared" si="4"/>
        <v>7.9609774192849949</v>
      </c>
      <c r="W6" s="48">
        <f t="shared" si="5"/>
        <v>8.0091581917312045</v>
      </c>
      <c r="X6" s="48">
        <f xml:space="preserve"> STDEV(U6:W6)*Calculation!I6/Calculation!K5</f>
        <v>2.8691504855122545E-2</v>
      </c>
    </row>
    <row r="7" spans="1:24">
      <c r="A7" s="39">
        <v>3</v>
      </c>
      <c r="B7" s="31">
        <v>80</v>
      </c>
      <c r="C7" s="31">
        <f>C6+B7</f>
        <v>280</v>
      </c>
      <c r="D7" s="13">
        <f t="shared" si="0"/>
        <v>4.666666666666667</v>
      </c>
      <c r="E7" s="31">
        <v>2</v>
      </c>
      <c r="F7" s="31">
        <v>6753</v>
      </c>
      <c r="G7" s="31">
        <v>7</v>
      </c>
      <c r="H7" s="43">
        <f>('Flow cytometer'!F7/'Flow cytometer'!G7)*POWER(10,'Flow cytometer'!E7+2)*10.2</f>
        <v>98400857.142857134</v>
      </c>
      <c r="I7" s="31">
        <v>2</v>
      </c>
      <c r="J7" s="31">
        <v>6567</v>
      </c>
      <c r="K7" s="31">
        <v>7</v>
      </c>
      <c r="L7" s="43">
        <f>('Flow cytometer'!J7/'Flow cytometer'!K7)*POWER(10,'Flow cytometer'!I7+2)*10.2</f>
        <v>95690571.428571418</v>
      </c>
      <c r="M7" s="31">
        <v>2</v>
      </c>
      <c r="N7" s="31">
        <v>7268</v>
      </c>
      <c r="O7" s="31">
        <v>7</v>
      </c>
      <c r="P7" s="43">
        <f>('Flow cytometer'!N7/'Flow cytometer'!O7)*POWER(10,'Flow cytometer'!M7+2)*10.2</f>
        <v>105905142.85714284</v>
      </c>
      <c r="Q7" s="46">
        <f>AVERAGE(H7,L7,P7)*Calculation!I7/Calculation!K6</f>
        <v>100138648.67476152</v>
      </c>
      <c r="R7" s="47">
        <f>STDEV(H7,L7,P7)*Calculation!I7/Calculation!K6</f>
        <v>5298859.1258675018</v>
      </c>
      <c r="S7" s="48">
        <f t="shared" si="1"/>
        <v>8.0006017264971412</v>
      </c>
      <c r="T7" s="48">
        <f t="shared" si="2"/>
        <v>18.422066270414742</v>
      </c>
      <c r="U7" s="48">
        <f t="shared" si="3"/>
        <v>7.9929988814678428</v>
      </c>
      <c r="V7" s="48">
        <f t="shared" si="4"/>
        <v>7.9808691480352545</v>
      </c>
      <c r="W7" s="48">
        <f t="shared" si="5"/>
        <v>8.0249170503836567</v>
      </c>
      <c r="X7" s="48">
        <f xml:space="preserve"> STDEV(U7:W7)*Calculation!I7/Calculation!K6</f>
        <v>2.2784526875004062E-2</v>
      </c>
    </row>
    <row r="8" spans="1:24">
      <c r="A8" s="39">
        <v>4</v>
      </c>
      <c r="B8" s="31">
        <v>80</v>
      </c>
      <c r="C8" s="31">
        <f t="shared" ref="C8:C18" si="6">C7+B8</f>
        <v>360</v>
      </c>
      <c r="D8" s="13">
        <f t="shared" si="0"/>
        <v>6</v>
      </c>
      <c r="E8" s="31">
        <v>2</v>
      </c>
      <c r="F8" s="31">
        <v>6383</v>
      </c>
      <c r="G8" s="31">
        <v>7</v>
      </c>
      <c r="H8" s="43">
        <f>('Flow cytometer'!F8/'Flow cytometer'!G8)*POWER(10,'Flow cytometer'!E8+2)*10.2</f>
        <v>93009428.571428567</v>
      </c>
      <c r="I8" s="31">
        <v>2</v>
      </c>
      <c r="J8" s="31">
        <v>7815</v>
      </c>
      <c r="K8" s="31">
        <v>7</v>
      </c>
      <c r="L8" s="43">
        <f>('Flow cytometer'!J8/'Flow cytometer'!K8)*POWER(10,'Flow cytometer'!I8+2)*10.2</f>
        <v>113875714.28571427</v>
      </c>
      <c r="M8" s="31">
        <v>2</v>
      </c>
      <c r="N8" s="31">
        <v>6501</v>
      </c>
      <c r="O8" s="31">
        <v>7</v>
      </c>
      <c r="P8" s="43">
        <f>('Flow cytometer'!N8/'Flow cytometer'!O8)*POWER(10,'Flow cytometer'!M8+2)*10.2</f>
        <v>94728857.142857134</v>
      </c>
      <c r="Q8" s="46">
        <f>AVERAGE(H8,L8,P8)*Calculation!I8/Calculation!K7</f>
        <v>100678545.21657708</v>
      </c>
      <c r="R8" s="47">
        <f>STDEV(H8,L8,P8)*Calculation!I8/Calculation!K7</f>
        <v>11598940.931906592</v>
      </c>
      <c r="S8" s="48">
        <f t="shared" si="1"/>
        <v>8.0029369314593843</v>
      </c>
      <c r="T8" s="48">
        <f t="shared" si="2"/>
        <v>18.427443278549887</v>
      </c>
      <c r="U8" s="48">
        <f t="shared" si="3"/>
        <v>7.9685269761774657</v>
      </c>
      <c r="V8" s="48">
        <f t="shared" si="4"/>
        <v>8.0564311141028657</v>
      </c>
      <c r="W8" s="48">
        <f t="shared" si="5"/>
        <v>7.9764822977871415</v>
      </c>
      <c r="X8" s="48">
        <f xml:space="preserve"> STDEV(U8:W8)*Calculation!I8/Calculation!K7</f>
        <v>4.8685927364290491E-2</v>
      </c>
    </row>
    <row r="9" spans="1:24">
      <c r="A9" s="39">
        <v>5</v>
      </c>
      <c r="B9" s="31">
        <v>80</v>
      </c>
      <c r="C9" s="31">
        <f t="shared" si="6"/>
        <v>440</v>
      </c>
      <c r="D9" s="13">
        <f t="shared" si="0"/>
        <v>7.333333333333333</v>
      </c>
      <c r="E9" s="31">
        <v>2</v>
      </c>
      <c r="F9" s="31">
        <v>11731</v>
      </c>
      <c r="G9" s="31">
        <v>7</v>
      </c>
      <c r="H9" s="43">
        <f>('Flow cytometer'!F9/'Flow cytometer'!G9)*POWER(10,'Flow cytometer'!E9+2)*10.2</f>
        <v>170937428.57142857</v>
      </c>
      <c r="I9" s="31">
        <v>2</v>
      </c>
      <c r="J9" s="31">
        <v>12887</v>
      </c>
      <c r="K9" s="31">
        <v>7</v>
      </c>
      <c r="L9" s="43">
        <f>('Flow cytometer'!J9/'Flow cytometer'!K9)*POWER(10,'Flow cytometer'!I9+2)*10.2</f>
        <v>187782000</v>
      </c>
      <c r="M9" s="31">
        <v>2</v>
      </c>
      <c r="N9" s="31">
        <v>12598</v>
      </c>
      <c r="O9" s="31">
        <v>7</v>
      </c>
      <c r="P9" s="43">
        <f>('Flow cytometer'!N9/'Flow cytometer'!O9)*POWER(10,'Flow cytometer'!M9+2)*10.2</f>
        <v>183570857.14285713</v>
      </c>
      <c r="Q9" s="46">
        <f>AVERAGE(H9,L9,P9)*Calculation!I9/Calculation!K8</f>
        <v>181159901.12459788</v>
      </c>
      <c r="R9" s="47">
        <f>STDEV(H9,L9,P9)*Calculation!I9/Calculation!K8</f>
        <v>8785419.9955638684</v>
      </c>
      <c r="S9" s="48">
        <f t="shared" si="1"/>
        <v>8.2580620749770635</v>
      </c>
      <c r="T9" s="48">
        <f t="shared" si="2"/>
        <v>19.014890630861665</v>
      </c>
      <c r="U9" s="48">
        <f t="shared" si="3"/>
        <v>8.2328371665375997</v>
      </c>
      <c r="V9" s="48">
        <f t="shared" si="4"/>
        <v>8.273653960265932</v>
      </c>
      <c r="W9" s="48">
        <f t="shared" si="5"/>
        <v>8.2638037357615151</v>
      </c>
      <c r="X9" s="48">
        <f xml:space="preserve"> STDEV(U9:W9)*Calculation!I9/Calculation!K8</f>
        <v>2.1346035452483682E-2</v>
      </c>
    </row>
    <row r="10" spans="1:24">
      <c r="A10" s="39">
        <v>6</v>
      </c>
      <c r="B10" s="31">
        <v>80</v>
      </c>
      <c r="C10" s="31">
        <f t="shared" si="6"/>
        <v>520</v>
      </c>
      <c r="D10" s="13">
        <f t="shared" si="0"/>
        <v>8.6666666666666661</v>
      </c>
      <c r="E10" s="31">
        <v>2</v>
      </c>
      <c r="F10" s="31">
        <v>19074</v>
      </c>
      <c r="G10" s="31">
        <v>7</v>
      </c>
      <c r="H10" s="43">
        <f>('Flow cytometer'!F10/'Flow cytometer'!G10)*POWER(10,'Flow cytometer'!E10+2)*10.2</f>
        <v>277935428.57142854</v>
      </c>
      <c r="I10" s="31">
        <v>2</v>
      </c>
      <c r="J10" s="31">
        <v>19352</v>
      </c>
      <c r="K10" s="31">
        <v>7</v>
      </c>
      <c r="L10" s="43">
        <f>('Flow cytometer'!J10/'Flow cytometer'!K10)*POWER(10,'Flow cytometer'!I10+2)*10.2</f>
        <v>281986285.71428567</v>
      </c>
      <c r="M10" s="31">
        <v>2</v>
      </c>
      <c r="N10" s="31">
        <v>17668</v>
      </c>
      <c r="O10" s="31">
        <v>7</v>
      </c>
      <c r="P10" s="43">
        <f>('Flow cytometer'!N10/'Flow cytometer'!O10)*POWER(10,'Flow cytometer'!M10+2)*10.2</f>
        <v>257447999.99999997</v>
      </c>
      <c r="Q10" s="46">
        <f>AVERAGE(H10,L10,P10)*Calculation!I10/Calculation!K9</f>
        <v>273505859.13692117</v>
      </c>
      <c r="R10" s="47">
        <f>STDEV(H10,L10,P10)*Calculation!I10/Calculation!K9</f>
        <v>13205328.749883566</v>
      </c>
      <c r="S10" s="48">
        <f t="shared" si="1"/>
        <v>8.436966634375402</v>
      </c>
      <c r="T10" s="48">
        <f t="shared" si="2"/>
        <v>19.426833602400944</v>
      </c>
      <c r="U10" s="48">
        <f t="shared" si="3"/>
        <v>8.4439439100460767</v>
      </c>
      <c r="V10" s="48">
        <f t="shared" si="4"/>
        <v>8.4502279871014832</v>
      </c>
      <c r="W10" s="48">
        <f t="shared" si="5"/>
        <v>8.4106895223340139</v>
      </c>
      <c r="X10" s="48">
        <f xml:space="preserve"> STDEV(U10:W10)*Calculation!I10/Calculation!K9</f>
        <v>2.132892144104015E-2</v>
      </c>
    </row>
    <row r="11" spans="1:24">
      <c r="A11" s="39">
        <v>7</v>
      </c>
      <c r="B11" s="31">
        <v>80</v>
      </c>
      <c r="C11" s="31">
        <f t="shared" si="6"/>
        <v>600</v>
      </c>
      <c r="D11" s="13">
        <f t="shared" si="0"/>
        <v>10</v>
      </c>
      <c r="E11" s="31">
        <v>3</v>
      </c>
      <c r="F11" s="31">
        <v>3064</v>
      </c>
      <c r="G11" s="31">
        <v>7</v>
      </c>
      <c r="H11" s="43">
        <f>('Flow cytometer'!F11/'Flow cytometer'!G11)*POWER(10,'Flow cytometer'!E11+2)*10.2</f>
        <v>446468571.4285714</v>
      </c>
      <c r="I11" s="31">
        <v>3</v>
      </c>
      <c r="J11" s="31">
        <v>3175</v>
      </c>
      <c r="K11" s="31">
        <v>7</v>
      </c>
      <c r="L11" s="43">
        <f>('Flow cytometer'!J11/'Flow cytometer'!K11)*POWER(10,'Flow cytometer'!I11+2)*10.2</f>
        <v>462642857.14285713</v>
      </c>
      <c r="M11" s="31">
        <v>3</v>
      </c>
      <c r="N11" s="31">
        <v>3199</v>
      </c>
      <c r="O11" s="31">
        <v>7</v>
      </c>
      <c r="P11" s="43">
        <f>('Flow cytometer'!N11/'Flow cytometer'!O11)*POWER(10,'Flow cytometer'!M11+2)*10.2</f>
        <v>466139999.99999994</v>
      </c>
      <c r="Q11" s="46">
        <f>AVERAGE(H11,L11,P11)*Calculation!I11/Calculation!K10</f>
        <v>462162735.62527603</v>
      </c>
      <c r="R11" s="47">
        <f>STDEV(H11,L11,P11)*Calculation!I11/Calculation!K10</f>
        <v>10580211.049825814</v>
      </c>
      <c r="S11" s="48">
        <f t="shared" si="1"/>
        <v>8.6647949252089784</v>
      </c>
      <c r="T11" s="48">
        <f t="shared" si="2"/>
        <v>19.951427628636651</v>
      </c>
      <c r="U11" s="48">
        <f t="shared" si="3"/>
        <v>8.6497908927082268</v>
      </c>
      <c r="V11" s="48">
        <f t="shared" si="4"/>
        <v>8.6652458613756558</v>
      </c>
      <c r="W11" s="48">
        <f t="shared" si="5"/>
        <v>8.6685163718317675</v>
      </c>
      <c r="X11" s="48">
        <f xml:space="preserve"> STDEV(U11:W11)*Calculation!I11/Calculation!K10</f>
        <v>1.0083352481579636E-2</v>
      </c>
    </row>
    <row r="12" spans="1:24">
      <c r="A12" s="39">
        <v>8</v>
      </c>
      <c r="B12" s="31">
        <v>80</v>
      </c>
      <c r="C12" s="31">
        <f t="shared" si="6"/>
        <v>680</v>
      </c>
      <c r="D12" s="13">
        <f t="shared" si="0"/>
        <v>11.333333333333334</v>
      </c>
      <c r="E12" s="31">
        <v>3</v>
      </c>
      <c r="F12" s="31">
        <v>4970</v>
      </c>
      <c r="G12" s="31">
        <v>7</v>
      </c>
      <c r="H12" s="43">
        <f>('Flow cytometer'!F12/'Flow cytometer'!G12)*POWER(10,'Flow cytometer'!E12+2)*10.2</f>
        <v>724200000</v>
      </c>
      <c r="I12" s="31">
        <v>3</v>
      </c>
      <c r="J12" s="31">
        <v>4640</v>
      </c>
      <c r="K12" s="31">
        <v>7</v>
      </c>
      <c r="L12" s="43">
        <f>('Flow cytometer'!J12/'Flow cytometer'!K12)*POWER(10,'Flow cytometer'!I12+2)*10.2</f>
        <v>676114285.71428573</v>
      </c>
      <c r="M12" s="31">
        <v>3</v>
      </c>
      <c r="N12" s="31">
        <v>4675</v>
      </c>
      <c r="O12" s="31">
        <v>7</v>
      </c>
      <c r="P12" s="43">
        <f>('Flow cytometer'!N12/'Flow cytometer'!O12)*POWER(10,'Flow cytometer'!M12+2)*10.2</f>
        <v>681214285.71428573</v>
      </c>
      <c r="Q12" s="46">
        <f>AVERAGE(H12,L12,P12)*Calculation!I12/Calculation!K11</f>
        <v>703289787.57195771</v>
      </c>
      <c r="R12" s="47">
        <f>STDEV(H12,L12,P12)*Calculation!I12/Calculation!K11</f>
        <v>26773064.644128613</v>
      </c>
      <c r="S12" s="48">
        <f t="shared" si="1"/>
        <v>8.8471343110955516</v>
      </c>
      <c r="T12" s="48">
        <f t="shared" si="2"/>
        <v>20.371279580444764</v>
      </c>
      <c r="U12" s="48">
        <f t="shared" si="3"/>
        <v>8.8598585204809925</v>
      </c>
      <c r="V12" s="48">
        <f t="shared" si="4"/>
        <v>8.8300201123025417</v>
      </c>
      <c r="W12" s="48">
        <f t="shared" si="5"/>
        <v>8.833283746956198</v>
      </c>
      <c r="X12" s="48">
        <f xml:space="preserve"> STDEV(U12:W12)*Calculation!I12/Calculation!K11</f>
        <v>1.6589473147235915E-2</v>
      </c>
    </row>
    <row r="13" spans="1:24">
      <c r="A13" s="39">
        <v>9</v>
      </c>
      <c r="B13" s="31">
        <v>80</v>
      </c>
      <c r="C13" s="31">
        <f t="shared" si="6"/>
        <v>760</v>
      </c>
      <c r="D13" s="13">
        <f t="shared" si="0"/>
        <v>12.666666666666666</v>
      </c>
      <c r="E13" s="31">
        <v>3</v>
      </c>
      <c r="F13" s="31">
        <v>6336</v>
      </c>
      <c r="G13" s="31">
        <v>7</v>
      </c>
      <c r="H13" s="43">
        <f>('Flow cytometer'!F13/'Flow cytometer'!G13)*POWER(10,'Flow cytometer'!E13+2)*10.2</f>
        <v>923245714.28571427</v>
      </c>
      <c r="I13" s="31">
        <v>3</v>
      </c>
      <c r="J13" s="31">
        <v>6014</v>
      </c>
      <c r="K13" s="31">
        <v>7</v>
      </c>
      <c r="L13" s="43">
        <f>('Flow cytometer'!J13/'Flow cytometer'!K13)*POWER(10,'Flow cytometer'!I13+2)*10.2</f>
        <v>876325714.28571427</v>
      </c>
      <c r="M13" s="31">
        <v>3</v>
      </c>
      <c r="N13" s="31">
        <v>6606</v>
      </c>
      <c r="O13" s="31">
        <v>7</v>
      </c>
      <c r="P13" s="43">
        <f>('Flow cytometer'!N13/'Flow cytometer'!O13)*POWER(10,'Flow cytometer'!M13+2)*10.2</f>
        <v>962588571.42857134</v>
      </c>
      <c r="Q13" s="46">
        <f>AVERAGE(H13,L13,P13)*Calculation!I13/Calculation!K12</f>
        <v>939384270.08077013</v>
      </c>
      <c r="R13" s="47">
        <f>STDEV(H13,L13,P13)*Calculation!I13/Calculation!K12</f>
        <v>44062313.690352038</v>
      </c>
      <c r="S13" s="48">
        <f t="shared" si="1"/>
        <v>8.9728432836795502</v>
      </c>
      <c r="T13" s="48">
        <f t="shared" si="2"/>
        <v>20.660735186772278</v>
      </c>
      <c r="U13" s="48">
        <f t="shared" si="3"/>
        <v>8.9653173003290973</v>
      </c>
      <c r="V13" s="48">
        <f t="shared" si="4"/>
        <v>8.9426655555121588</v>
      </c>
      <c r="W13" s="48">
        <f t="shared" si="5"/>
        <v>8.9834407011030564</v>
      </c>
      <c r="X13" s="48">
        <f xml:space="preserve"> STDEV(U13:W13)*Calculation!I13/Calculation!K12</f>
        <v>2.0843571325265934E-2</v>
      </c>
    </row>
    <row r="14" spans="1:24">
      <c r="A14" s="39">
        <v>10</v>
      </c>
      <c r="B14" s="31">
        <v>80</v>
      </c>
      <c r="C14" s="31">
        <f t="shared" si="6"/>
        <v>840</v>
      </c>
      <c r="D14" s="13">
        <f t="shared" si="0"/>
        <v>14</v>
      </c>
      <c r="E14" s="31">
        <v>3</v>
      </c>
      <c r="F14" s="31">
        <v>6398</v>
      </c>
      <c r="G14" s="31">
        <v>7</v>
      </c>
      <c r="H14" s="43">
        <f>('Flow cytometer'!F14/'Flow cytometer'!G14)*POWER(10,'Flow cytometer'!E14+2)*10.2</f>
        <v>932279999.99999988</v>
      </c>
      <c r="I14" s="31">
        <v>3</v>
      </c>
      <c r="J14" s="31">
        <v>6549</v>
      </c>
      <c r="K14" s="31">
        <v>7</v>
      </c>
      <c r="L14" s="43">
        <f>('Flow cytometer'!J14/'Flow cytometer'!K14)*POWER(10,'Flow cytometer'!I14+2)*10.2</f>
        <v>954282857.14285696</v>
      </c>
      <c r="M14" s="31">
        <v>3</v>
      </c>
      <c r="N14" s="31">
        <v>6430</v>
      </c>
      <c r="O14" s="31">
        <v>7</v>
      </c>
      <c r="P14" s="43">
        <f>('Flow cytometer'!N14/'Flow cytometer'!O14)*POWER(10,'Flow cytometer'!M14+2)*10.2</f>
        <v>936942857.14285696</v>
      </c>
      <c r="Q14" s="46">
        <f>AVERAGE(H14,L14,P14)*Calculation!I14/Calculation!K13</f>
        <v>963983733.44407046</v>
      </c>
      <c r="R14" s="47">
        <f>STDEV(H14,L14,P14)*Calculation!I14/Calculation!K13</f>
        <v>11875190.295625569</v>
      </c>
      <c r="S14" s="48">
        <f t="shared" si="1"/>
        <v>8.9840697055469345</v>
      </c>
      <c r="T14" s="48">
        <f t="shared" si="2"/>
        <v>20.686584978411776</v>
      </c>
      <c r="U14" s="48">
        <f t="shared" si="3"/>
        <v>8.9695463674957487</v>
      </c>
      <c r="V14" s="48">
        <f t="shared" si="4"/>
        <v>8.9796771221764615</v>
      </c>
      <c r="W14" s="48">
        <f t="shared" si="5"/>
        <v>8.971713104671883</v>
      </c>
      <c r="X14" s="48">
        <f xml:space="preserve"> STDEV(U14:W14)*Calculation!I14/Calculation!K13</f>
        <v>5.4639940640756066E-3</v>
      </c>
    </row>
    <row r="15" spans="1:24">
      <c r="A15" s="39">
        <v>11</v>
      </c>
      <c r="B15" s="31">
        <v>80</v>
      </c>
      <c r="C15" s="31">
        <f t="shared" si="6"/>
        <v>920</v>
      </c>
      <c r="D15" s="13">
        <f t="shared" si="0"/>
        <v>15.333333333333334</v>
      </c>
      <c r="E15" s="31">
        <v>3</v>
      </c>
      <c r="F15" s="31">
        <v>6593</v>
      </c>
      <c r="G15" s="31">
        <v>7</v>
      </c>
      <c r="H15" s="43">
        <f>('Flow cytometer'!F15/'Flow cytometer'!G15)*POWER(10,'Flow cytometer'!E15+2)*10.2</f>
        <v>960694285.71428561</v>
      </c>
      <c r="I15" s="31">
        <v>3</v>
      </c>
      <c r="J15" s="31">
        <v>6505</v>
      </c>
      <c r="K15" s="31">
        <v>7</v>
      </c>
      <c r="L15" s="43">
        <f>('Flow cytometer'!J15/'Flow cytometer'!K15)*POWER(10,'Flow cytometer'!I15+2)*10.2</f>
        <v>947871428.57142854</v>
      </c>
      <c r="M15" s="31">
        <v>3</v>
      </c>
      <c r="N15" s="31">
        <v>6737</v>
      </c>
      <c r="O15" s="31">
        <v>7</v>
      </c>
      <c r="P15" s="43">
        <f>('Flow cytometer'!N15/'Flow cytometer'!O15)*POWER(10,'Flow cytometer'!M15+2)*10.2</f>
        <v>981677142.85714281</v>
      </c>
      <c r="Q15" s="46">
        <f>AVERAGE(H15,L15,P15)*Calculation!I15/Calculation!K14</f>
        <v>989768010.05498111</v>
      </c>
      <c r="R15" s="47">
        <f>STDEV(H15,L15,P15)*Calculation!I15/Calculation!K14</f>
        <v>17533043.448349431</v>
      </c>
      <c r="S15" s="48">
        <f t="shared" si="1"/>
        <v>8.9955334130222049</v>
      </c>
      <c r="T15" s="48">
        <f t="shared" si="2"/>
        <v>20.712981140354781</v>
      </c>
      <c r="U15" s="48">
        <f t="shared" si="3"/>
        <v>8.982585207491363</v>
      </c>
      <c r="V15" s="48">
        <f t="shared" si="4"/>
        <v>8.9767494326452653</v>
      </c>
      <c r="W15" s="48">
        <f t="shared" si="5"/>
        <v>8.9919686791003386</v>
      </c>
      <c r="X15" s="48">
        <f xml:space="preserve"> STDEV(U15:W15)*Calculation!I15/Calculation!K14</f>
        <v>7.8882639246538478E-3</v>
      </c>
    </row>
    <row r="16" spans="1:24">
      <c r="A16" s="39">
        <v>12</v>
      </c>
      <c r="B16" s="31">
        <v>80</v>
      </c>
      <c r="C16" s="31">
        <f t="shared" si="6"/>
        <v>1000</v>
      </c>
      <c r="D16" s="13">
        <f t="shared" si="0"/>
        <v>16.666666666666668</v>
      </c>
      <c r="E16" s="31">
        <v>3</v>
      </c>
      <c r="F16" s="31">
        <v>6277</v>
      </c>
      <c r="G16" s="31">
        <v>7</v>
      </c>
      <c r="H16" s="43">
        <f>('Flow cytometer'!F16/'Flow cytometer'!G16)*POWER(10,'Flow cytometer'!E16+2)*10.2</f>
        <v>914648571.42857134</v>
      </c>
      <c r="I16" s="31">
        <v>3</v>
      </c>
      <c r="J16" s="31">
        <v>5838</v>
      </c>
      <c r="K16" s="31">
        <v>7</v>
      </c>
      <c r="L16" s="43">
        <f>('Flow cytometer'!J16/'Flow cytometer'!K16)*POWER(10,'Flow cytometer'!I16+2)*10.2</f>
        <v>850680000</v>
      </c>
      <c r="M16" s="31">
        <v>3</v>
      </c>
      <c r="N16" s="31">
        <v>5400</v>
      </c>
      <c r="O16" s="31">
        <v>7</v>
      </c>
      <c r="P16" s="43">
        <f>('Flow cytometer'!N16/'Flow cytometer'!O16)*POWER(10,'Flow cytometer'!M16+2)*10.2</f>
        <v>786857142.85714293</v>
      </c>
      <c r="Q16" s="46">
        <f>AVERAGE(H16,L16,P16)*Calculation!I16/Calculation!K15</f>
        <v>874931602.9766953</v>
      </c>
      <c r="R16" s="47">
        <f>STDEV(H16,L16,P16)*Calculation!I16/Calculation!K15</f>
        <v>65713546.852765717</v>
      </c>
      <c r="S16" s="48">
        <f t="shared" si="1"/>
        <v>8.9419741037527931</v>
      </c>
      <c r="T16" s="48">
        <f t="shared" si="2"/>
        <v>20.589656273239974</v>
      </c>
      <c r="U16" s="48">
        <f t="shared" si="3"/>
        <v>8.9612542603983716</v>
      </c>
      <c r="V16" s="48">
        <f t="shared" si="4"/>
        <v>8.9297662223996568</v>
      </c>
      <c r="W16" s="48">
        <f t="shared" si="5"/>
        <v>8.8958958915706301</v>
      </c>
      <c r="X16" s="48">
        <f xml:space="preserve"> STDEV(U16:W16)*Calculation!I16/Calculation!K15</f>
        <v>3.3616340867352913E-2</v>
      </c>
    </row>
    <row r="17" spans="1:24">
      <c r="A17" s="39">
        <v>13</v>
      </c>
      <c r="B17" s="31">
        <v>80</v>
      </c>
      <c r="C17" s="31">
        <f t="shared" si="6"/>
        <v>1080</v>
      </c>
      <c r="D17" s="13">
        <f t="shared" si="0"/>
        <v>18</v>
      </c>
      <c r="E17" s="31">
        <v>3</v>
      </c>
      <c r="F17" s="31">
        <v>6873</v>
      </c>
      <c r="G17" s="31">
        <v>7</v>
      </c>
      <c r="H17" s="43">
        <f>('Flow cytometer'!F17/'Flow cytometer'!G17)*POWER(10,'Flow cytometer'!E17+2)*10.2</f>
        <v>1001494285.7142856</v>
      </c>
      <c r="I17" s="31">
        <v>3</v>
      </c>
      <c r="J17" s="31">
        <v>6658</v>
      </c>
      <c r="K17" s="31">
        <v>7</v>
      </c>
      <c r="L17" s="43">
        <f>('Flow cytometer'!J17/'Flow cytometer'!K17)*POWER(10,'Flow cytometer'!I17+2)*10.2</f>
        <v>970165714.28571427</v>
      </c>
      <c r="M17" s="31">
        <v>3</v>
      </c>
      <c r="N17" s="31">
        <v>6972</v>
      </c>
      <c r="O17" s="31">
        <v>7</v>
      </c>
      <c r="P17" s="43">
        <f>('Flow cytometer'!N17/'Flow cytometer'!O17)*POWER(10,'Flow cytometer'!M17+2)*10.2</f>
        <v>1015919999.9999999</v>
      </c>
      <c r="Q17" s="46">
        <f>AVERAGE(H17,L17,P17)*Calculation!I17/Calculation!K16</f>
        <v>1024191987.2013237</v>
      </c>
      <c r="R17" s="47">
        <f>STDEV(H17,L17,P17)*Calculation!I17/Calculation!K16</f>
        <v>24057208.648931287</v>
      </c>
      <c r="S17" s="48">
        <f t="shared" si="1"/>
        <v>9.0103813737949388</v>
      </c>
      <c r="T17" s="48">
        <f t="shared" si="2"/>
        <v>20.747169833491434</v>
      </c>
      <c r="U17" s="48">
        <f t="shared" si="3"/>
        <v>9.0006484756567211</v>
      </c>
      <c r="V17" s="48">
        <f t="shared" si="4"/>
        <v>8.9868459225683086</v>
      </c>
      <c r="W17" s="48">
        <f t="shared" si="5"/>
        <v>9.0068595101856168</v>
      </c>
      <c r="X17" s="48">
        <f xml:space="preserve"> STDEV(U17:W17)*Calculation!I17/Calculation!K16</f>
        <v>1.0535388359851213E-2</v>
      </c>
    </row>
    <row r="18" spans="1:24">
      <c r="A18" s="39">
        <v>14</v>
      </c>
      <c r="B18" s="31">
        <v>360</v>
      </c>
      <c r="C18" s="31">
        <f t="shared" si="6"/>
        <v>1440</v>
      </c>
      <c r="D18" s="13">
        <f t="shared" si="0"/>
        <v>24</v>
      </c>
      <c r="E18" s="31">
        <v>3</v>
      </c>
      <c r="F18" s="31">
        <v>5707</v>
      </c>
      <c r="G18" s="31">
        <v>7</v>
      </c>
      <c r="H18" s="43">
        <f>('Flow cytometer'!F18/'Flow cytometer'!G18)*POWER(10,'Flow cytometer'!E18+2)*10.2</f>
        <v>831591428.57142854</v>
      </c>
      <c r="I18" s="31">
        <v>3</v>
      </c>
      <c r="J18" s="31">
        <v>5182</v>
      </c>
      <c r="K18" s="31">
        <v>7</v>
      </c>
      <c r="L18" s="43">
        <f>('Flow cytometer'!J18/'Flow cytometer'!K18)*POWER(10,'Flow cytometer'!I18+2)*10.2</f>
        <v>755091428.57142854</v>
      </c>
      <c r="M18" s="31">
        <v>3</v>
      </c>
      <c r="N18" s="31">
        <v>5272</v>
      </c>
      <c r="O18" s="31">
        <v>7</v>
      </c>
      <c r="P18" s="43">
        <f>('Flow cytometer'!N18/'Flow cytometer'!O18)*POWER(10,'Flow cytometer'!M18+2)*10.2</f>
        <v>768205714.28571427</v>
      </c>
      <c r="Q18" s="46">
        <f>AVERAGE(H18,L18,P18)*Calculation!I18/Calculation!K17</f>
        <v>807294869.29525387</v>
      </c>
      <c r="R18" s="47">
        <f>STDEV(H18,L18,P18)*Calculation!I18/Calculation!K17</f>
        <v>42074329.769184761</v>
      </c>
      <c r="S18" s="48">
        <f t="shared" si="1"/>
        <v>8.9070321923646993</v>
      </c>
      <c r="T18" s="48">
        <f t="shared" si="2"/>
        <v>20.509199548957032</v>
      </c>
      <c r="U18" s="48">
        <f t="shared" si="3"/>
        <v>8.9199100042966197</v>
      </c>
      <c r="V18" s="48">
        <f t="shared" si="4"/>
        <v>8.8779995403974663</v>
      </c>
      <c r="W18" s="48">
        <f t="shared" si="5"/>
        <v>8.8854775333336136</v>
      </c>
      <c r="X18" s="48">
        <f xml:space="preserve"> STDEV(U18:W18)*Calculation!I18/Calculation!K17</f>
        <v>2.2989178340234114E-2</v>
      </c>
    </row>
    <row r="19" spans="1:24">
      <c r="A19" s="39">
        <v>15</v>
      </c>
      <c r="B19" s="31">
        <v>360</v>
      </c>
      <c r="C19" s="31">
        <f>C18+B19</f>
        <v>1800</v>
      </c>
      <c r="D19" s="13">
        <f t="shared" si="0"/>
        <v>30</v>
      </c>
      <c r="E19" s="31">
        <v>3</v>
      </c>
      <c r="F19" s="31">
        <v>4256</v>
      </c>
      <c r="G19" s="31">
        <v>7</v>
      </c>
      <c r="H19" s="43">
        <f>('Flow cytometer'!F19/'Flow cytometer'!G19)*POWER(10,'Flow cytometer'!E19+2)*10.2</f>
        <v>620160000</v>
      </c>
      <c r="I19" s="31">
        <v>3</v>
      </c>
      <c r="J19" s="31">
        <v>5281</v>
      </c>
      <c r="K19" s="31">
        <v>7</v>
      </c>
      <c r="L19" s="43">
        <f>('Flow cytometer'!J19/'Flow cytometer'!K19)*POWER(10,'Flow cytometer'!I19+2)*10.2</f>
        <v>769517142.85714293</v>
      </c>
      <c r="M19" s="31">
        <v>3</v>
      </c>
      <c r="N19" s="31">
        <v>5448</v>
      </c>
      <c r="O19" s="31">
        <v>7</v>
      </c>
      <c r="P19" s="43">
        <f>('Flow cytometer'!N19/'Flow cytometer'!O19)*POWER(10,'Flow cytometer'!M19+2)*10.2</f>
        <v>793851428.57142854</v>
      </c>
      <c r="Q19" s="46">
        <f>AVERAGE(H19,L19,P19)*Calculation!I19/Calculation!K18</f>
        <v>748549818.47592247</v>
      </c>
      <c r="R19" s="47">
        <f>STDEV(H19,L19,P19)*Calculation!I19/Calculation!K18</f>
        <v>96722065.654939294</v>
      </c>
      <c r="S19" s="48">
        <f t="shared" si="1"/>
        <v>8.8742207093807455</v>
      </c>
      <c r="T19" s="48">
        <f t="shared" si="2"/>
        <v>20.43364831735915</v>
      </c>
      <c r="U19" s="48">
        <f t="shared" si="3"/>
        <v>8.7925037510346531</v>
      </c>
      <c r="V19" s="48">
        <f t="shared" si="4"/>
        <v>8.8862182992361554</v>
      </c>
      <c r="W19" s="48">
        <f t="shared" si="5"/>
        <v>8.8997392306523899</v>
      </c>
      <c r="X19" s="48">
        <f xml:space="preserve"> STDEV(U19:W19)*Calculation!I19/Calculation!K18</f>
        <v>6.0063403963850202E-2</v>
      </c>
    </row>
    <row r="20" spans="1:24">
      <c r="A20" s="39">
        <v>16</v>
      </c>
      <c r="B20" s="31">
        <v>1080</v>
      </c>
      <c r="C20" s="31">
        <f>C19+B20</f>
        <v>2880</v>
      </c>
      <c r="D20" s="13">
        <f t="shared" si="0"/>
        <v>48</v>
      </c>
      <c r="E20" s="31">
        <v>3</v>
      </c>
      <c r="F20" s="31">
        <v>6427</v>
      </c>
      <c r="G20" s="31">
        <v>7</v>
      </c>
      <c r="H20" s="43">
        <f>('Flow cytometer'!F20/'Flow cytometer'!G20)*POWER(10,'Flow cytometer'!E20+2)*10.2</f>
        <v>936505714.28571427</v>
      </c>
      <c r="I20" s="31">
        <v>3</v>
      </c>
      <c r="J20" s="31">
        <v>5750</v>
      </c>
      <c r="K20" s="31">
        <v>7</v>
      </c>
      <c r="L20" s="43">
        <f>('Flow cytometer'!J20/'Flow cytometer'!K20)*POWER(10,'Flow cytometer'!I20+2)*10.2</f>
        <v>837857142.85714281</v>
      </c>
      <c r="M20" s="31">
        <v>3</v>
      </c>
      <c r="N20" s="31">
        <v>6453</v>
      </c>
      <c r="O20" s="31">
        <v>7</v>
      </c>
      <c r="P20" s="43">
        <f>('Flow cytometer'!N20/'Flow cytometer'!O20)*POWER(10,'Flow cytometer'!M20+2)*10.2</f>
        <v>940294285.71428561</v>
      </c>
      <c r="Q20" s="46">
        <f>AVERAGE(H20,L20,P20)*Calculation!I20/Calculation!K19</f>
        <v>939492642.18496704</v>
      </c>
      <c r="R20" s="47">
        <f>STDEV(H20,L20,P20)*Calculation!I20/Calculation!K19</f>
        <v>60300562.58072824</v>
      </c>
      <c r="S20" s="48">
        <f t="shared" ref="S20" si="7">LOG(Q20)</f>
        <v>8.9728933831901578</v>
      </c>
      <c r="T20" s="48">
        <f t="shared" ref="T20" si="8">LN(Q20)</f>
        <v>20.660850545158567</v>
      </c>
      <c r="U20" s="48">
        <f t="shared" si="3"/>
        <v>8.9715104316580607</v>
      </c>
      <c r="V20" s="48">
        <f t="shared" si="4"/>
        <v>8.9231699764372916</v>
      </c>
      <c r="W20" s="48">
        <f t="shared" si="5"/>
        <v>8.9732637968547859</v>
      </c>
      <c r="X20" s="48">
        <f xml:space="preserve"> STDEV(U20:W20)*Calculation!I20/Calculation!K19</f>
        <v>2.9516303924796688E-2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1" sqref="G21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80" t="s">
        <v>4</v>
      </c>
      <c r="B1" s="80" t="s">
        <v>117</v>
      </c>
      <c r="C1" s="80" t="s">
        <v>117</v>
      </c>
      <c r="D1" s="80" t="s">
        <v>5</v>
      </c>
      <c r="E1" s="80" t="s">
        <v>19</v>
      </c>
      <c r="F1" s="80" t="s">
        <v>24</v>
      </c>
      <c r="G1" s="79" t="s">
        <v>25</v>
      </c>
      <c r="H1" s="76" t="s">
        <v>26</v>
      </c>
      <c r="I1" s="4" t="s">
        <v>27</v>
      </c>
      <c r="J1" s="52" t="s">
        <v>27</v>
      </c>
    </row>
    <row r="2" spans="1:10">
      <c r="A2" s="81"/>
      <c r="B2" s="81"/>
      <c r="C2" s="81"/>
      <c r="D2" s="81"/>
      <c r="E2" s="81"/>
      <c r="F2" s="81"/>
      <c r="G2" s="79"/>
      <c r="H2" s="76"/>
      <c r="I2" s="5" t="s">
        <v>28</v>
      </c>
      <c r="J2" s="53" t="s">
        <v>23</v>
      </c>
    </row>
    <row r="3" spans="1:10">
      <c r="A3" s="39" t="s">
        <v>6</v>
      </c>
      <c r="B3" s="31">
        <v>-10</v>
      </c>
      <c r="C3" s="31">
        <f>B3</f>
        <v>-10</v>
      </c>
      <c r="D3" s="13">
        <f>C3/60</f>
        <v>-0.16666666666666666</v>
      </c>
      <c r="E3" s="39">
        <v>1</v>
      </c>
      <c r="F3" s="49">
        <v>8.8999999999999996E-2</v>
      </c>
      <c r="G3" s="49">
        <v>8.8999999999999996E-2</v>
      </c>
      <c r="H3" s="49">
        <v>8.8999999999999996E-2</v>
      </c>
      <c r="I3" s="50">
        <f>E3*(AVERAGE(F3:H3)*1.6007-0.0118)</f>
        <v>0.13066230000000001</v>
      </c>
      <c r="J3" s="50">
        <f>E3*(STDEV(F3:H3)*1.6007)</f>
        <v>2.7206696834821082E-17</v>
      </c>
    </row>
    <row r="4" spans="1:10">
      <c r="A4" s="39">
        <v>0</v>
      </c>
      <c r="B4" s="31">
        <v>10</v>
      </c>
      <c r="C4" s="31">
        <f>B4</f>
        <v>10</v>
      </c>
      <c r="D4" s="13">
        <f t="shared" ref="D4:D20" si="0">C4/60</f>
        <v>0.16666666666666666</v>
      </c>
      <c r="E4" s="39">
        <v>1</v>
      </c>
      <c r="F4" s="49">
        <v>0.115</v>
      </c>
      <c r="G4" s="49">
        <v>0.115</v>
      </c>
      <c r="H4" s="49">
        <v>0.115</v>
      </c>
      <c r="I4" s="50">
        <f>E4*(AVERAGE(F4:H4)*1.6007-0.0118)</f>
        <v>0.1722805</v>
      </c>
      <c r="J4" s="50">
        <f t="shared" ref="J4:J18" si="1">E4*(STDEV(F4:H4)*1.6007)</f>
        <v>0</v>
      </c>
    </row>
    <row r="5" spans="1:10">
      <c r="A5" s="39">
        <v>1</v>
      </c>
      <c r="B5" s="31">
        <v>110</v>
      </c>
      <c r="C5" s="31">
        <f>C4+B5</f>
        <v>120</v>
      </c>
      <c r="D5" s="13">
        <f t="shared" si="0"/>
        <v>2</v>
      </c>
      <c r="E5" s="39">
        <v>1</v>
      </c>
      <c r="F5" s="49">
        <v>0.156</v>
      </c>
      <c r="G5" s="49">
        <v>0.156</v>
      </c>
      <c r="H5" s="49">
        <v>0.156</v>
      </c>
      <c r="I5" s="50">
        <f t="shared" ref="I5:I19" si="2">E5*(AVERAGE(F5:H5)*1.6007-0.0118)</f>
        <v>0.23790919999999999</v>
      </c>
      <c r="J5" s="50">
        <f t="shared" si="1"/>
        <v>0</v>
      </c>
    </row>
    <row r="6" spans="1:10">
      <c r="A6" s="39">
        <v>2</v>
      </c>
      <c r="B6" s="31">
        <v>80</v>
      </c>
      <c r="C6" s="31">
        <f>C5+B6</f>
        <v>200</v>
      </c>
      <c r="D6" s="13">
        <f t="shared" si="0"/>
        <v>3.3333333333333335</v>
      </c>
      <c r="E6" s="39">
        <v>1</v>
      </c>
      <c r="F6" s="49">
        <v>0.193</v>
      </c>
      <c r="G6" s="49">
        <v>0.193</v>
      </c>
      <c r="H6" s="49">
        <v>0.193</v>
      </c>
      <c r="I6" s="50">
        <f t="shared" si="2"/>
        <v>0.29713509999999999</v>
      </c>
      <c r="J6" s="50">
        <f t="shared" si="1"/>
        <v>5.4413393669642165E-17</v>
      </c>
    </row>
    <row r="7" spans="1:10">
      <c r="A7" s="39">
        <v>3</v>
      </c>
      <c r="B7" s="31">
        <v>80</v>
      </c>
      <c r="C7" s="31">
        <f>C6+B7</f>
        <v>280</v>
      </c>
      <c r="D7" s="13">
        <f t="shared" si="0"/>
        <v>4.666666666666667</v>
      </c>
      <c r="E7" s="39">
        <v>1</v>
      </c>
      <c r="F7" s="49">
        <v>0.223</v>
      </c>
      <c r="G7" s="49">
        <v>0.223</v>
      </c>
      <c r="H7" s="49">
        <v>0.223</v>
      </c>
      <c r="I7" s="50">
        <f t="shared" si="2"/>
        <v>0.34515610000000002</v>
      </c>
      <c r="J7" s="50">
        <f t="shared" si="1"/>
        <v>0</v>
      </c>
    </row>
    <row r="8" spans="1:10">
      <c r="A8" s="39">
        <v>4</v>
      </c>
      <c r="B8" s="31">
        <v>80</v>
      </c>
      <c r="C8" s="31">
        <f t="shared" ref="C8:C18" si="3">C7+B8</f>
        <v>360</v>
      </c>
      <c r="D8" s="13">
        <f t="shared" si="0"/>
        <v>6</v>
      </c>
      <c r="E8" s="39">
        <v>1</v>
      </c>
      <c r="F8" s="49">
        <v>0.253</v>
      </c>
      <c r="G8" s="49">
        <v>0.253</v>
      </c>
      <c r="H8" s="49">
        <v>0.253</v>
      </c>
      <c r="I8" s="50">
        <f t="shared" si="2"/>
        <v>0.39317710000000006</v>
      </c>
      <c r="J8" s="50">
        <f t="shared" si="1"/>
        <v>0</v>
      </c>
    </row>
    <row r="9" spans="1:10">
      <c r="A9" s="39">
        <v>5</v>
      </c>
      <c r="B9" s="31">
        <v>80</v>
      </c>
      <c r="C9" s="31">
        <f t="shared" si="3"/>
        <v>440</v>
      </c>
      <c r="D9" s="13">
        <f t="shared" si="0"/>
        <v>7.333333333333333</v>
      </c>
      <c r="E9" s="39">
        <v>1</v>
      </c>
      <c r="F9" s="49">
        <v>0.34300000000000003</v>
      </c>
      <c r="G9" s="49">
        <v>0.34300000000000003</v>
      </c>
      <c r="H9" s="49">
        <v>0.34300000000000003</v>
      </c>
      <c r="I9" s="50">
        <f t="shared" si="2"/>
        <v>0.5372401</v>
      </c>
      <c r="J9" s="50">
        <f t="shared" si="1"/>
        <v>0</v>
      </c>
    </row>
    <row r="10" spans="1:10">
      <c r="A10" s="39">
        <v>6</v>
      </c>
      <c r="B10" s="31">
        <v>80</v>
      </c>
      <c r="C10" s="31">
        <f t="shared" si="3"/>
        <v>520</v>
      </c>
      <c r="D10" s="13">
        <f t="shared" si="0"/>
        <v>8.6666666666666661</v>
      </c>
      <c r="E10" s="39">
        <v>10</v>
      </c>
      <c r="F10" s="49">
        <v>7.5999999999999998E-2</v>
      </c>
      <c r="G10" s="49">
        <v>7.1999999999999995E-2</v>
      </c>
      <c r="H10" s="49">
        <v>6.8000000000000005E-2</v>
      </c>
      <c r="I10" s="50">
        <f t="shared" si="2"/>
        <v>1.0345039999999999</v>
      </c>
      <c r="J10" s="50">
        <f t="shared" si="1"/>
        <v>6.4027999999999946E-2</v>
      </c>
    </row>
    <row r="11" spans="1:10">
      <c r="A11" s="39">
        <v>7</v>
      </c>
      <c r="B11" s="31">
        <v>80</v>
      </c>
      <c r="C11" s="31">
        <f t="shared" si="3"/>
        <v>600</v>
      </c>
      <c r="D11" s="13">
        <f t="shared" si="0"/>
        <v>10</v>
      </c>
      <c r="E11" s="39">
        <v>10</v>
      </c>
      <c r="F11" s="49">
        <v>0.11</v>
      </c>
      <c r="G11" s="49">
        <v>0.11</v>
      </c>
      <c r="H11" s="49">
        <v>0.12</v>
      </c>
      <c r="I11" s="50">
        <f t="shared" si="2"/>
        <v>1.6961266666666666</v>
      </c>
      <c r="J11" s="50">
        <f t="shared" si="1"/>
        <v>9.2416457589183348E-2</v>
      </c>
    </row>
    <row r="12" spans="1:10">
      <c r="A12" s="39">
        <v>8</v>
      </c>
      <c r="B12" s="31">
        <v>80</v>
      </c>
      <c r="C12" s="31">
        <f t="shared" si="3"/>
        <v>680</v>
      </c>
      <c r="D12" s="13">
        <f t="shared" si="0"/>
        <v>11.333333333333334</v>
      </c>
      <c r="E12" s="39">
        <v>10</v>
      </c>
      <c r="F12" s="49">
        <v>0.20399999999999999</v>
      </c>
      <c r="G12" s="49">
        <v>0.20399999999999999</v>
      </c>
      <c r="H12" s="49">
        <v>0.19800000000000001</v>
      </c>
      <c r="I12" s="50">
        <f t="shared" si="2"/>
        <v>3.1154140000000003</v>
      </c>
      <c r="J12" s="50">
        <f t="shared" si="1"/>
        <v>5.5449874553509831E-2</v>
      </c>
    </row>
    <row r="13" spans="1:10">
      <c r="A13" s="39">
        <v>9</v>
      </c>
      <c r="B13" s="31">
        <v>80</v>
      </c>
      <c r="C13" s="31">
        <f t="shared" si="3"/>
        <v>760</v>
      </c>
      <c r="D13" s="13">
        <f t="shared" si="0"/>
        <v>12.666666666666666</v>
      </c>
      <c r="E13" s="39">
        <v>10</v>
      </c>
      <c r="F13" s="49">
        <v>0.221</v>
      </c>
      <c r="G13" s="49">
        <v>0.21199999999999999</v>
      </c>
      <c r="H13" s="49">
        <v>0.20699999999999999</v>
      </c>
      <c r="I13" s="50">
        <f t="shared" si="2"/>
        <v>3.2968266666666675</v>
      </c>
      <c r="J13" s="50">
        <f t="shared" si="1"/>
        <v>0.11356324434575368</v>
      </c>
    </row>
    <row r="14" spans="1:10">
      <c r="A14" s="39">
        <v>10</v>
      </c>
      <c r="B14" s="31">
        <v>80</v>
      </c>
      <c r="C14" s="31">
        <f t="shared" si="3"/>
        <v>840</v>
      </c>
      <c r="D14" s="13">
        <f t="shared" si="0"/>
        <v>14</v>
      </c>
      <c r="E14" s="39">
        <v>10</v>
      </c>
      <c r="F14" s="49">
        <v>0.246</v>
      </c>
      <c r="G14" s="49">
        <v>0.249</v>
      </c>
      <c r="H14" s="49">
        <v>0.23699999999999999</v>
      </c>
      <c r="I14" s="50">
        <f t="shared" si="2"/>
        <v>3.7877080000000003</v>
      </c>
      <c r="J14" s="50">
        <f t="shared" si="1"/>
        <v>9.9963682960363245E-2</v>
      </c>
    </row>
    <row r="15" spans="1:10">
      <c r="A15" s="39">
        <v>11</v>
      </c>
      <c r="B15" s="31">
        <v>80</v>
      </c>
      <c r="C15" s="31">
        <f t="shared" si="3"/>
        <v>920</v>
      </c>
      <c r="D15" s="13">
        <f t="shared" si="0"/>
        <v>15.333333333333334</v>
      </c>
      <c r="E15" s="39">
        <v>10</v>
      </c>
      <c r="F15" s="49">
        <v>0.26600000000000001</v>
      </c>
      <c r="G15" s="49">
        <v>0.26800000000000002</v>
      </c>
      <c r="H15" s="49">
        <v>0.26</v>
      </c>
      <c r="I15" s="50">
        <f t="shared" si="2"/>
        <v>4.1185193333333334</v>
      </c>
      <c r="J15" s="50">
        <f t="shared" si="1"/>
        <v>6.6642455306908821E-2</v>
      </c>
    </row>
    <row r="16" spans="1:10">
      <c r="A16" s="39">
        <v>12</v>
      </c>
      <c r="B16" s="31">
        <v>80</v>
      </c>
      <c r="C16" s="31">
        <f t="shared" si="3"/>
        <v>1000</v>
      </c>
      <c r="D16" s="13">
        <f t="shared" si="0"/>
        <v>16.666666666666668</v>
      </c>
      <c r="E16" s="39">
        <v>20</v>
      </c>
      <c r="F16" s="49">
        <v>0.13500000000000001</v>
      </c>
      <c r="G16" s="49">
        <v>0.14199999999999999</v>
      </c>
      <c r="H16" s="49">
        <v>0.13200000000000001</v>
      </c>
      <c r="I16" s="50">
        <f t="shared" si="2"/>
        <v>4.128575333333333</v>
      </c>
      <c r="J16" s="50">
        <f t="shared" si="1"/>
        <v>0.16428308848245221</v>
      </c>
    </row>
    <row r="17" spans="1:10">
      <c r="A17" s="39">
        <v>13</v>
      </c>
      <c r="B17" s="31">
        <v>80</v>
      </c>
      <c r="C17" s="31">
        <f t="shared" si="3"/>
        <v>1080</v>
      </c>
      <c r="D17" s="13">
        <f t="shared" si="0"/>
        <v>18</v>
      </c>
      <c r="E17" s="39">
        <v>20</v>
      </c>
      <c r="F17" s="49">
        <v>0.13500000000000001</v>
      </c>
      <c r="G17" s="49">
        <v>0.14599999999999999</v>
      </c>
      <c r="H17" s="49">
        <v>0.14699999999999999</v>
      </c>
      <c r="I17" s="50">
        <f t="shared" si="2"/>
        <v>4.3313306666666671</v>
      </c>
      <c r="J17" s="50">
        <f t="shared" si="1"/>
        <v>0.21315971638499895</v>
      </c>
    </row>
    <row r="18" spans="1:10">
      <c r="A18" s="39">
        <v>14</v>
      </c>
      <c r="B18" s="31">
        <v>360</v>
      </c>
      <c r="C18" s="31">
        <f t="shared" si="3"/>
        <v>1440</v>
      </c>
      <c r="D18" s="13">
        <f t="shared" si="0"/>
        <v>24</v>
      </c>
      <c r="E18" s="39">
        <v>20</v>
      </c>
      <c r="F18" s="49">
        <v>0.12</v>
      </c>
      <c r="G18" s="49">
        <v>0.126</v>
      </c>
      <c r="H18" s="49">
        <v>0.11899999999999999</v>
      </c>
      <c r="I18" s="50">
        <f t="shared" si="2"/>
        <v>3.6590366666666663</v>
      </c>
      <c r="J18" s="50">
        <f t="shared" si="1"/>
        <v>0.12120304785496674</v>
      </c>
    </row>
    <row r="19" spans="1:10">
      <c r="A19" s="39">
        <v>15</v>
      </c>
      <c r="B19" s="31">
        <v>360</v>
      </c>
      <c r="C19" s="31">
        <f>C18+B19</f>
        <v>1800</v>
      </c>
      <c r="D19" s="13">
        <f t="shared" si="0"/>
        <v>30</v>
      </c>
      <c r="E19" s="39">
        <v>20</v>
      </c>
      <c r="F19" s="49">
        <v>0.105</v>
      </c>
      <c r="G19" s="49">
        <v>0.10199999999999999</v>
      </c>
      <c r="H19" s="49">
        <v>0.107</v>
      </c>
      <c r="I19" s="50">
        <f t="shared" si="2"/>
        <v>3.1147986666666667</v>
      </c>
      <c r="J19" s="50">
        <f>E19*(STDEV(F19:H19)*1.6007)</f>
        <v>8.0566799870252656E-2</v>
      </c>
    </row>
    <row r="20" spans="1:10">
      <c r="A20" s="39">
        <v>16</v>
      </c>
      <c r="B20" s="31">
        <v>1080</v>
      </c>
      <c r="C20" s="31">
        <f>C19+B20</f>
        <v>2880</v>
      </c>
      <c r="D20" s="13">
        <f t="shared" si="0"/>
        <v>48</v>
      </c>
      <c r="E20" s="39">
        <v>10</v>
      </c>
      <c r="F20" s="49">
        <v>0.19800000000000001</v>
      </c>
      <c r="G20" s="49">
        <v>0.20100000000000001</v>
      </c>
      <c r="H20" s="49">
        <v>0.20699999999999999</v>
      </c>
      <c r="I20" s="50">
        <f t="shared" ref="I20" si="4">E20*(AVERAGE(F20:H20)*1.6007-0.0118)</f>
        <v>3.1154140000000003</v>
      </c>
      <c r="J20" s="50">
        <f t="shared" ref="J20" si="5">E20*(STDEV(F20:H20)*1.6007)</f>
        <v>7.3353289149157966E-2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20" sqref="D20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80" t="s">
        <v>4</v>
      </c>
      <c r="B1" s="80" t="s">
        <v>117</v>
      </c>
      <c r="C1" s="80" t="s">
        <v>117</v>
      </c>
      <c r="D1" s="80" t="s">
        <v>5</v>
      </c>
      <c r="E1" s="4" t="s">
        <v>29</v>
      </c>
      <c r="F1" s="4" t="s">
        <v>2</v>
      </c>
      <c r="G1" s="4" t="s">
        <v>32</v>
      </c>
    </row>
    <row r="2" spans="1:7">
      <c r="A2" s="81"/>
      <c r="B2" s="81"/>
      <c r="C2" s="81"/>
      <c r="D2" s="81"/>
      <c r="E2" s="5" t="s">
        <v>30</v>
      </c>
      <c r="F2" s="5" t="s">
        <v>31</v>
      </c>
      <c r="G2" s="5" t="s">
        <v>33</v>
      </c>
    </row>
    <row r="3" spans="1:7">
      <c r="A3" s="39" t="s">
        <v>6</v>
      </c>
      <c r="B3" s="31">
        <v>-10</v>
      </c>
      <c r="C3" s="31">
        <f>B3</f>
        <v>-10</v>
      </c>
      <c r="D3" s="62"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39">
        <v>0</v>
      </c>
      <c r="B4" s="31">
        <v>10</v>
      </c>
      <c r="C4" s="31">
        <f>B4</f>
        <v>10</v>
      </c>
      <c r="D4" s="63"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39">
        <v>1</v>
      </c>
      <c r="B5" s="31">
        <v>110</v>
      </c>
      <c r="C5" s="31">
        <f>C4+B5</f>
        <v>120</v>
      </c>
      <c r="D5" s="63">
        <v>2</v>
      </c>
      <c r="E5" s="1"/>
      <c r="F5" s="1"/>
      <c r="G5" s="1" t="e">
        <f>(F5-$C$22)/E5*1000*Calculation!I6/Calculation!K5</f>
        <v>#DIV/0!</v>
      </c>
    </row>
    <row r="6" spans="1:7">
      <c r="A6" s="39">
        <v>2</v>
      </c>
      <c r="B6" s="31">
        <v>80</v>
      </c>
      <c r="C6" s="31">
        <f>C5+B6</f>
        <v>200</v>
      </c>
      <c r="D6" s="63"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39">
        <v>3</v>
      </c>
      <c r="B7" s="31">
        <v>80</v>
      </c>
      <c r="C7" s="31">
        <f>C6+B7</f>
        <v>280</v>
      </c>
      <c r="D7" s="63">
        <v>4.666666666666667</v>
      </c>
      <c r="E7" s="1"/>
      <c r="F7" s="1"/>
      <c r="G7" s="1" t="e">
        <f>(F7-$C$22)/E7*1000*Calculation!I8/Calculation!K7</f>
        <v>#DIV/0!</v>
      </c>
    </row>
    <row r="8" spans="1:7">
      <c r="A8" s="39">
        <v>4</v>
      </c>
      <c r="B8" s="31">
        <v>80</v>
      </c>
      <c r="C8" s="31">
        <f t="shared" ref="C8:C18" si="0">C7+B8</f>
        <v>360</v>
      </c>
      <c r="D8" s="63">
        <v>6</v>
      </c>
      <c r="E8" s="1"/>
      <c r="F8" s="1"/>
      <c r="G8" s="1" t="e">
        <f>(F8-$C$22)/E8*1000*Calculation!I9/Calculation!K8</f>
        <v>#DIV/0!</v>
      </c>
    </row>
    <row r="9" spans="1:7">
      <c r="A9" s="39">
        <v>5</v>
      </c>
      <c r="B9" s="31">
        <v>80</v>
      </c>
      <c r="C9" s="31">
        <f t="shared" si="0"/>
        <v>440</v>
      </c>
      <c r="D9" s="63"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39">
        <v>6</v>
      </c>
      <c r="B10" s="31">
        <v>80</v>
      </c>
      <c r="C10" s="31">
        <f t="shared" si="0"/>
        <v>520</v>
      </c>
      <c r="D10" s="63">
        <v>8.6666666666666661</v>
      </c>
      <c r="E10" s="1"/>
      <c r="F10" s="1"/>
      <c r="G10" s="1" t="e">
        <f>(F10-$C$22)/E10*1000*Calculation!I11/Calculation!K10</f>
        <v>#DIV/0!</v>
      </c>
    </row>
    <row r="11" spans="1:7">
      <c r="A11" s="39">
        <v>7</v>
      </c>
      <c r="B11" s="31">
        <v>80</v>
      </c>
      <c r="C11" s="31">
        <f t="shared" si="0"/>
        <v>600</v>
      </c>
      <c r="D11" s="63">
        <v>10</v>
      </c>
      <c r="E11" s="1"/>
      <c r="F11" s="1"/>
      <c r="G11" s="1" t="e">
        <f>(F11-$C$22)/E11*1000*Calculation!I12/Calculation!K11</f>
        <v>#DIV/0!</v>
      </c>
    </row>
    <row r="12" spans="1:7">
      <c r="A12" s="39">
        <v>8</v>
      </c>
      <c r="B12" s="31">
        <v>80</v>
      </c>
      <c r="C12" s="31">
        <f t="shared" si="0"/>
        <v>680</v>
      </c>
      <c r="D12" s="63"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39">
        <v>9</v>
      </c>
      <c r="B13" s="31">
        <v>80</v>
      </c>
      <c r="C13" s="31">
        <f t="shared" si="0"/>
        <v>760</v>
      </c>
      <c r="D13" s="63">
        <v>12.666666666666666</v>
      </c>
      <c r="E13" s="36"/>
      <c r="F13" s="36"/>
      <c r="G13" s="36" t="e">
        <f>(F13-$C$22)/E13*1000*Calculation!I14/Calculation!K13</f>
        <v>#DIV/0!</v>
      </c>
    </row>
    <row r="14" spans="1:7">
      <c r="A14" s="39">
        <v>10</v>
      </c>
      <c r="B14" s="31">
        <v>80</v>
      </c>
      <c r="C14" s="31">
        <f t="shared" si="0"/>
        <v>840</v>
      </c>
      <c r="D14" s="63">
        <v>14</v>
      </c>
      <c r="E14" s="36"/>
      <c r="F14" s="36"/>
      <c r="G14" s="36" t="e">
        <f>(F14-$C$22)/E14*1000*Calculation!I15/Calculation!K14</f>
        <v>#DIV/0!</v>
      </c>
    </row>
    <row r="15" spans="1:7">
      <c r="A15" s="39">
        <v>11</v>
      </c>
      <c r="B15" s="31">
        <v>80</v>
      </c>
      <c r="C15" s="31">
        <f t="shared" si="0"/>
        <v>920</v>
      </c>
      <c r="D15" s="63">
        <v>15.333333333333334</v>
      </c>
      <c r="E15" s="36"/>
      <c r="F15" s="36"/>
      <c r="G15" s="36" t="e">
        <f>(F15-$C$22)/E15*1000*Calculation!I16/Calculation!K15</f>
        <v>#DIV/0!</v>
      </c>
    </row>
    <row r="16" spans="1:7">
      <c r="A16" s="39">
        <v>12</v>
      </c>
      <c r="B16" s="31">
        <v>80</v>
      </c>
      <c r="C16" s="31">
        <f t="shared" si="0"/>
        <v>1000</v>
      </c>
      <c r="D16" s="63">
        <v>16.666666666666668</v>
      </c>
      <c r="E16" s="36"/>
      <c r="F16" s="36"/>
      <c r="G16" s="36" t="e">
        <f>(F16-$C$22)/E16*1000*Calculation!I17/Calculation!K16</f>
        <v>#DIV/0!</v>
      </c>
    </row>
    <row r="17" spans="1:7" ht="15" customHeight="1">
      <c r="A17" s="39">
        <v>13</v>
      </c>
      <c r="B17" s="31">
        <v>80</v>
      </c>
      <c r="C17" s="31">
        <f t="shared" si="0"/>
        <v>1080</v>
      </c>
      <c r="D17" s="63">
        <v>18</v>
      </c>
      <c r="E17" s="36"/>
      <c r="F17" s="36"/>
      <c r="G17" s="36" t="e">
        <f>(F17-$C$22)/E17*1000*Calculation!I18/Calculation!K17</f>
        <v>#DIV/0!</v>
      </c>
    </row>
    <row r="18" spans="1:7">
      <c r="A18" s="39">
        <v>14</v>
      </c>
      <c r="B18" s="31">
        <v>360</v>
      </c>
      <c r="C18" s="31">
        <f t="shared" si="0"/>
        <v>1440</v>
      </c>
      <c r="D18" s="63">
        <v>19.333333333333332</v>
      </c>
      <c r="E18" s="36"/>
      <c r="F18" s="36"/>
      <c r="G18" s="36" t="e">
        <f>(F18-$C$22)/E18*1000*Calculation!I19/Calculation!K18</f>
        <v>#DIV/0!</v>
      </c>
    </row>
    <row r="19" spans="1:7">
      <c r="A19" s="39">
        <v>15</v>
      </c>
      <c r="B19" s="31">
        <v>360</v>
      </c>
      <c r="C19" s="31">
        <f>C18+B19</f>
        <v>1800</v>
      </c>
      <c r="D19" s="63">
        <v>24</v>
      </c>
      <c r="E19" s="39"/>
      <c r="F19" s="39"/>
      <c r="G19" s="39" t="e">
        <f>(F19-$C$22)/E19*1000*Calculation!I21/Calculation!K19</f>
        <v>#DIV/0!</v>
      </c>
    </row>
    <row r="20" spans="1:7">
      <c r="A20" s="39">
        <v>16</v>
      </c>
      <c r="B20" s="31">
        <v>1080</v>
      </c>
      <c r="C20" s="31">
        <f>C19+B20</f>
        <v>2880</v>
      </c>
      <c r="D20" s="63">
        <v>30</v>
      </c>
      <c r="E20" s="39"/>
      <c r="F20" s="39"/>
      <c r="G20" s="39" t="e">
        <f>(F20-$C$22)/E20*1000*Calculation!I22/Calculation!K20</f>
        <v>#DIV/0!</v>
      </c>
    </row>
    <row r="22" spans="1:7">
      <c r="A22" s="89" t="s">
        <v>3</v>
      </c>
      <c r="B22" s="90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topLeftCell="A104" workbookViewId="0">
      <selection activeCell="F5" sqref="F5:F101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</cols>
  <sheetData>
    <row r="1" spans="1:10">
      <c r="A1" s="23" t="s">
        <v>50</v>
      </c>
      <c r="B1" s="12">
        <v>69.8</v>
      </c>
      <c r="C1" s="26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79" t="s">
        <v>5</v>
      </c>
      <c r="B3" s="79" t="s">
        <v>36</v>
      </c>
      <c r="C3" s="79"/>
      <c r="D3" s="79" t="s">
        <v>52</v>
      </c>
      <c r="E3" s="79"/>
      <c r="F3" s="79"/>
      <c r="G3" s="23" t="s">
        <v>53</v>
      </c>
    </row>
    <row r="4" spans="1:10">
      <c r="A4" s="79"/>
      <c r="B4" s="23" t="s">
        <v>54</v>
      </c>
      <c r="C4" s="23" t="s">
        <v>55</v>
      </c>
      <c r="D4" s="23" t="s">
        <v>56</v>
      </c>
      <c r="E4" s="23" t="s">
        <v>57</v>
      </c>
      <c r="F4" s="23" t="s">
        <v>58</v>
      </c>
      <c r="G4" s="23" t="s">
        <v>59</v>
      </c>
    </row>
    <row r="5" spans="1:10">
      <c r="A5" s="12">
        <v>0</v>
      </c>
      <c r="B5" s="69">
        <v>3.87</v>
      </c>
      <c r="C5" s="12">
        <f>B5/1000</f>
        <v>3.8700000000000002E-3</v>
      </c>
      <c r="D5" s="12">
        <f>C5/1000*$B$1</f>
        <v>2.7012599999999998E-4</v>
      </c>
      <c r="E5" s="12">
        <f>D5/22.4</f>
        <v>1.2059196428571428E-5</v>
      </c>
      <c r="F5" s="12">
        <f>E5/Calculation!K$4*1000</f>
        <v>8.2538905224117461E-6</v>
      </c>
      <c r="G5" s="12">
        <f>(0+F5)/2*30</f>
        <v>1.2380835783617618E-4</v>
      </c>
      <c r="I5" s="12">
        <v>-0.16666666666666666</v>
      </c>
      <c r="J5" t="s">
        <v>153</v>
      </c>
    </row>
    <row r="6" spans="1:10">
      <c r="A6" s="12">
        <v>0.5</v>
      </c>
      <c r="B6" s="12">
        <v>85.19</v>
      </c>
      <c r="C6" s="12">
        <f t="shared" ref="C6:C69" si="0">B6/1000</f>
        <v>8.5190000000000002E-2</v>
      </c>
      <c r="D6" s="12">
        <f>C6/1000*$B$1</f>
        <v>5.9462619999999999E-3</v>
      </c>
      <c r="E6" s="12">
        <f>D6/22.4</f>
        <v>2.6545812500000003E-4</v>
      </c>
      <c r="F6" s="12">
        <f>E6/Calculation!K$4*1000</f>
        <v>1.8169223090549273E-4</v>
      </c>
      <c r="G6" s="12">
        <f>G5+(F6+F5)/2*30</f>
        <v>2.9730001792547434E-3</v>
      </c>
      <c r="I6" s="12">
        <v>0.16666666666666666</v>
      </c>
      <c r="J6" t="s">
        <v>154</v>
      </c>
    </row>
    <row r="7" spans="1:10">
      <c r="A7" s="12">
        <v>1</v>
      </c>
      <c r="B7" s="12">
        <v>1.94</v>
      </c>
      <c r="C7" s="12">
        <f t="shared" si="0"/>
        <v>1.9399999999999999E-3</v>
      </c>
      <c r="D7" s="12">
        <f t="shared" ref="D7:D69" si="1">C7/1000*$B$1</f>
        <v>1.3541200000000001E-4</v>
      </c>
      <c r="E7" s="12">
        <f t="shared" ref="E7:E69" si="2">D7/22.4</f>
        <v>6.045178571428572E-6</v>
      </c>
      <c r="F7" s="12">
        <f>E7/Calculation!K$4*1000</f>
        <v>4.1376092024493003E-6</v>
      </c>
      <c r="G7" s="12">
        <f t="shared" ref="G7:G70" si="3">G6+(F7+F6)/2*30</f>
        <v>5.7604477808738735E-3</v>
      </c>
      <c r="I7" s="12">
        <v>2</v>
      </c>
      <c r="J7" t="s">
        <v>155</v>
      </c>
    </row>
    <row r="8" spans="1:10">
      <c r="A8" s="12">
        <v>1.5</v>
      </c>
      <c r="B8" s="12">
        <v>27.11</v>
      </c>
      <c r="C8" s="12">
        <f t="shared" si="0"/>
        <v>2.7109999999999999E-2</v>
      </c>
      <c r="D8" s="12">
        <f t="shared" si="1"/>
        <v>1.8922779999999998E-3</v>
      </c>
      <c r="E8" s="12">
        <f t="shared" si="2"/>
        <v>8.4476696428571423E-5</v>
      </c>
      <c r="F8" s="12">
        <f>E8/Calculation!K$4*1000</f>
        <v>5.7819889421855932E-5</v>
      </c>
      <c r="G8" s="12">
        <f t="shared" si="3"/>
        <v>6.6898102602384523E-3</v>
      </c>
      <c r="I8" s="12">
        <v>3.3333333333333335</v>
      </c>
      <c r="J8" t="s">
        <v>156</v>
      </c>
    </row>
    <row r="9" spans="1:10">
      <c r="A9" s="12">
        <v>2</v>
      </c>
      <c r="B9" s="12">
        <v>0.97</v>
      </c>
      <c r="C9" s="12">
        <f t="shared" si="0"/>
        <v>9.6999999999999994E-4</v>
      </c>
      <c r="D9" s="12">
        <f t="shared" si="1"/>
        <v>6.7706000000000005E-5</v>
      </c>
      <c r="E9" s="12">
        <f t="shared" si="2"/>
        <v>3.022589285714286E-6</v>
      </c>
      <c r="F9" s="12">
        <f>E9/Calculation!K$5*1000</f>
        <v>2.1451009411279705E-6</v>
      </c>
      <c r="G9" s="12">
        <f t="shared" si="3"/>
        <v>7.5892851156832107E-3</v>
      </c>
      <c r="I9" s="12">
        <v>4.666666666666667</v>
      </c>
      <c r="J9" t="s">
        <v>157</v>
      </c>
    </row>
    <row r="10" spans="1:10">
      <c r="A10" s="12">
        <v>2.5</v>
      </c>
      <c r="B10" s="12">
        <v>0.97</v>
      </c>
      <c r="C10" s="12">
        <f t="shared" si="0"/>
        <v>9.6999999999999994E-4</v>
      </c>
      <c r="D10" s="12">
        <f t="shared" si="1"/>
        <v>6.7706000000000005E-5</v>
      </c>
      <c r="E10" s="12">
        <f t="shared" si="2"/>
        <v>3.022589285714286E-6</v>
      </c>
      <c r="F10" s="12">
        <f>E10/Calculation!K$5*1000</f>
        <v>2.1451009411279705E-6</v>
      </c>
      <c r="G10" s="12">
        <f t="shared" si="3"/>
        <v>7.6536381439170501E-3</v>
      </c>
      <c r="I10" s="12">
        <v>6</v>
      </c>
      <c r="J10" t="s">
        <v>158</v>
      </c>
    </row>
    <row r="11" spans="1:10">
      <c r="A11" s="12">
        <v>3</v>
      </c>
      <c r="B11" s="12">
        <v>1.94</v>
      </c>
      <c r="C11" s="12">
        <f t="shared" si="0"/>
        <v>1.9399999999999999E-3</v>
      </c>
      <c r="D11" s="12">
        <f t="shared" si="1"/>
        <v>1.3541200000000001E-4</v>
      </c>
      <c r="E11" s="12">
        <f t="shared" si="2"/>
        <v>6.045178571428572E-6</v>
      </c>
      <c r="F11" s="12">
        <f>E11/Calculation!K$5*1000</f>
        <v>4.290201882255941E-6</v>
      </c>
      <c r="G11" s="12">
        <f t="shared" si="3"/>
        <v>7.7501676862678087E-3</v>
      </c>
      <c r="I11" s="12">
        <v>7.333333333333333</v>
      </c>
      <c r="J11" t="s">
        <v>159</v>
      </c>
    </row>
    <row r="12" spans="1:10">
      <c r="A12" s="12">
        <v>3.5</v>
      </c>
      <c r="B12" s="12">
        <v>0.97</v>
      </c>
      <c r="C12" s="12">
        <f t="shared" si="0"/>
        <v>9.6999999999999994E-4</v>
      </c>
      <c r="D12" s="12">
        <f t="shared" si="1"/>
        <v>6.7706000000000005E-5</v>
      </c>
      <c r="E12" s="12">
        <f t="shared" si="2"/>
        <v>3.022589285714286E-6</v>
      </c>
      <c r="F12" s="12">
        <f>E12/Calculation!K$6*1000</f>
        <v>2.2223308794933418E-6</v>
      </c>
      <c r="G12" s="12">
        <f t="shared" si="3"/>
        <v>7.8478556776940475E-3</v>
      </c>
      <c r="I12" s="12">
        <v>8.6666666666666661</v>
      </c>
      <c r="J12" t="s">
        <v>160</v>
      </c>
    </row>
    <row r="13" spans="1:10">
      <c r="A13" s="12">
        <v>4</v>
      </c>
      <c r="B13" s="12">
        <v>2.9</v>
      </c>
      <c r="C13" s="12">
        <f t="shared" si="0"/>
        <v>2.8999999999999998E-3</v>
      </c>
      <c r="D13" s="12">
        <f t="shared" si="1"/>
        <v>2.0241999999999998E-4</v>
      </c>
      <c r="E13" s="12">
        <f t="shared" si="2"/>
        <v>9.036607142857143E-6</v>
      </c>
      <c r="F13" s="12">
        <f>E13/Calculation!K$6*1000</f>
        <v>6.6440820108563827E-6</v>
      </c>
      <c r="G13" s="12">
        <f t="shared" si="3"/>
        <v>7.9808518710492941E-3</v>
      </c>
      <c r="I13" s="12">
        <v>10</v>
      </c>
      <c r="J13" t="s">
        <v>161</v>
      </c>
    </row>
    <row r="14" spans="1:10">
      <c r="A14" s="12">
        <v>4.5</v>
      </c>
      <c r="B14" s="12">
        <v>8.7100000000000009</v>
      </c>
      <c r="C14" s="12">
        <f t="shared" si="0"/>
        <v>8.7100000000000007E-3</v>
      </c>
      <c r="D14" s="12">
        <f t="shared" si="1"/>
        <v>6.0795800000000002E-4</v>
      </c>
      <c r="E14" s="12">
        <f t="shared" si="2"/>
        <v>2.7140982142857145E-5</v>
      </c>
      <c r="F14" s="12">
        <f>E14/Calculation!K$6*1000</f>
        <v>1.9955156660192791E-5</v>
      </c>
      <c r="G14" s="12">
        <f t="shared" si="3"/>
        <v>8.379840451115032E-3</v>
      </c>
      <c r="I14" s="12">
        <v>11.333333333333334</v>
      </c>
      <c r="J14" t="s">
        <v>162</v>
      </c>
    </row>
    <row r="15" spans="1:10">
      <c r="A15" s="12">
        <v>5</v>
      </c>
      <c r="B15" s="12">
        <v>41.63</v>
      </c>
      <c r="C15" s="12">
        <f t="shared" si="0"/>
        <v>4.163E-2</v>
      </c>
      <c r="D15" s="12">
        <f t="shared" si="1"/>
        <v>2.9057739999999999E-3</v>
      </c>
      <c r="E15" s="12">
        <f t="shared" si="2"/>
        <v>1.2972205357142857E-4</v>
      </c>
      <c r="F15" s="12">
        <f>E15/Calculation!K$7*1000</f>
        <v>9.9011734824557801E-5</v>
      </c>
      <c r="G15" s="12">
        <f t="shared" si="3"/>
        <v>1.0164343823386291E-2</v>
      </c>
      <c r="I15" s="12">
        <v>12.666666666666666</v>
      </c>
      <c r="J15" t="s">
        <v>163</v>
      </c>
    </row>
    <row r="16" spans="1:10">
      <c r="A16" s="12">
        <v>5.5</v>
      </c>
      <c r="B16" s="12">
        <v>0</v>
      </c>
      <c r="C16" s="12">
        <f t="shared" si="0"/>
        <v>0</v>
      </c>
      <c r="D16" s="12">
        <f t="shared" si="1"/>
        <v>0</v>
      </c>
      <c r="E16" s="12">
        <f t="shared" si="2"/>
        <v>0</v>
      </c>
      <c r="F16" s="12">
        <f>E16/Calculation!K$7*1000</f>
        <v>0</v>
      </c>
      <c r="G16" s="12">
        <f t="shared" si="3"/>
        <v>1.1649519845754658E-2</v>
      </c>
      <c r="I16" s="12">
        <v>14</v>
      </c>
      <c r="J16" t="s">
        <v>164</v>
      </c>
    </row>
    <row r="17" spans="1:10">
      <c r="A17" s="12">
        <v>6</v>
      </c>
      <c r="B17" s="12">
        <v>43.56</v>
      </c>
      <c r="C17" s="12">
        <f t="shared" si="0"/>
        <v>4.3560000000000001E-2</v>
      </c>
      <c r="D17" s="12">
        <f t="shared" si="1"/>
        <v>3.040488E-3</v>
      </c>
      <c r="E17" s="12">
        <f t="shared" si="2"/>
        <v>1.3573607142857143E-4</v>
      </c>
      <c r="F17" s="12">
        <f>E17/Calculation!K$8*1000</f>
        <v>1.0796332099343628E-4</v>
      </c>
      <c r="G17" s="12">
        <f t="shared" si="3"/>
        <v>1.3268969660656202E-2</v>
      </c>
      <c r="I17" s="12">
        <v>15.333333333333334</v>
      </c>
      <c r="J17" t="s">
        <v>165</v>
      </c>
    </row>
    <row r="18" spans="1:10">
      <c r="A18" s="12">
        <v>6.5</v>
      </c>
      <c r="B18" s="12">
        <v>0</v>
      </c>
      <c r="C18" s="12">
        <f t="shared" si="0"/>
        <v>0</v>
      </c>
      <c r="D18" s="12">
        <f t="shared" si="1"/>
        <v>0</v>
      </c>
      <c r="E18" s="12">
        <f t="shared" si="2"/>
        <v>0</v>
      </c>
      <c r="F18" s="12">
        <f>E18/Calculation!K$8*1000</f>
        <v>0</v>
      </c>
      <c r="G18" s="12">
        <f t="shared" si="3"/>
        <v>1.4888419475557746E-2</v>
      </c>
      <c r="I18" s="12">
        <v>16.666666666666668</v>
      </c>
      <c r="J18" t="s">
        <v>166</v>
      </c>
    </row>
    <row r="19" spans="1:10">
      <c r="A19" s="12">
        <v>7</v>
      </c>
      <c r="B19" s="12">
        <v>56.15</v>
      </c>
      <c r="C19" s="12">
        <f t="shared" si="0"/>
        <v>5.6149999999999999E-2</v>
      </c>
      <c r="D19" s="12">
        <f t="shared" si="1"/>
        <v>3.9192699999999999E-3</v>
      </c>
      <c r="E19" s="12">
        <f t="shared" si="2"/>
        <v>1.7496741071428571E-4</v>
      </c>
      <c r="F19" s="12">
        <f>E19/Calculation!K$8*1000</f>
        <v>1.3916759581683764E-4</v>
      </c>
      <c r="G19" s="12">
        <f t="shared" si="3"/>
        <v>1.6975933412810312E-2</v>
      </c>
      <c r="I19" s="12">
        <v>18</v>
      </c>
      <c r="J19" t="s">
        <v>167</v>
      </c>
    </row>
    <row r="20" spans="1:10">
      <c r="A20" s="12">
        <v>7.5</v>
      </c>
      <c r="B20" s="12">
        <v>4.84</v>
      </c>
      <c r="C20" s="12">
        <f t="shared" si="0"/>
        <v>4.8399999999999997E-3</v>
      </c>
      <c r="D20" s="12">
        <f t="shared" si="1"/>
        <v>3.3783199999999993E-4</v>
      </c>
      <c r="E20" s="12">
        <f t="shared" si="2"/>
        <v>1.5081785714285712E-5</v>
      </c>
      <c r="F20" s="12">
        <f>E20/Calculation!K$9*1000</f>
        <v>1.2501956111729595E-5</v>
      </c>
      <c r="G20" s="12">
        <f t="shared" si="3"/>
        <v>1.9250976691738822E-2</v>
      </c>
      <c r="I20" s="12">
        <v>24</v>
      </c>
      <c r="J20" t="s">
        <v>168</v>
      </c>
    </row>
    <row r="21" spans="1:10">
      <c r="A21" s="12">
        <v>8</v>
      </c>
      <c r="B21" s="12">
        <v>0</v>
      </c>
      <c r="C21" s="12">
        <f t="shared" si="0"/>
        <v>0</v>
      </c>
      <c r="D21" s="12">
        <f t="shared" si="1"/>
        <v>0</v>
      </c>
      <c r="E21" s="12">
        <f t="shared" si="2"/>
        <v>0</v>
      </c>
      <c r="F21" s="12">
        <f>E21/Calculation!K$9*1000</f>
        <v>0</v>
      </c>
      <c r="G21" s="12">
        <f t="shared" si="3"/>
        <v>1.9438506033414765E-2</v>
      </c>
      <c r="I21" s="12">
        <v>30</v>
      </c>
      <c r="J21" t="s">
        <v>169</v>
      </c>
    </row>
    <row r="22" spans="1:10">
      <c r="A22" s="12">
        <v>8.5</v>
      </c>
      <c r="B22" s="12">
        <v>0.97</v>
      </c>
      <c r="C22" s="12">
        <f t="shared" si="0"/>
        <v>9.6999999999999994E-4</v>
      </c>
      <c r="D22" s="12">
        <f t="shared" si="1"/>
        <v>6.7706000000000005E-5</v>
      </c>
      <c r="E22" s="12">
        <f t="shared" si="2"/>
        <v>3.022589285714286E-6</v>
      </c>
      <c r="F22" s="12">
        <f>E22/Calculation!K$9*1000</f>
        <v>2.5055573199127496E-6</v>
      </c>
      <c r="G22" s="12">
        <f t="shared" si="3"/>
        <v>1.9476089393213457E-2</v>
      </c>
      <c r="I22" s="12">
        <v>48</v>
      </c>
      <c r="J22" t="s">
        <v>170</v>
      </c>
    </row>
    <row r="23" spans="1:10">
      <c r="A23" s="12">
        <v>9</v>
      </c>
      <c r="B23" s="12">
        <v>0</v>
      </c>
      <c r="C23" s="12">
        <f t="shared" si="0"/>
        <v>0</v>
      </c>
      <c r="D23" s="12">
        <f t="shared" si="1"/>
        <v>0</v>
      </c>
      <c r="E23" s="12">
        <f t="shared" si="2"/>
        <v>0</v>
      </c>
      <c r="F23" s="12">
        <f>E23/Calculation!K$10*1000</f>
        <v>0</v>
      </c>
      <c r="G23" s="12">
        <f t="shared" si="3"/>
        <v>1.9513672753012148E-2</v>
      </c>
    </row>
    <row r="24" spans="1:10">
      <c r="A24" s="12">
        <v>9.5</v>
      </c>
      <c r="B24" s="12">
        <v>5.81</v>
      </c>
      <c r="C24" s="12">
        <f t="shared" si="0"/>
        <v>5.8099999999999992E-3</v>
      </c>
      <c r="D24" s="12">
        <f t="shared" si="1"/>
        <v>4.0553799999999994E-4</v>
      </c>
      <c r="E24" s="12">
        <f t="shared" si="2"/>
        <v>1.8104374999999997E-5</v>
      </c>
      <c r="F24" s="12">
        <f>E24/Calculation!K$10*1000</f>
        <v>1.5640360383579067E-5</v>
      </c>
      <c r="G24" s="12">
        <f t="shared" si="3"/>
        <v>1.9748278158765835E-2</v>
      </c>
    </row>
    <row r="25" spans="1:10">
      <c r="A25" s="12">
        <v>10</v>
      </c>
      <c r="B25" s="12">
        <v>1.94</v>
      </c>
      <c r="C25" s="12">
        <f t="shared" si="0"/>
        <v>1.9399999999999999E-3</v>
      </c>
      <c r="D25" s="12">
        <f t="shared" si="1"/>
        <v>1.3541200000000001E-4</v>
      </c>
      <c r="E25" s="12">
        <f t="shared" si="2"/>
        <v>6.045178571428572E-6</v>
      </c>
      <c r="F25" s="12">
        <f>E25/Calculation!K$11*1000</f>
        <v>5.4856633324423344E-6</v>
      </c>
      <c r="G25" s="12">
        <f t="shared" si="3"/>
        <v>2.0065168514506154E-2</v>
      </c>
    </row>
    <row r="26" spans="1:10">
      <c r="A26" s="12">
        <v>10.5</v>
      </c>
      <c r="B26" s="12">
        <v>53.24</v>
      </c>
      <c r="C26" s="12">
        <f t="shared" si="0"/>
        <v>5.3240000000000003E-2</v>
      </c>
      <c r="D26" s="12">
        <f t="shared" si="1"/>
        <v>3.7161520000000003E-3</v>
      </c>
      <c r="E26" s="12">
        <f t="shared" si="2"/>
        <v>1.6589964285714288E-4</v>
      </c>
      <c r="F26" s="12">
        <f>E26/Calculation!K$11*1000</f>
        <v>1.5054469887589166E-4</v>
      </c>
      <c r="G26" s="12">
        <f t="shared" si="3"/>
        <v>2.2405623947631164E-2</v>
      </c>
    </row>
    <row r="27" spans="1:10">
      <c r="A27" s="12">
        <v>11</v>
      </c>
      <c r="B27" s="12">
        <v>38.72</v>
      </c>
      <c r="C27" s="12">
        <f t="shared" si="0"/>
        <v>3.8719999999999997E-2</v>
      </c>
      <c r="D27" s="12">
        <f t="shared" si="1"/>
        <v>2.7026559999999995E-3</v>
      </c>
      <c r="E27" s="12">
        <f t="shared" si="2"/>
        <v>1.206542857142857E-4</v>
      </c>
      <c r="F27" s="12">
        <f>E27/Calculation!K$11*1000</f>
        <v>1.094870537279212E-4</v>
      </c>
      <c r="G27" s="12">
        <f t="shared" si="3"/>
        <v>2.6306100236688355E-2</v>
      </c>
    </row>
    <row r="28" spans="1:10">
      <c r="A28" s="12">
        <v>11.5</v>
      </c>
      <c r="B28" s="12">
        <v>0.97</v>
      </c>
      <c r="C28" s="12">
        <f t="shared" si="0"/>
        <v>9.6999999999999994E-4</v>
      </c>
      <c r="D28" s="12">
        <f t="shared" si="1"/>
        <v>6.7706000000000005E-5</v>
      </c>
      <c r="E28" s="12">
        <f t="shared" si="2"/>
        <v>3.022589285714286E-6</v>
      </c>
      <c r="F28" s="12">
        <f>E28/Calculation!K$12*1000</f>
        <v>2.8740553200460069E-6</v>
      </c>
      <c r="G28" s="12">
        <f t="shared" si="3"/>
        <v>2.7991516872407862E-2</v>
      </c>
    </row>
    <row r="29" spans="1:10">
      <c r="A29" s="12">
        <v>12</v>
      </c>
      <c r="B29" s="12">
        <v>0</v>
      </c>
      <c r="C29" s="12">
        <f t="shared" si="0"/>
        <v>0</v>
      </c>
      <c r="D29" s="12">
        <f t="shared" si="1"/>
        <v>0</v>
      </c>
      <c r="E29" s="12">
        <f t="shared" si="2"/>
        <v>0</v>
      </c>
      <c r="F29" s="12">
        <f>E29/Calculation!K$12*1000</f>
        <v>0</v>
      </c>
      <c r="G29" s="12">
        <f t="shared" si="3"/>
        <v>2.8034627702208551E-2</v>
      </c>
    </row>
    <row r="30" spans="1:10">
      <c r="A30" s="12">
        <v>12.5</v>
      </c>
      <c r="B30" s="12">
        <v>5.81</v>
      </c>
      <c r="C30" s="12">
        <f t="shared" si="0"/>
        <v>5.8099999999999992E-3</v>
      </c>
      <c r="D30" s="12">
        <f t="shared" si="1"/>
        <v>4.0553799999999994E-4</v>
      </c>
      <c r="E30" s="12">
        <f t="shared" si="2"/>
        <v>1.8104374999999997E-5</v>
      </c>
      <c r="F30" s="12">
        <f>E30/Calculation!K$12*1000</f>
        <v>1.7214702483986903E-5</v>
      </c>
      <c r="G30" s="12">
        <f t="shared" si="3"/>
        <v>2.8292848239468354E-2</v>
      </c>
    </row>
    <row r="31" spans="1:10">
      <c r="A31" s="12">
        <v>13</v>
      </c>
      <c r="B31" s="12">
        <v>74.540000000000006</v>
      </c>
      <c r="C31" s="12">
        <f t="shared" si="0"/>
        <v>7.4540000000000009E-2</v>
      </c>
      <c r="D31" s="12">
        <f t="shared" si="1"/>
        <v>5.2028920000000006E-3</v>
      </c>
      <c r="E31" s="12">
        <f t="shared" si="2"/>
        <v>2.3227196428571433E-4</v>
      </c>
      <c r="F31" s="12">
        <f>E31/Calculation!K$13*1000</f>
        <v>2.3052571869693343E-4</v>
      </c>
      <c r="G31" s="12">
        <f t="shared" si="3"/>
        <v>3.2008954557182161E-2</v>
      </c>
    </row>
    <row r="32" spans="1:10">
      <c r="A32" s="12">
        <v>13.5</v>
      </c>
      <c r="B32" s="12">
        <v>0</v>
      </c>
      <c r="C32" s="12">
        <f t="shared" si="0"/>
        <v>0</v>
      </c>
      <c r="D32" s="12">
        <f t="shared" si="1"/>
        <v>0</v>
      </c>
      <c r="E32" s="12">
        <f t="shared" si="2"/>
        <v>0</v>
      </c>
      <c r="F32" s="12">
        <f>E32/Calculation!K$13*1000</f>
        <v>0</v>
      </c>
      <c r="G32" s="12">
        <f t="shared" si="3"/>
        <v>3.5466840337636162E-2</v>
      </c>
    </row>
    <row r="33" spans="1:7">
      <c r="A33" s="12">
        <v>14</v>
      </c>
      <c r="B33" s="12">
        <v>69.7</v>
      </c>
      <c r="C33" s="12">
        <f t="shared" si="0"/>
        <v>6.9699999999999998E-2</v>
      </c>
      <c r="D33" s="12">
        <f t="shared" si="1"/>
        <v>4.86506E-3</v>
      </c>
      <c r="E33" s="12">
        <f t="shared" si="2"/>
        <v>2.1719017857142859E-4</v>
      </c>
      <c r="F33" s="12">
        <f>E33/Calculation!K$14*1000</f>
        <v>2.2538516078157307E-4</v>
      </c>
      <c r="G33" s="12">
        <f t="shared" si="3"/>
        <v>3.8847617749359756E-2</v>
      </c>
    </row>
    <row r="34" spans="1:7">
      <c r="A34" s="12">
        <v>14.5</v>
      </c>
      <c r="B34" s="12">
        <v>5.81</v>
      </c>
      <c r="C34" s="12">
        <f t="shared" si="0"/>
        <v>5.8099999999999992E-3</v>
      </c>
      <c r="D34" s="12">
        <f t="shared" si="1"/>
        <v>4.0553799999999994E-4</v>
      </c>
      <c r="E34" s="12">
        <f t="shared" si="2"/>
        <v>1.8104374999999997E-5</v>
      </c>
      <c r="F34" s="12">
        <f>E34/Calculation!K$14*1000</f>
        <v>1.8787486142624666E-5</v>
      </c>
      <c r="G34" s="12">
        <f t="shared" si="3"/>
        <v>4.2510207453222724E-2</v>
      </c>
    </row>
    <row r="35" spans="1:7">
      <c r="A35" s="12">
        <v>15</v>
      </c>
      <c r="B35" s="12">
        <v>2.9</v>
      </c>
      <c r="C35" s="12">
        <f t="shared" si="0"/>
        <v>2.8999999999999998E-3</v>
      </c>
      <c r="D35" s="12">
        <f t="shared" si="1"/>
        <v>2.0241999999999998E-4</v>
      </c>
      <c r="E35" s="12">
        <f t="shared" si="2"/>
        <v>9.036607142857143E-6</v>
      </c>
      <c r="F35" s="12">
        <f>E35/Calculation!K$14*1000</f>
        <v>9.3775748388315918E-6</v>
      </c>
      <c r="G35" s="12">
        <f t="shared" si="3"/>
        <v>4.293268336794457E-2</v>
      </c>
    </row>
    <row r="36" spans="1:7">
      <c r="A36" s="12">
        <v>15.5</v>
      </c>
      <c r="B36" s="12">
        <v>23.23</v>
      </c>
      <c r="C36" s="12">
        <f t="shared" si="0"/>
        <v>2.3230000000000001E-2</v>
      </c>
      <c r="D36" s="12">
        <f t="shared" si="1"/>
        <v>1.6214539999999998E-3</v>
      </c>
      <c r="E36" s="12">
        <f t="shared" si="2"/>
        <v>7.2386339285714278E-5</v>
      </c>
      <c r="F36" s="12">
        <f>E36/Calculation!K$15*1000</f>
        <v>7.928191047386121E-5</v>
      </c>
      <c r="G36" s="12">
        <f t="shared" si="3"/>
        <v>4.4262575647634965E-2</v>
      </c>
    </row>
    <row r="37" spans="1:7">
      <c r="A37" s="12">
        <v>16</v>
      </c>
      <c r="B37" s="12">
        <v>2.9</v>
      </c>
      <c r="C37" s="12">
        <f t="shared" si="0"/>
        <v>2.8999999999999998E-3</v>
      </c>
      <c r="D37" s="12">
        <f t="shared" si="1"/>
        <v>2.0241999999999998E-4</v>
      </c>
      <c r="E37" s="12">
        <f t="shared" si="2"/>
        <v>9.036607142857143E-6</v>
      </c>
      <c r="F37" s="12">
        <f>E37/Calculation!K$15*1000</f>
        <v>9.8974403949288649E-6</v>
      </c>
      <c r="G37" s="12">
        <f t="shared" si="3"/>
        <v>4.5600265910666814E-2</v>
      </c>
    </row>
    <row r="38" spans="1:7">
      <c r="A38" s="12">
        <v>16.5</v>
      </c>
      <c r="B38" s="12">
        <v>0</v>
      </c>
      <c r="C38" s="12">
        <f t="shared" si="0"/>
        <v>0</v>
      </c>
      <c r="D38" s="12">
        <f t="shared" si="1"/>
        <v>0</v>
      </c>
      <c r="E38" s="12">
        <f t="shared" si="2"/>
        <v>0</v>
      </c>
      <c r="F38" s="12">
        <f>E38/Calculation!K$15*1000</f>
        <v>0</v>
      </c>
      <c r="G38" s="12">
        <f t="shared" si="3"/>
        <v>4.5748727516590745E-2</v>
      </c>
    </row>
    <row r="39" spans="1:7">
      <c r="A39" s="12">
        <v>17</v>
      </c>
      <c r="B39" s="12">
        <v>0.97</v>
      </c>
      <c r="C39" s="12">
        <f t="shared" si="0"/>
        <v>9.6999999999999994E-4</v>
      </c>
      <c r="D39" s="12">
        <f t="shared" si="1"/>
        <v>6.7706000000000005E-5</v>
      </c>
      <c r="E39" s="12">
        <f t="shared" si="2"/>
        <v>3.022589285714286E-6</v>
      </c>
      <c r="F39" s="12">
        <f>E39/Calculation!K$16*1000</f>
        <v>3.5125211903031597E-6</v>
      </c>
      <c r="G39" s="12">
        <f t="shared" si="3"/>
        <v>4.5801415334445296E-2</v>
      </c>
    </row>
    <row r="40" spans="1:7">
      <c r="A40" s="12">
        <v>17.5</v>
      </c>
      <c r="B40" s="12">
        <v>30.98</v>
      </c>
      <c r="C40" s="12">
        <f t="shared" si="0"/>
        <v>3.0980000000000001E-2</v>
      </c>
      <c r="D40" s="12">
        <f t="shared" si="1"/>
        <v>2.1624039999999997E-3</v>
      </c>
      <c r="E40" s="12">
        <f t="shared" si="2"/>
        <v>9.6535892857142844E-5</v>
      </c>
      <c r="F40" s="12">
        <f>E40/Calculation!K$16*1000</f>
        <v>1.1218340873772356E-4</v>
      </c>
      <c r="G40" s="12">
        <f t="shared" si="3"/>
        <v>4.7536854283365695E-2</v>
      </c>
    </row>
    <row r="41" spans="1:7">
      <c r="A41" s="12">
        <v>18</v>
      </c>
      <c r="B41" s="12">
        <v>2.9</v>
      </c>
      <c r="C41" s="12">
        <f t="shared" si="0"/>
        <v>2.8999999999999998E-3</v>
      </c>
      <c r="D41" s="12">
        <f t="shared" si="1"/>
        <v>2.0241999999999998E-4</v>
      </c>
      <c r="E41" s="12">
        <f t="shared" si="2"/>
        <v>9.036607142857143E-6</v>
      </c>
      <c r="F41" s="12">
        <f>E41/Calculation!K$17*1000</f>
        <v>1.1116861878993068E-5</v>
      </c>
      <c r="G41" s="12">
        <f t="shared" si="3"/>
        <v>4.9386358342616447E-2</v>
      </c>
    </row>
    <row r="42" spans="1:7">
      <c r="A42" s="12">
        <v>18.5</v>
      </c>
      <c r="B42" s="12">
        <v>4.84</v>
      </c>
      <c r="C42" s="12">
        <f t="shared" si="0"/>
        <v>4.8399999999999997E-3</v>
      </c>
      <c r="D42" s="12">
        <f t="shared" si="1"/>
        <v>3.3783199999999993E-4</v>
      </c>
      <c r="E42" s="12">
        <f t="shared" si="2"/>
        <v>1.5081785714285712E-5</v>
      </c>
      <c r="F42" s="12">
        <f>E42/Calculation!K$17*1000</f>
        <v>1.8553659135974636E-5</v>
      </c>
      <c r="G42" s="12">
        <f t="shared" si="3"/>
        <v>4.9831416157840966E-2</v>
      </c>
    </row>
    <row r="43" spans="1:7">
      <c r="A43" s="12">
        <v>19</v>
      </c>
      <c r="B43" s="12">
        <v>6.78</v>
      </c>
      <c r="C43" s="12">
        <f t="shared" si="0"/>
        <v>6.7800000000000004E-3</v>
      </c>
      <c r="D43" s="12">
        <f t="shared" si="1"/>
        <v>4.73244E-4</v>
      </c>
      <c r="E43" s="12">
        <f t="shared" si="2"/>
        <v>2.1126964285714287E-5</v>
      </c>
      <c r="F43" s="12">
        <f>E43/Calculation!K$17*1000</f>
        <v>2.5990456392956207E-5</v>
      </c>
      <c r="G43" s="12">
        <f t="shared" si="3"/>
        <v>5.049957789077493E-2</v>
      </c>
    </row>
    <row r="44" spans="1:7">
      <c r="A44" s="12">
        <v>19.5</v>
      </c>
      <c r="B44" s="12">
        <v>30.98</v>
      </c>
      <c r="C44" s="12">
        <f t="shared" si="0"/>
        <v>3.0980000000000001E-2</v>
      </c>
      <c r="D44" s="12">
        <f t="shared" si="1"/>
        <v>2.1624039999999997E-3</v>
      </c>
      <c r="E44" s="12">
        <f t="shared" si="2"/>
        <v>9.6535892857142844E-5</v>
      </c>
      <c r="F44" s="12">
        <f>E44/Calculation!K$17*1000</f>
        <v>1.1875875207282938E-4</v>
      </c>
      <c r="G44" s="12">
        <f t="shared" si="3"/>
        <v>5.2670816017761711E-2</v>
      </c>
    </row>
    <row r="45" spans="1:7">
      <c r="A45" s="12">
        <v>20</v>
      </c>
      <c r="B45" s="12">
        <v>2.9</v>
      </c>
      <c r="C45" s="12">
        <f t="shared" si="0"/>
        <v>2.8999999999999998E-3</v>
      </c>
      <c r="D45" s="12">
        <f t="shared" si="1"/>
        <v>2.0241999999999998E-4</v>
      </c>
      <c r="E45" s="12">
        <f t="shared" si="2"/>
        <v>9.036607142857143E-6</v>
      </c>
      <c r="F45" s="12">
        <f>E45/Calculation!K$17*1000</f>
        <v>1.1116861878993068E-5</v>
      </c>
      <c r="G45" s="12">
        <f t="shared" si="3"/>
        <v>5.4618950227039047E-2</v>
      </c>
    </row>
    <row r="46" spans="1:7">
      <c r="A46" s="12">
        <v>20.5</v>
      </c>
      <c r="B46" s="12">
        <v>0</v>
      </c>
      <c r="C46" s="12">
        <f t="shared" si="0"/>
        <v>0</v>
      </c>
      <c r="D46" s="12">
        <f t="shared" si="1"/>
        <v>0</v>
      </c>
      <c r="E46" s="12">
        <f t="shared" si="2"/>
        <v>0</v>
      </c>
      <c r="F46" s="12">
        <f>E46/Calculation!K$17*1000</f>
        <v>0</v>
      </c>
      <c r="G46" s="12">
        <f t="shared" si="3"/>
        <v>5.4785703155223943E-2</v>
      </c>
    </row>
    <row r="47" spans="1:7">
      <c r="A47" s="12">
        <v>21</v>
      </c>
      <c r="B47" s="12">
        <v>0</v>
      </c>
      <c r="C47" s="12">
        <f t="shared" si="0"/>
        <v>0</v>
      </c>
      <c r="D47" s="12">
        <f t="shared" si="1"/>
        <v>0</v>
      </c>
      <c r="E47" s="12">
        <f t="shared" si="2"/>
        <v>0</v>
      </c>
      <c r="F47" s="12">
        <f>E47/Calculation!K$17*1000</f>
        <v>0</v>
      </c>
      <c r="G47" s="12">
        <f t="shared" si="3"/>
        <v>5.4785703155223943E-2</v>
      </c>
    </row>
    <row r="48" spans="1:7">
      <c r="A48" s="12">
        <v>21.5</v>
      </c>
      <c r="B48" s="12">
        <v>60.99</v>
      </c>
      <c r="C48" s="12">
        <f t="shared" si="0"/>
        <v>6.0990000000000003E-2</v>
      </c>
      <c r="D48" s="12">
        <f t="shared" si="1"/>
        <v>4.2571020000000005E-3</v>
      </c>
      <c r="E48" s="12">
        <f t="shared" si="2"/>
        <v>1.9004919642857146E-4</v>
      </c>
      <c r="F48" s="12">
        <f>E48/Calculation!K$17*1000</f>
        <v>2.33799105517168E-4</v>
      </c>
      <c r="G48" s="12">
        <f t="shared" si="3"/>
        <v>5.8292689737981462E-2</v>
      </c>
    </row>
    <row r="49" spans="1:7">
      <c r="A49" s="12">
        <v>22</v>
      </c>
      <c r="B49" s="12">
        <v>5.81</v>
      </c>
      <c r="C49" s="12">
        <f t="shared" si="0"/>
        <v>5.8099999999999992E-3</v>
      </c>
      <c r="D49" s="12">
        <f t="shared" si="1"/>
        <v>4.0553799999999994E-4</v>
      </c>
      <c r="E49" s="12">
        <f t="shared" si="2"/>
        <v>1.8104374999999997E-5</v>
      </c>
      <c r="F49" s="12">
        <f>E49/Calculation!K$17*1000</f>
        <v>2.2272057764465418E-5</v>
      </c>
      <c r="G49" s="12">
        <f t="shared" si="3"/>
        <v>6.2133757187205964E-2</v>
      </c>
    </row>
    <row r="50" spans="1:7">
      <c r="A50" s="12">
        <v>22.5</v>
      </c>
      <c r="B50" s="12">
        <v>30.01</v>
      </c>
      <c r="C50" s="12">
        <f t="shared" si="0"/>
        <v>3.0010000000000002E-2</v>
      </c>
      <c r="D50" s="12">
        <f t="shared" si="1"/>
        <v>2.0946979999999999E-3</v>
      </c>
      <c r="E50" s="12">
        <f t="shared" si="2"/>
        <v>9.3513303571428572E-5</v>
      </c>
      <c r="F50" s="12">
        <f>E50/Calculation!K$17*1000</f>
        <v>1.150403534443386E-4</v>
      </c>
      <c r="G50" s="12">
        <f t="shared" si="3"/>
        <v>6.4193443355338026E-2</v>
      </c>
    </row>
    <row r="51" spans="1:7">
      <c r="A51" s="12">
        <v>23</v>
      </c>
      <c r="B51" s="12">
        <v>21.3</v>
      </c>
      <c r="C51" s="12">
        <f t="shared" si="0"/>
        <v>2.1299999999999999E-2</v>
      </c>
      <c r="D51" s="12">
        <f t="shared" si="1"/>
        <v>1.4867399999999998E-3</v>
      </c>
      <c r="E51" s="12">
        <f t="shared" si="2"/>
        <v>6.637232142857143E-5</v>
      </c>
      <c r="F51" s="12">
        <f>E51/Calculation!K$17*1000</f>
        <v>8.1651433800880113E-5</v>
      </c>
      <c r="G51" s="12">
        <f t="shared" si="3"/>
        <v>6.7143820164016307E-2</v>
      </c>
    </row>
    <row r="52" spans="1:7">
      <c r="A52" s="12">
        <v>23.5</v>
      </c>
      <c r="B52" s="12">
        <v>0.97</v>
      </c>
      <c r="C52" s="12">
        <f t="shared" si="0"/>
        <v>9.6999999999999994E-4</v>
      </c>
      <c r="D52" s="12">
        <f t="shared" si="1"/>
        <v>6.7706000000000005E-5</v>
      </c>
      <c r="E52" s="12">
        <f t="shared" si="2"/>
        <v>3.022589285714286E-6</v>
      </c>
      <c r="F52" s="12">
        <f>E52/Calculation!K$17*1000</f>
        <v>3.7183986284907848E-6</v>
      </c>
      <c r="G52" s="12">
        <f t="shared" si="3"/>
        <v>6.8424367650456869E-2</v>
      </c>
    </row>
    <row r="53" spans="1:7">
      <c r="A53" s="12">
        <v>24</v>
      </c>
      <c r="B53" s="12">
        <v>4.84</v>
      </c>
      <c r="C53" s="12">
        <f t="shared" si="0"/>
        <v>4.8399999999999997E-3</v>
      </c>
      <c r="D53" s="12">
        <f t="shared" si="1"/>
        <v>3.3783199999999993E-4</v>
      </c>
      <c r="E53" s="12">
        <f t="shared" si="2"/>
        <v>1.5081785714285712E-5</v>
      </c>
      <c r="F53" s="12">
        <f>E53/Calculation!K$18*1000</f>
        <v>1.9633998781866827E-5</v>
      </c>
      <c r="G53" s="12">
        <f t="shared" si="3"/>
        <v>6.8774653611612238E-2</v>
      </c>
    </row>
    <row r="54" spans="1:7">
      <c r="A54" s="12">
        <v>24.5</v>
      </c>
      <c r="B54" s="12">
        <v>1.94</v>
      </c>
      <c r="C54" s="12">
        <f t="shared" si="0"/>
        <v>1.9399999999999999E-3</v>
      </c>
      <c r="D54" s="12">
        <f t="shared" si="1"/>
        <v>1.3541200000000001E-4</v>
      </c>
      <c r="E54" s="12">
        <f t="shared" si="2"/>
        <v>6.045178571428572E-6</v>
      </c>
      <c r="F54" s="12">
        <f>E54/Calculation!K$18*1000</f>
        <v>7.869825958021003E-6</v>
      </c>
      <c r="G54" s="12">
        <f t="shared" si="3"/>
        <v>6.9187210982710551E-2</v>
      </c>
    </row>
    <row r="55" spans="1:7">
      <c r="A55" s="12">
        <v>25</v>
      </c>
      <c r="B55" s="12">
        <v>0</v>
      </c>
      <c r="C55" s="12">
        <f t="shared" si="0"/>
        <v>0</v>
      </c>
      <c r="D55" s="12">
        <f t="shared" si="1"/>
        <v>0</v>
      </c>
      <c r="E55" s="12">
        <f t="shared" si="2"/>
        <v>0</v>
      </c>
      <c r="F55" s="12">
        <f>E55/Calculation!K$18*1000</f>
        <v>0</v>
      </c>
      <c r="G55" s="12">
        <f t="shared" si="3"/>
        <v>6.9305258372080861E-2</v>
      </c>
    </row>
    <row r="56" spans="1:7">
      <c r="A56" s="12">
        <v>25.5</v>
      </c>
      <c r="B56" s="12">
        <v>0</v>
      </c>
      <c r="C56" s="12">
        <f t="shared" si="0"/>
        <v>0</v>
      </c>
      <c r="D56" s="12">
        <f t="shared" si="1"/>
        <v>0</v>
      </c>
      <c r="E56" s="12">
        <f t="shared" si="2"/>
        <v>0</v>
      </c>
      <c r="F56" s="12">
        <f>E56/Calculation!K$18*1000</f>
        <v>0</v>
      </c>
      <c r="G56" s="12">
        <f t="shared" si="3"/>
        <v>6.9305258372080861E-2</v>
      </c>
    </row>
    <row r="57" spans="1:7">
      <c r="A57" s="12">
        <v>26</v>
      </c>
      <c r="B57" s="12">
        <v>0</v>
      </c>
      <c r="C57" s="12">
        <f t="shared" si="0"/>
        <v>0</v>
      </c>
      <c r="D57" s="12">
        <f t="shared" si="1"/>
        <v>0</v>
      </c>
      <c r="E57" s="12">
        <f t="shared" si="2"/>
        <v>0</v>
      </c>
      <c r="F57" s="12">
        <f>E57/Calculation!K$18*1000</f>
        <v>0</v>
      </c>
      <c r="G57" s="12">
        <f t="shared" si="3"/>
        <v>6.9305258372080861E-2</v>
      </c>
    </row>
    <row r="58" spans="1:7">
      <c r="A58" s="12">
        <v>26.5</v>
      </c>
      <c r="B58" s="12">
        <v>2.9</v>
      </c>
      <c r="C58" s="12">
        <f t="shared" si="0"/>
        <v>2.8999999999999998E-3</v>
      </c>
      <c r="D58" s="12">
        <f t="shared" si="1"/>
        <v>2.0241999999999998E-4</v>
      </c>
      <c r="E58" s="12">
        <f t="shared" si="2"/>
        <v>9.036607142857143E-6</v>
      </c>
      <c r="F58" s="12">
        <f>E58/Calculation!K$18*1000</f>
        <v>1.1764172823845829E-5</v>
      </c>
      <c r="G58" s="12">
        <f t="shared" si="3"/>
        <v>6.9481720964438554E-2</v>
      </c>
    </row>
    <row r="59" spans="1:7">
      <c r="A59" s="12">
        <v>27</v>
      </c>
      <c r="B59" s="12">
        <v>3.87</v>
      </c>
      <c r="C59" s="12">
        <f t="shared" si="0"/>
        <v>3.8700000000000002E-3</v>
      </c>
      <c r="D59" s="12">
        <f t="shared" si="1"/>
        <v>2.7012599999999998E-4</v>
      </c>
      <c r="E59" s="12">
        <f t="shared" si="2"/>
        <v>1.2059196428571428E-5</v>
      </c>
      <c r="F59" s="12">
        <f>E59/Calculation!K$18*1000</f>
        <v>1.5699085802856329E-5</v>
      </c>
      <c r="G59" s="12">
        <f t="shared" si="3"/>
        <v>6.9893669843839087E-2</v>
      </c>
    </row>
    <row r="60" spans="1:7">
      <c r="A60" s="12">
        <v>27.5</v>
      </c>
      <c r="B60" s="12">
        <v>1.94</v>
      </c>
      <c r="C60" s="12">
        <f t="shared" si="0"/>
        <v>1.9399999999999999E-3</v>
      </c>
      <c r="D60" s="12">
        <f t="shared" si="1"/>
        <v>1.3541200000000001E-4</v>
      </c>
      <c r="E60" s="12">
        <f t="shared" si="2"/>
        <v>6.045178571428572E-6</v>
      </c>
      <c r="F60" s="12">
        <f>E60/Calculation!K$18*1000</f>
        <v>7.869825958021003E-6</v>
      </c>
      <c r="G60" s="12">
        <f t="shared" si="3"/>
        <v>7.0247203520252252E-2</v>
      </c>
    </row>
    <row r="61" spans="1:7">
      <c r="A61" s="12">
        <v>28</v>
      </c>
      <c r="B61" s="12">
        <v>7.74</v>
      </c>
      <c r="C61" s="12">
        <f t="shared" si="0"/>
        <v>7.7400000000000004E-3</v>
      </c>
      <c r="D61" s="12">
        <f t="shared" si="1"/>
        <v>5.4025199999999996E-4</v>
      </c>
      <c r="E61" s="12">
        <f t="shared" si="2"/>
        <v>2.4118392857142855E-5</v>
      </c>
      <c r="F61" s="12">
        <f>E61/Calculation!K$18*1000</f>
        <v>3.1398171605712659E-5</v>
      </c>
      <c r="G61" s="12">
        <f t="shared" si="3"/>
        <v>7.0836223483708258E-2</v>
      </c>
    </row>
    <row r="62" spans="1:7">
      <c r="A62" s="12">
        <v>28.5</v>
      </c>
      <c r="B62" s="12">
        <v>26.14</v>
      </c>
      <c r="C62" s="12">
        <f t="shared" si="0"/>
        <v>2.614E-2</v>
      </c>
      <c r="D62" s="12">
        <f t="shared" si="1"/>
        <v>1.824572E-3</v>
      </c>
      <c r="E62" s="12">
        <f t="shared" si="2"/>
        <v>8.1454107142857151E-5</v>
      </c>
      <c r="F62" s="12">
        <f>E62/Calculation!K$18*1000</f>
        <v>1.0603981986735516E-4</v>
      </c>
      <c r="G62" s="12">
        <f t="shared" si="3"/>
        <v>7.2897793355804277E-2</v>
      </c>
    </row>
    <row r="63" spans="1:7">
      <c r="A63" s="12">
        <v>29</v>
      </c>
      <c r="B63" s="12">
        <v>0</v>
      </c>
      <c r="C63" s="12">
        <f t="shared" si="0"/>
        <v>0</v>
      </c>
      <c r="D63" s="12">
        <f t="shared" si="1"/>
        <v>0</v>
      </c>
      <c r="E63" s="12">
        <f t="shared" si="2"/>
        <v>0</v>
      </c>
      <c r="F63" s="12">
        <f>E63/Calculation!K$18*1000</f>
        <v>0</v>
      </c>
      <c r="G63" s="12">
        <f t="shared" si="3"/>
        <v>7.4488390653814601E-2</v>
      </c>
    </row>
    <row r="64" spans="1:7">
      <c r="A64" s="12">
        <v>29.5</v>
      </c>
      <c r="B64" s="12">
        <v>5.81</v>
      </c>
      <c r="C64" s="12">
        <f t="shared" si="0"/>
        <v>5.8099999999999992E-3</v>
      </c>
      <c r="D64" s="12">
        <f t="shared" si="1"/>
        <v>4.0553799999999994E-4</v>
      </c>
      <c r="E64" s="12">
        <f t="shared" si="2"/>
        <v>1.8104374999999997E-5</v>
      </c>
      <c r="F64" s="12">
        <f>E64/Calculation!K$18*1000</f>
        <v>2.3568911760877327E-5</v>
      </c>
      <c r="G64" s="12">
        <f t="shared" si="3"/>
        <v>7.4841924330227766E-2</v>
      </c>
    </row>
    <row r="65" spans="1:7">
      <c r="A65" s="12">
        <v>30</v>
      </c>
      <c r="B65" s="12">
        <v>1.94</v>
      </c>
      <c r="C65" s="12">
        <f t="shared" si="0"/>
        <v>1.9399999999999999E-3</v>
      </c>
      <c r="D65" s="12">
        <f t="shared" si="1"/>
        <v>1.3541200000000001E-4</v>
      </c>
      <c r="E65" s="12">
        <f t="shared" si="2"/>
        <v>6.045178571428572E-6</v>
      </c>
      <c r="F65" s="12">
        <f>E65/Calculation!K$19*1000</f>
        <v>8.4587244990974046E-6</v>
      </c>
      <c r="G65" s="12">
        <f t="shared" si="3"/>
        <v>7.5322338874127384E-2</v>
      </c>
    </row>
    <row r="66" spans="1:7">
      <c r="A66" s="12">
        <v>30.5</v>
      </c>
      <c r="B66" s="12">
        <v>19.36</v>
      </c>
      <c r="C66" s="12">
        <f t="shared" si="0"/>
        <v>1.9359999999999999E-2</v>
      </c>
      <c r="D66" s="12">
        <f t="shared" si="1"/>
        <v>1.3513279999999997E-3</v>
      </c>
      <c r="E66" s="12">
        <f t="shared" si="2"/>
        <v>6.032714285714285E-5</v>
      </c>
      <c r="F66" s="12">
        <f>E66/Calculation!K$19*1000</f>
        <v>8.4412838300270988E-5</v>
      </c>
      <c r="G66" s="12">
        <f t="shared" si="3"/>
        <v>7.6715412316117906E-2</v>
      </c>
    </row>
    <row r="67" spans="1:7">
      <c r="A67" s="12">
        <v>31</v>
      </c>
      <c r="B67" s="12">
        <v>0</v>
      </c>
      <c r="C67" s="12">
        <f t="shared" si="0"/>
        <v>0</v>
      </c>
      <c r="D67" s="12">
        <f t="shared" si="1"/>
        <v>0</v>
      </c>
      <c r="E67" s="12">
        <f t="shared" si="2"/>
        <v>0</v>
      </c>
      <c r="F67" s="12">
        <f>E67/Calculation!K$19*1000</f>
        <v>0</v>
      </c>
      <c r="G67" s="12">
        <f t="shared" si="3"/>
        <v>7.7981604890621975E-2</v>
      </c>
    </row>
    <row r="68" spans="1:7">
      <c r="A68" s="12">
        <v>31.5</v>
      </c>
      <c r="B68" s="12">
        <v>9.68</v>
      </c>
      <c r="C68" s="12">
        <f t="shared" si="0"/>
        <v>9.6799999999999994E-3</v>
      </c>
      <c r="D68" s="12">
        <f t="shared" si="1"/>
        <v>6.7566399999999987E-4</v>
      </c>
      <c r="E68" s="12">
        <f t="shared" si="2"/>
        <v>3.0163571428571425E-5</v>
      </c>
      <c r="F68" s="12">
        <f>E68/Calculation!K$19*1000</f>
        <v>4.2206419150135494E-5</v>
      </c>
      <c r="G68" s="12">
        <f t="shared" si="3"/>
        <v>7.8614701177874002E-2</v>
      </c>
    </row>
    <row r="69" spans="1:7">
      <c r="A69" s="12">
        <v>32</v>
      </c>
      <c r="B69" s="12">
        <v>12.58</v>
      </c>
      <c r="C69" s="12">
        <f t="shared" si="0"/>
        <v>1.2580000000000001E-2</v>
      </c>
      <c r="D69" s="12">
        <f t="shared" si="1"/>
        <v>8.7808400000000011E-4</v>
      </c>
      <c r="E69" s="12">
        <f t="shared" si="2"/>
        <v>3.9200178571428576E-5</v>
      </c>
      <c r="F69" s="12">
        <f>E69/Calculation!K$19*1000</f>
        <v>5.4850904226105855E-5</v>
      </c>
      <c r="G69" s="12">
        <f t="shared" si="3"/>
        <v>8.0070561028517617E-2</v>
      </c>
    </row>
    <row r="70" spans="1:7">
      <c r="A70" s="12">
        <v>32.5</v>
      </c>
      <c r="B70" s="12">
        <v>5.81</v>
      </c>
      <c r="C70" s="12">
        <f t="shared" ref="C70:C101" si="4">B70/1000</f>
        <v>5.8099999999999992E-3</v>
      </c>
      <c r="D70" s="12">
        <f t="shared" ref="D70:D101" si="5">C70/1000*$B$1</f>
        <v>4.0553799999999994E-4</v>
      </c>
      <c r="E70" s="12">
        <f t="shared" ref="E70:E101" si="6">D70/22.4</f>
        <v>1.8104374999999997E-5</v>
      </c>
      <c r="F70" s="12">
        <f>E70/Calculation!K$19*1000</f>
        <v>2.5332571824616447E-5</v>
      </c>
      <c r="G70" s="12">
        <f t="shared" si="3"/>
        <v>8.1273313169278452E-2</v>
      </c>
    </row>
    <row r="71" spans="1:7">
      <c r="A71" s="12">
        <v>33</v>
      </c>
      <c r="B71" s="12">
        <v>0.97</v>
      </c>
      <c r="C71" s="12">
        <f t="shared" si="4"/>
        <v>9.6999999999999994E-4</v>
      </c>
      <c r="D71" s="12">
        <f t="shared" si="5"/>
        <v>6.7706000000000005E-5</v>
      </c>
      <c r="E71" s="12">
        <f t="shared" si="6"/>
        <v>3.022589285714286E-6</v>
      </c>
      <c r="F71" s="12">
        <f>E71/Calculation!K$19*1000</f>
        <v>4.2293622495487023E-6</v>
      </c>
      <c r="G71" s="12">
        <f t="shared" ref="G71:G101" si="7">G70+(F71+F70)/2*30</f>
        <v>8.1716742180390933E-2</v>
      </c>
    </row>
    <row r="72" spans="1:7">
      <c r="A72" s="12">
        <v>33.5</v>
      </c>
      <c r="B72" s="12">
        <v>0.97</v>
      </c>
      <c r="C72" s="12">
        <f t="shared" si="4"/>
        <v>9.6999999999999994E-4</v>
      </c>
      <c r="D72" s="12">
        <f t="shared" si="5"/>
        <v>6.7706000000000005E-5</v>
      </c>
      <c r="E72" s="12">
        <f t="shared" si="6"/>
        <v>3.022589285714286E-6</v>
      </c>
      <c r="F72" s="12">
        <f>E72/Calculation!K$19*1000</f>
        <v>4.2293622495487023E-6</v>
      </c>
      <c r="G72" s="12">
        <f t="shared" si="7"/>
        <v>8.1843623047877401E-2</v>
      </c>
    </row>
    <row r="73" spans="1:7">
      <c r="A73" s="12">
        <v>34</v>
      </c>
      <c r="B73" s="12">
        <v>0.97</v>
      </c>
      <c r="C73" s="12">
        <f t="shared" si="4"/>
        <v>9.6999999999999994E-4</v>
      </c>
      <c r="D73" s="12">
        <f t="shared" si="5"/>
        <v>6.7706000000000005E-5</v>
      </c>
      <c r="E73" s="12">
        <f t="shared" si="6"/>
        <v>3.022589285714286E-6</v>
      </c>
      <c r="F73" s="12">
        <f>E73/Calculation!K$19*1000</f>
        <v>4.2293622495487023E-6</v>
      </c>
      <c r="G73" s="12">
        <f t="shared" si="7"/>
        <v>8.1970503915363868E-2</v>
      </c>
    </row>
    <row r="74" spans="1:7">
      <c r="A74" s="12">
        <v>34.5</v>
      </c>
      <c r="B74" s="12">
        <v>0.97</v>
      </c>
      <c r="C74" s="12">
        <f t="shared" si="4"/>
        <v>9.6999999999999994E-4</v>
      </c>
      <c r="D74" s="12">
        <f t="shared" si="5"/>
        <v>6.7706000000000005E-5</v>
      </c>
      <c r="E74" s="12">
        <f t="shared" si="6"/>
        <v>3.022589285714286E-6</v>
      </c>
      <c r="F74" s="12">
        <f>E74/Calculation!K$19*1000</f>
        <v>4.2293622495487023E-6</v>
      </c>
      <c r="G74" s="12">
        <f t="shared" si="7"/>
        <v>8.2097384782850336E-2</v>
      </c>
    </row>
    <row r="75" spans="1:7">
      <c r="A75" s="12">
        <v>35</v>
      </c>
      <c r="B75" s="12">
        <v>13.55</v>
      </c>
      <c r="C75" s="12">
        <f t="shared" si="4"/>
        <v>1.3550000000000001E-2</v>
      </c>
      <c r="D75" s="12">
        <f t="shared" si="5"/>
        <v>9.4579000000000006E-4</v>
      </c>
      <c r="E75" s="12">
        <f t="shared" si="6"/>
        <v>4.2222767857142863E-5</v>
      </c>
      <c r="F75" s="12">
        <f>E75/Calculation!K$19*1000</f>
        <v>5.9080266475654554E-5</v>
      </c>
      <c r="G75" s="12">
        <f t="shared" si="7"/>
        <v>8.3047029213728391E-2</v>
      </c>
    </row>
    <row r="76" spans="1:7">
      <c r="A76" s="12">
        <v>35.5</v>
      </c>
      <c r="B76" s="12">
        <v>14.52</v>
      </c>
      <c r="C76" s="12">
        <f t="shared" si="4"/>
        <v>1.452E-2</v>
      </c>
      <c r="D76" s="12">
        <f t="shared" si="5"/>
        <v>1.013496E-3</v>
      </c>
      <c r="E76" s="12">
        <f t="shared" si="6"/>
        <v>4.5245357142857149E-5</v>
      </c>
      <c r="F76" s="12">
        <f>E76/Calculation!K$19*1000</f>
        <v>6.3309628725203261E-5</v>
      </c>
      <c r="G76" s="12">
        <f t="shared" si="7"/>
        <v>8.4882877641741253E-2</v>
      </c>
    </row>
    <row r="77" spans="1:7">
      <c r="A77" s="12">
        <v>36</v>
      </c>
      <c r="B77" s="12">
        <v>0.97</v>
      </c>
      <c r="C77" s="12">
        <f t="shared" si="4"/>
        <v>9.6999999999999994E-4</v>
      </c>
      <c r="D77" s="12">
        <f t="shared" si="5"/>
        <v>6.7706000000000005E-5</v>
      </c>
      <c r="E77" s="12">
        <f t="shared" si="6"/>
        <v>3.022589285714286E-6</v>
      </c>
      <c r="F77" s="12">
        <f>E77/Calculation!K$19*1000</f>
        <v>4.2293622495487023E-6</v>
      </c>
      <c r="G77" s="12">
        <f t="shared" si="7"/>
        <v>8.5895962506362528E-2</v>
      </c>
    </row>
    <row r="78" spans="1:7">
      <c r="A78" s="12">
        <v>36.5</v>
      </c>
      <c r="B78" s="12">
        <v>1.94</v>
      </c>
      <c r="C78" s="12">
        <f t="shared" si="4"/>
        <v>1.9399999999999999E-3</v>
      </c>
      <c r="D78" s="12">
        <f t="shared" si="5"/>
        <v>1.3541200000000001E-4</v>
      </c>
      <c r="E78" s="12">
        <f t="shared" si="6"/>
        <v>6.045178571428572E-6</v>
      </c>
      <c r="F78" s="12">
        <f>E78/Calculation!K$19*1000</f>
        <v>8.4587244990974046E-6</v>
      </c>
      <c r="G78" s="12">
        <f t="shared" si="7"/>
        <v>8.6086283807592215E-2</v>
      </c>
    </row>
    <row r="79" spans="1:7">
      <c r="A79" s="12">
        <v>37</v>
      </c>
      <c r="B79" s="12">
        <v>28.07</v>
      </c>
      <c r="C79" s="12">
        <f t="shared" si="4"/>
        <v>2.8070000000000001E-2</v>
      </c>
      <c r="D79" s="12">
        <f t="shared" si="5"/>
        <v>1.9592859999999998E-3</v>
      </c>
      <c r="E79" s="12">
        <f t="shared" si="6"/>
        <v>8.7468124999999999E-5</v>
      </c>
      <c r="F79" s="12">
        <f>E79/Calculation!K$19*1000</f>
        <v>1.2238989520085779E-4</v>
      </c>
      <c r="G79" s="12">
        <f t="shared" si="7"/>
        <v>8.8049013103091545E-2</v>
      </c>
    </row>
    <row r="80" spans="1:7">
      <c r="A80" s="12">
        <v>37.5</v>
      </c>
      <c r="B80" s="12">
        <v>1.94</v>
      </c>
      <c r="C80" s="12">
        <f t="shared" si="4"/>
        <v>1.9399999999999999E-3</v>
      </c>
      <c r="D80" s="12">
        <f t="shared" si="5"/>
        <v>1.3541200000000001E-4</v>
      </c>
      <c r="E80" s="12">
        <f t="shared" si="6"/>
        <v>6.045178571428572E-6</v>
      </c>
      <c r="F80" s="12">
        <f>E80/Calculation!K$19*1000</f>
        <v>8.4587244990974046E-6</v>
      </c>
      <c r="G80" s="12">
        <f t="shared" si="7"/>
        <v>9.0011742398590874E-2</v>
      </c>
    </row>
    <row r="81" spans="1:7">
      <c r="A81" s="12">
        <v>38</v>
      </c>
      <c r="B81" s="12">
        <v>10.65</v>
      </c>
      <c r="C81" s="12">
        <f t="shared" si="4"/>
        <v>1.065E-2</v>
      </c>
      <c r="D81" s="12">
        <f t="shared" si="5"/>
        <v>7.4336999999999992E-4</v>
      </c>
      <c r="E81" s="12">
        <f t="shared" si="6"/>
        <v>3.3186160714285715E-5</v>
      </c>
      <c r="F81" s="12">
        <f>E81/Calculation!K$19*1000</f>
        <v>4.64357813996842E-5</v>
      </c>
      <c r="G81" s="12">
        <f t="shared" si="7"/>
        <v>9.0835159987072603E-2</v>
      </c>
    </row>
    <row r="82" spans="1:7">
      <c r="A82" s="12">
        <v>38.5</v>
      </c>
      <c r="B82" s="12">
        <v>0</v>
      </c>
      <c r="C82" s="12">
        <f t="shared" si="4"/>
        <v>0</v>
      </c>
      <c r="D82" s="12">
        <f t="shared" si="5"/>
        <v>0</v>
      </c>
      <c r="E82" s="12">
        <f t="shared" si="6"/>
        <v>0</v>
      </c>
      <c r="F82" s="12">
        <f>E82/Calculation!K$19*1000</f>
        <v>0</v>
      </c>
      <c r="G82" s="12">
        <f t="shared" si="7"/>
        <v>9.1531696708067864E-2</v>
      </c>
    </row>
    <row r="83" spans="1:7">
      <c r="A83" s="12">
        <v>39</v>
      </c>
      <c r="B83" s="12">
        <v>0</v>
      </c>
      <c r="C83" s="12">
        <f t="shared" si="4"/>
        <v>0</v>
      </c>
      <c r="D83" s="12">
        <f t="shared" si="5"/>
        <v>0</v>
      </c>
      <c r="E83" s="12">
        <f t="shared" si="6"/>
        <v>0</v>
      </c>
      <c r="F83" s="12">
        <f>E83/Calculation!K$19*1000</f>
        <v>0</v>
      </c>
      <c r="G83" s="12">
        <f t="shared" si="7"/>
        <v>9.1531696708067864E-2</v>
      </c>
    </row>
    <row r="84" spans="1:7">
      <c r="A84" s="12">
        <v>39.5</v>
      </c>
      <c r="B84" s="12">
        <v>0</v>
      </c>
      <c r="C84" s="12">
        <f t="shared" si="4"/>
        <v>0</v>
      </c>
      <c r="D84" s="12">
        <f t="shared" si="5"/>
        <v>0</v>
      </c>
      <c r="E84" s="12">
        <f t="shared" si="6"/>
        <v>0</v>
      </c>
      <c r="F84" s="12">
        <f>E84/Calculation!K$19*1000</f>
        <v>0</v>
      </c>
      <c r="G84" s="12">
        <f t="shared" si="7"/>
        <v>9.1531696708067864E-2</v>
      </c>
    </row>
    <row r="85" spans="1:7">
      <c r="A85" s="12">
        <v>40</v>
      </c>
      <c r="B85" s="12">
        <v>0</v>
      </c>
      <c r="C85" s="12">
        <f t="shared" si="4"/>
        <v>0</v>
      </c>
      <c r="D85" s="12">
        <f t="shared" si="5"/>
        <v>0</v>
      </c>
      <c r="E85" s="12">
        <f t="shared" si="6"/>
        <v>0</v>
      </c>
      <c r="F85" s="12">
        <f>E85/Calculation!K$19*1000</f>
        <v>0</v>
      </c>
      <c r="G85" s="12">
        <f t="shared" si="7"/>
        <v>9.1531696708067864E-2</v>
      </c>
    </row>
    <row r="86" spans="1:7">
      <c r="A86" s="12">
        <v>40.5</v>
      </c>
      <c r="B86" s="12">
        <v>0.97</v>
      </c>
      <c r="C86" s="12">
        <f t="shared" si="4"/>
        <v>9.6999999999999994E-4</v>
      </c>
      <c r="D86" s="12">
        <f t="shared" si="5"/>
        <v>6.7706000000000005E-5</v>
      </c>
      <c r="E86" s="12">
        <f t="shared" si="6"/>
        <v>3.022589285714286E-6</v>
      </c>
      <c r="F86" s="12">
        <f>E86/Calculation!K$19*1000</f>
        <v>4.2293622495487023E-6</v>
      </c>
      <c r="G86" s="12">
        <f t="shared" si="7"/>
        <v>9.1595137141811098E-2</v>
      </c>
    </row>
    <row r="87" spans="1:7">
      <c r="A87" s="12">
        <v>41</v>
      </c>
      <c r="B87" s="12">
        <v>46.47</v>
      </c>
      <c r="C87" s="12">
        <f t="shared" si="4"/>
        <v>4.6469999999999997E-2</v>
      </c>
      <c r="D87" s="12">
        <f t="shared" si="5"/>
        <v>3.243606E-3</v>
      </c>
      <c r="E87" s="12">
        <f t="shared" si="6"/>
        <v>1.4480383928571429E-4</v>
      </c>
      <c r="F87" s="12">
        <f>E87/Calculation!K$19*1000</f>
        <v>2.0261697292425586E-4</v>
      </c>
      <c r="G87" s="12">
        <f t="shared" si="7"/>
        <v>9.469783216941817E-2</v>
      </c>
    </row>
    <row r="88" spans="1:7">
      <c r="A88" s="12">
        <v>41.5</v>
      </c>
      <c r="B88" s="12">
        <v>0.97</v>
      </c>
      <c r="C88" s="12">
        <f t="shared" si="4"/>
        <v>9.6999999999999994E-4</v>
      </c>
      <c r="D88" s="12">
        <f t="shared" si="5"/>
        <v>6.7706000000000005E-5</v>
      </c>
      <c r="E88" s="12">
        <f t="shared" si="6"/>
        <v>3.022589285714286E-6</v>
      </c>
      <c r="F88" s="12">
        <f>E88/Calculation!K$19*1000</f>
        <v>4.2293622495487023E-6</v>
      </c>
      <c r="G88" s="12">
        <f t="shared" si="7"/>
        <v>9.7800527197025242E-2</v>
      </c>
    </row>
    <row r="89" spans="1:7">
      <c r="A89" s="12">
        <v>42</v>
      </c>
      <c r="B89" s="12">
        <v>10.65</v>
      </c>
      <c r="C89" s="12">
        <f t="shared" si="4"/>
        <v>1.065E-2</v>
      </c>
      <c r="D89" s="12">
        <f t="shared" si="5"/>
        <v>7.4336999999999992E-4</v>
      </c>
      <c r="E89" s="12">
        <f t="shared" si="6"/>
        <v>3.3186160714285715E-5</v>
      </c>
      <c r="F89" s="12">
        <f>E89/Calculation!K$19*1000</f>
        <v>4.64357813996842E-5</v>
      </c>
      <c r="G89" s="12">
        <f t="shared" si="7"/>
        <v>9.8560504351763736E-2</v>
      </c>
    </row>
    <row r="90" spans="1:7">
      <c r="A90" s="12">
        <v>42.5</v>
      </c>
      <c r="B90" s="12">
        <v>2.9</v>
      </c>
      <c r="C90" s="12">
        <f t="shared" si="4"/>
        <v>2.8999999999999998E-3</v>
      </c>
      <c r="D90" s="12">
        <f t="shared" si="5"/>
        <v>2.0241999999999998E-4</v>
      </c>
      <c r="E90" s="12">
        <f t="shared" si="6"/>
        <v>9.036607142857143E-6</v>
      </c>
      <c r="F90" s="12">
        <f>E90/Calculation!K$19*1000</f>
        <v>1.2644485075970347E-5</v>
      </c>
      <c r="G90" s="12">
        <f t="shared" si="7"/>
        <v>9.9446708348898558E-2</v>
      </c>
    </row>
    <row r="91" spans="1:7">
      <c r="A91" s="12">
        <v>43</v>
      </c>
      <c r="B91" s="12">
        <v>0</v>
      </c>
      <c r="C91" s="12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E91/Calculation!K$19*1000</f>
        <v>0</v>
      </c>
      <c r="G91" s="12">
        <f t="shared" si="7"/>
        <v>9.9636375625038118E-2</v>
      </c>
    </row>
    <row r="92" spans="1:7">
      <c r="A92" s="12">
        <v>43.5</v>
      </c>
      <c r="B92" s="12">
        <v>0</v>
      </c>
      <c r="C92" s="12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E92/Calculation!K$19*1000</f>
        <v>0</v>
      </c>
      <c r="G92" s="12">
        <f t="shared" si="7"/>
        <v>9.9636375625038118E-2</v>
      </c>
    </row>
    <row r="93" spans="1:7">
      <c r="A93" s="12">
        <v>44</v>
      </c>
      <c r="B93" s="12">
        <v>0.97</v>
      </c>
      <c r="C93" s="12">
        <f t="shared" si="4"/>
        <v>9.6999999999999994E-4</v>
      </c>
      <c r="D93" s="12">
        <f t="shared" si="5"/>
        <v>6.7706000000000005E-5</v>
      </c>
      <c r="E93" s="12">
        <f t="shared" si="6"/>
        <v>3.022589285714286E-6</v>
      </c>
      <c r="F93" s="12">
        <f>E93/Calculation!K$19*1000</f>
        <v>4.2293622495487023E-6</v>
      </c>
      <c r="G93" s="12">
        <f t="shared" si="7"/>
        <v>9.9699816058781351E-2</v>
      </c>
    </row>
    <row r="94" spans="1:7">
      <c r="A94" s="12">
        <v>44.5</v>
      </c>
      <c r="B94" s="12">
        <v>17.43</v>
      </c>
      <c r="C94" s="12">
        <f t="shared" si="4"/>
        <v>1.7430000000000001E-2</v>
      </c>
      <c r="D94" s="12">
        <f t="shared" si="5"/>
        <v>1.216614E-3</v>
      </c>
      <c r="E94" s="12">
        <f t="shared" si="6"/>
        <v>5.4313125000000002E-5</v>
      </c>
      <c r="F94" s="12">
        <f>E94/Calculation!K$19*1000</f>
        <v>7.5997715473849354E-5</v>
      </c>
      <c r="G94" s="12">
        <f t="shared" si="7"/>
        <v>0.10090322222463233</v>
      </c>
    </row>
    <row r="95" spans="1:7">
      <c r="A95" s="12">
        <v>45</v>
      </c>
      <c r="B95" s="12">
        <v>0.97</v>
      </c>
      <c r="C95" s="12">
        <f t="shared" si="4"/>
        <v>9.6999999999999994E-4</v>
      </c>
      <c r="D95" s="12">
        <f t="shared" si="5"/>
        <v>6.7706000000000005E-5</v>
      </c>
      <c r="E95" s="12">
        <f t="shared" si="6"/>
        <v>3.022589285714286E-6</v>
      </c>
      <c r="F95" s="12">
        <f>E95/Calculation!K$19*1000</f>
        <v>4.2293622495487023E-6</v>
      </c>
      <c r="G95" s="12">
        <f t="shared" si="7"/>
        <v>0.1021066283904833</v>
      </c>
    </row>
    <row r="96" spans="1:7">
      <c r="A96" s="12">
        <v>45.5</v>
      </c>
      <c r="B96" s="12">
        <v>0</v>
      </c>
      <c r="C96" s="12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E96/Calculation!K$19*1000</f>
        <v>0</v>
      </c>
      <c r="G96" s="12">
        <f t="shared" si="7"/>
        <v>0.10217006882422654</v>
      </c>
    </row>
    <row r="97" spans="1:7">
      <c r="A97" s="12">
        <v>46</v>
      </c>
      <c r="B97" s="12">
        <v>0</v>
      </c>
      <c r="C97" s="12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E97/Calculation!K$19*1000</f>
        <v>0</v>
      </c>
      <c r="G97" s="12">
        <f t="shared" si="7"/>
        <v>0.10217006882422654</v>
      </c>
    </row>
    <row r="98" spans="1:7">
      <c r="A98" s="12">
        <v>46.5</v>
      </c>
      <c r="B98" s="12">
        <v>1.94</v>
      </c>
      <c r="C98" s="12">
        <f t="shared" si="4"/>
        <v>1.9399999999999999E-3</v>
      </c>
      <c r="D98" s="12">
        <f t="shared" si="5"/>
        <v>1.3541200000000001E-4</v>
      </c>
      <c r="E98" s="12">
        <f t="shared" si="6"/>
        <v>6.045178571428572E-6</v>
      </c>
      <c r="F98" s="12">
        <f>E98/Calculation!K$19*1000</f>
        <v>8.4587244990974046E-6</v>
      </c>
      <c r="G98" s="12">
        <f t="shared" si="7"/>
        <v>0.102296949691713</v>
      </c>
    </row>
    <row r="99" spans="1:7">
      <c r="A99" s="12">
        <v>47</v>
      </c>
      <c r="B99" s="12">
        <v>0.97</v>
      </c>
      <c r="C99" s="12">
        <f t="shared" si="4"/>
        <v>9.6999999999999994E-4</v>
      </c>
      <c r="D99" s="12">
        <f t="shared" si="5"/>
        <v>6.7706000000000005E-5</v>
      </c>
      <c r="E99" s="12">
        <f t="shared" si="6"/>
        <v>3.022589285714286E-6</v>
      </c>
      <c r="F99" s="12">
        <f>E99/Calculation!K$19*1000</f>
        <v>4.2293622495487023E-6</v>
      </c>
      <c r="G99" s="12">
        <f t="shared" si="7"/>
        <v>0.10248727099294269</v>
      </c>
    </row>
    <row r="100" spans="1:7">
      <c r="A100" s="12">
        <v>47.5</v>
      </c>
      <c r="B100" s="12">
        <v>4.84</v>
      </c>
      <c r="C100" s="12">
        <f t="shared" si="4"/>
        <v>4.8399999999999997E-3</v>
      </c>
      <c r="D100" s="12">
        <f t="shared" si="5"/>
        <v>3.3783199999999993E-4</v>
      </c>
      <c r="E100" s="12">
        <f t="shared" si="6"/>
        <v>1.5081785714285712E-5</v>
      </c>
      <c r="F100" s="12">
        <f>E100/Calculation!K$19*1000</f>
        <v>2.1103209575067747E-5</v>
      </c>
      <c r="G100" s="12">
        <f t="shared" si="7"/>
        <v>0.10286725957031194</v>
      </c>
    </row>
    <row r="101" spans="1:7">
      <c r="A101" s="12">
        <v>48</v>
      </c>
      <c r="B101" s="12">
        <v>1.94</v>
      </c>
      <c r="C101" s="12">
        <f t="shared" si="4"/>
        <v>1.9399999999999999E-3</v>
      </c>
      <c r="D101" s="12">
        <f t="shared" si="5"/>
        <v>1.3541200000000001E-4</v>
      </c>
      <c r="E101" s="12">
        <f t="shared" si="6"/>
        <v>6.045178571428572E-6</v>
      </c>
      <c r="F101" s="12">
        <f>E101/Calculation!K$20*1000</f>
        <v>9.2028938098684369E-6</v>
      </c>
      <c r="G101" s="12">
        <f t="shared" si="7"/>
        <v>0.10332185112108598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C5" evalError="1"/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topLeftCell="A81" zoomScale="98" zoomScaleNormal="98" zoomScalePageLayoutView="98" workbookViewId="0">
      <selection activeCell="G105" sqref="G105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69.8</v>
      </c>
      <c r="C1" s="9" t="s">
        <v>51</v>
      </c>
    </row>
    <row r="3" spans="1:12">
      <c r="A3" s="79" t="s">
        <v>5</v>
      </c>
      <c r="B3" s="79" t="s">
        <v>36</v>
      </c>
      <c r="C3" s="79"/>
      <c r="D3" s="79" t="s">
        <v>52</v>
      </c>
      <c r="E3" s="79"/>
      <c r="F3" s="79"/>
      <c r="G3" s="8" t="s">
        <v>53</v>
      </c>
    </row>
    <row r="4" spans="1:12">
      <c r="A4" s="79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4">
        <v>0</v>
      </c>
      <c r="B5" s="12">
        <v>0</v>
      </c>
      <c r="C5" s="35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</row>
    <row r="6" spans="1:12">
      <c r="A6" s="34">
        <v>0.5</v>
      </c>
      <c r="B6" s="12">
        <v>0</v>
      </c>
      <c r="C6" s="35">
        <f>B6/1000</f>
        <v>0</v>
      </c>
      <c r="D6" s="12">
        <f>C6/1000*$B$1</f>
        <v>0</v>
      </c>
      <c r="E6" s="12">
        <f t="shared" ref="E6:E69" si="0">D6/22.4</f>
        <v>0</v>
      </c>
      <c r="F6" s="12">
        <f>E6/Calculation!K$4*1000</f>
        <v>0</v>
      </c>
      <c r="G6" s="12">
        <f>G5+(F6+F5)/2*30</f>
        <v>0</v>
      </c>
    </row>
    <row r="7" spans="1:12">
      <c r="A7" s="34">
        <v>1</v>
      </c>
      <c r="B7" s="12">
        <v>179.45</v>
      </c>
      <c r="C7" s="35">
        <f t="shared" ref="C7:C69" si="1">B7/1000</f>
        <v>0.17945</v>
      </c>
      <c r="D7" s="12">
        <f t="shared" ref="D7:D69" si="2">C7/1000*$B$1</f>
        <v>1.252561E-2</v>
      </c>
      <c r="E7" s="12">
        <f t="shared" si="0"/>
        <v>5.5917901785714288E-4</v>
      </c>
      <c r="F7" s="12">
        <f>E7/Calculation!K$4*1000</f>
        <v>3.8272885122656025E-4</v>
      </c>
      <c r="G7" s="12">
        <f>G6+(F7+F6)/2*30</f>
        <v>5.7409327683984037E-3</v>
      </c>
    </row>
    <row r="8" spans="1:12">
      <c r="A8" s="34">
        <v>1.5</v>
      </c>
      <c r="B8" s="12">
        <v>180.88</v>
      </c>
      <c r="C8" s="35">
        <f t="shared" si="1"/>
        <v>0.18087999999999999</v>
      </c>
      <c r="D8" s="12">
        <f t="shared" si="2"/>
        <v>1.2625423999999998E-2</v>
      </c>
      <c r="E8" s="12">
        <f t="shared" si="0"/>
        <v>5.6363499999999994E-4</v>
      </c>
      <c r="F8" s="12">
        <f>E8/Calculation!K$4*1000</f>
        <v>3.8577873842218004E-4</v>
      </c>
      <c r="G8" s="12">
        <f t="shared" ref="G8:G70" si="3">G7+(F8+F7)/2*30</f>
        <v>1.7268546613129508E-2</v>
      </c>
      <c r="K8" s="2">
        <f>0.001977/44.01</f>
        <v>4.492160872528971E-5</v>
      </c>
      <c r="L8" s="2">
        <f>1/K8</f>
        <v>22261.001517450681</v>
      </c>
    </row>
    <row r="9" spans="1:12">
      <c r="A9" s="34">
        <v>2</v>
      </c>
      <c r="B9" s="12">
        <v>199.17</v>
      </c>
      <c r="C9" s="35">
        <f t="shared" si="1"/>
        <v>0.19916999999999999</v>
      </c>
      <c r="D9" s="12">
        <f t="shared" si="2"/>
        <v>1.3902065999999998E-2</v>
      </c>
      <c r="E9" s="12">
        <f t="shared" si="0"/>
        <v>6.2062794642857137E-4</v>
      </c>
      <c r="F9" s="12">
        <f>E9/Calculation!K$5*1000</f>
        <v>4.4045335509737912E-4</v>
      </c>
      <c r="G9" s="12">
        <f t="shared" si="3"/>
        <v>2.9662028015922895E-2</v>
      </c>
    </row>
    <row r="10" spans="1:12">
      <c r="A10" s="34">
        <v>2.5</v>
      </c>
      <c r="B10" s="12">
        <v>240.76</v>
      </c>
      <c r="C10" s="35">
        <f t="shared" si="1"/>
        <v>0.24076</v>
      </c>
      <c r="D10" s="12">
        <f t="shared" si="2"/>
        <v>1.6805048E-2</v>
      </c>
      <c r="E10" s="12">
        <f t="shared" si="0"/>
        <v>7.5022535714285715E-4</v>
      </c>
      <c r="F10" s="12">
        <f>E10/Calculation!K$5*1000</f>
        <v>5.3242732225357737E-4</v>
      </c>
      <c r="G10" s="12">
        <f t="shared" si="3"/>
        <v>4.4255238176187241E-2</v>
      </c>
    </row>
    <row r="11" spans="1:12">
      <c r="A11" s="34">
        <v>3</v>
      </c>
      <c r="B11" s="12">
        <v>318.74</v>
      </c>
      <c r="C11" s="35">
        <f t="shared" si="1"/>
        <v>0.31874000000000002</v>
      </c>
      <c r="D11" s="12">
        <f t="shared" si="2"/>
        <v>2.2248052000000001E-2</v>
      </c>
      <c r="E11" s="12">
        <f t="shared" si="0"/>
        <v>9.9321660714285715E-4</v>
      </c>
      <c r="F11" s="12">
        <f>E11/Calculation!K$5*1000</f>
        <v>7.0487574636611267E-4</v>
      </c>
      <c r="G11" s="12">
        <f t="shared" si="3"/>
        <v>6.2814784205482588E-2</v>
      </c>
    </row>
    <row r="12" spans="1:12">
      <c r="A12" s="34">
        <v>3.5</v>
      </c>
      <c r="B12" s="12">
        <v>416.8</v>
      </c>
      <c r="C12" s="35">
        <f t="shared" si="1"/>
        <v>0.4168</v>
      </c>
      <c r="D12" s="12">
        <f t="shared" si="2"/>
        <v>2.9092639999999999E-2</v>
      </c>
      <c r="E12" s="12">
        <f t="shared" si="0"/>
        <v>1.2987785714285716E-3</v>
      </c>
      <c r="F12" s="12">
        <f>E12/Calculation!K$6*1000</f>
        <v>9.5491495935342782E-4</v>
      </c>
      <c r="G12" s="12">
        <f t="shared" si="3"/>
        <v>8.7711644791275689E-2</v>
      </c>
    </row>
    <row r="13" spans="1:12">
      <c r="A13" s="34">
        <v>4</v>
      </c>
      <c r="B13" s="12">
        <v>500.52</v>
      </c>
      <c r="C13" s="35">
        <f t="shared" si="1"/>
        <v>0.50051999999999996</v>
      </c>
      <c r="D13" s="12">
        <f t="shared" si="2"/>
        <v>3.4936295999999999E-2</v>
      </c>
      <c r="E13" s="12">
        <f t="shared" si="0"/>
        <v>1.5596560714285714E-3</v>
      </c>
      <c r="F13" s="12">
        <f>E13/Calculation!K$6*1000</f>
        <v>1.1467227338185643E-3</v>
      </c>
      <c r="G13" s="12">
        <f t="shared" si="3"/>
        <v>0.11923621018885557</v>
      </c>
    </row>
    <row r="14" spans="1:12">
      <c r="A14" s="34">
        <v>4.5</v>
      </c>
      <c r="B14" s="12">
        <v>603.24</v>
      </c>
      <c r="C14" s="35">
        <f t="shared" si="1"/>
        <v>0.60324</v>
      </c>
      <c r="D14" s="12">
        <f t="shared" si="2"/>
        <v>4.2106152000000001E-2</v>
      </c>
      <c r="E14" s="12">
        <f t="shared" si="0"/>
        <v>1.8797389285714287E-3</v>
      </c>
      <c r="F14" s="12">
        <f>E14/Calculation!K$6*1000</f>
        <v>1.382060700768622E-3</v>
      </c>
      <c r="G14" s="12">
        <f t="shared" si="3"/>
        <v>0.15716796170766337</v>
      </c>
    </row>
    <row r="15" spans="1:12">
      <c r="A15" s="34">
        <v>5</v>
      </c>
      <c r="B15" s="12">
        <v>732.32</v>
      </c>
      <c r="C15" s="35">
        <f t="shared" si="1"/>
        <v>0.73232000000000008</v>
      </c>
      <c r="D15" s="12">
        <f t="shared" si="2"/>
        <v>5.1115936000000001E-2</v>
      </c>
      <c r="E15" s="12">
        <f t="shared" si="0"/>
        <v>2.2819614285714287E-3</v>
      </c>
      <c r="F15" s="12">
        <f>E15/Calculation!K$7*1000</f>
        <v>1.7417312910574145E-3</v>
      </c>
      <c r="G15" s="12">
        <f t="shared" si="3"/>
        <v>0.20402484158505391</v>
      </c>
    </row>
    <row r="16" spans="1:12">
      <c r="A16" s="34">
        <v>5.5</v>
      </c>
      <c r="B16" s="12">
        <v>855.66</v>
      </c>
      <c r="C16" s="35">
        <f t="shared" si="1"/>
        <v>0.85565999999999998</v>
      </c>
      <c r="D16" s="12">
        <f t="shared" si="2"/>
        <v>5.9725067999999992E-2</v>
      </c>
      <c r="E16" s="12">
        <f t="shared" si="0"/>
        <v>2.6662976785714284E-3</v>
      </c>
      <c r="F16" s="12">
        <f>E16/Calculation!K$7*1000</f>
        <v>2.0350800148926525E-3</v>
      </c>
      <c r="G16" s="12">
        <f t="shared" si="3"/>
        <v>0.26067701117430492</v>
      </c>
    </row>
    <row r="17" spans="1:7">
      <c r="A17" s="34">
        <v>6</v>
      </c>
      <c r="B17" s="12">
        <v>990.29</v>
      </c>
      <c r="C17" s="35">
        <f t="shared" si="1"/>
        <v>0.99029</v>
      </c>
      <c r="D17" s="12">
        <f t="shared" si="2"/>
        <v>6.9122242E-2</v>
      </c>
      <c r="E17" s="12">
        <f t="shared" si="0"/>
        <v>3.0858143750000003E-3</v>
      </c>
      <c r="F17" s="12">
        <f>E17/Calculation!K$8*1000</f>
        <v>2.454430604834482E-3</v>
      </c>
      <c r="G17" s="12">
        <f t="shared" si="3"/>
        <v>0.32801967047021197</v>
      </c>
    </row>
    <row r="18" spans="1:7">
      <c r="A18" s="34">
        <v>6.5</v>
      </c>
      <c r="B18" s="12">
        <v>1113.45</v>
      </c>
      <c r="C18" s="35">
        <f t="shared" si="1"/>
        <v>1.1134500000000001</v>
      </c>
      <c r="D18" s="12">
        <f t="shared" si="2"/>
        <v>7.7718809999999999E-2</v>
      </c>
      <c r="E18" s="12">
        <f t="shared" si="0"/>
        <v>3.4695897321428575E-3</v>
      </c>
      <c r="F18" s="12">
        <f>E18/Calculation!K$8*1000</f>
        <v>2.7596822718122509E-3</v>
      </c>
      <c r="G18" s="12">
        <f t="shared" si="3"/>
        <v>0.40623136361991297</v>
      </c>
    </row>
    <row r="19" spans="1:7">
      <c r="A19" s="34">
        <v>7</v>
      </c>
      <c r="B19" s="12">
        <v>1315.49</v>
      </c>
      <c r="C19" s="35">
        <f t="shared" si="1"/>
        <v>1.31549</v>
      </c>
      <c r="D19" s="12">
        <f t="shared" si="2"/>
        <v>9.1821202000000005E-2</v>
      </c>
      <c r="E19" s="12">
        <f t="shared" si="0"/>
        <v>4.0991608035714291E-3</v>
      </c>
      <c r="F19" s="12">
        <f>E19/Calculation!K$8*1000</f>
        <v>3.2604377670719816E-3</v>
      </c>
      <c r="G19" s="12">
        <f t="shared" si="3"/>
        <v>0.49653316420317645</v>
      </c>
    </row>
    <row r="20" spans="1:7">
      <c r="A20" s="34">
        <v>7.5</v>
      </c>
      <c r="B20" s="12">
        <v>1525.41</v>
      </c>
      <c r="C20" s="35">
        <f t="shared" si="1"/>
        <v>1.5254100000000002</v>
      </c>
      <c r="D20" s="12">
        <f t="shared" si="2"/>
        <v>0.10647361799999999</v>
      </c>
      <c r="E20" s="12">
        <f t="shared" si="0"/>
        <v>4.7532865178571424E-3</v>
      </c>
      <c r="F20" s="12">
        <f>E20/Calculation!K$9*1000</f>
        <v>3.940208444709388E-3</v>
      </c>
      <c r="G20" s="12">
        <f t="shared" si="3"/>
        <v>0.60454285737989699</v>
      </c>
    </row>
    <row r="21" spans="1:7">
      <c r="A21" s="34">
        <v>8</v>
      </c>
      <c r="B21" s="12">
        <v>1779.08</v>
      </c>
      <c r="C21" s="35">
        <f t="shared" si="1"/>
        <v>1.77908</v>
      </c>
      <c r="D21" s="12">
        <f t="shared" si="2"/>
        <v>0.12417978399999999</v>
      </c>
      <c r="E21" s="12">
        <f t="shared" si="0"/>
        <v>5.5437403571428571E-3</v>
      </c>
      <c r="F21" s="12">
        <f>E21/Calculation!K$9*1000</f>
        <v>4.595450429598324E-3</v>
      </c>
      <c r="G21" s="12">
        <f t="shared" si="3"/>
        <v>0.73257774049451263</v>
      </c>
    </row>
    <row r="22" spans="1:7">
      <c r="A22" s="34">
        <v>8.5</v>
      </c>
      <c r="B22" s="12">
        <v>2191.58</v>
      </c>
      <c r="C22" s="35">
        <f t="shared" si="1"/>
        <v>2.1915800000000001</v>
      </c>
      <c r="D22" s="12">
        <f t="shared" si="2"/>
        <v>0.15297228400000001</v>
      </c>
      <c r="E22" s="12">
        <f t="shared" si="0"/>
        <v>6.8291198214285725E-3</v>
      </c>
      <c r="F22" s="12">
        <f>E22/Calculation!K$9*1000</f>
        <v>5.6609580527570971E-3</v>
      </c>
      <c r="G22" s="12">
        <f t="shared" si="3"/>
        <v>0.88642386772984394</v>
      </c>
    </row>
    <row r="23" spans="1:7">
      <c r="A23" s="34">
        <v>9</v>
      </c>
      <c r="B23" s="12">
        <v>2667.9</v>
      </c>
      <c r="C23" s="35">
        <f t="shared" si="1"/>
        <v>2.6678999999999999</v>
      </c>
      <c r="D23" s="12">
        <f t="shared" si="2"/>
        <v>0.18621942</v>
      </c>
      <c r="E23" s="12">
        <f t="shared" si="0"/>
        <v>8.3133669642857146E-3</v>
      </c>
      <c r="F23" s="12">
        <f>E23/Calculation!K$10*1000</f>
        <v>7.1819135055680898E-3</v>
      </c>
      <c r="G23" s="12">
        <f t="shared" si="3"/>
        <v>1.0790669411047218</v>
      </c>
    </row>
    <row r="24" spans="1:7">
      <c r="A24" s="34">
        <v>9.5</v>
      </c>
      <c r="B24" s="12">
        <v>3346.08</v>
      </c>
      <c r="C24" s="35">
        <f t="shared" si="1"/>
        <v>3.3460799999999997</v>
      </c>
      <c r="D24" s="12">
        <f t="shared" si="2"/>
        <v>0.23355638399999995</v>
      </c>
      <c r="E24" s="12">
        <f t="shared" si="0"/>
        <v>1.0426624285714284E-2</v>
      </c>
      <c r="F24" s="12">
        <f>E24/Calculation!K$10*1000</f>
        <v>9.007555434128442E-3</v>
      </c>
      <c r="G24" s="12">
        <f t="shared" si="3"/>
        <v>1.3219089752001698</v>
      </c>
    </row>
    <row r="25" spans="1:7">
      <c r="A25" s="34">
        <v>10</v>
      </c>
      <c r="B25" s="12">
        <v>4101.17</v>
      </c>
      <c r="C25" s="35">
        <f t="shared" si="1"/>
        <v>4.1011699999999998</v>
      </c>
      <c r="D25" s="12">
        <f t="shared" si="2"/>
        <v>0.28626166599999997</v>
      </c>
      <c r="E25" s="12">
        <f t="shared" si="0"/>
        <v>1.2779538660714285E-2</v>
      </c>
      <c r="F25" s="12">
        <f>E25/Calculation!K$11*1000</f>
        <v>1.1596720561398207E-2</v>
      </c>
      <c r="G25" s="12">
        <f t="shared" si="3"/>
        <v>1.6309731151330695</v>
      </c>
    </row>
    <row r="26" spans="1:7">
      <c r="A26" s="34">
        <v>10.5</v>
      </c>
      <c r="B26" s="12">
        <v>5168.18</v>
      </c>
      <c r="C26" s="35">
        <f t="shared" si="1"/>
        <v>5.1681800000000004</v>
      </c>
      <c r="D26" s="12">
        <f t="shared" si="2"/>
        <v>0.360738964</v>
      </c>
      <c r="E26" s="12">
        <f t="shared" si="0"/>
        <v>1.6104418035714288E-2</v>
      </c>
      <c r="F26" s="12">
        <f>E26/Calculation!K$11*1000</f>
        <v>1.4613863670856609E-2</v>
      </c>
      <c r="G26" s="12">
        <f t="shared" si="3"/>
        <v>2.0241318786168918</v>
      </c>
    </row>
    <row r="27" spans="1:7">
      <c r="A27" s="34">
        <v>11</v>
      </c>
      <c r="B27" s="12">
        <v>6225.52</v>
      </c>
      <c r="C27" s="35">
        <f t="shared" si="1"/>
        <v>6.2255200000000004</v>
      </c>
      <c r="D27" s="12">
        <f t="shared" si="2"/>
        <v>0.43454129599999997</v>
      </c>
      <c r="E27" s="12">
        <f t="shared" si="0"/>
        <v>1.9399164999999999E-2</v>
      </c>
      <c r="F27" s="12">
        <f>E27/Calculation!K$11*1000</f>
        <v>1.7603663293498141E-2</v>
      </c>
      <c r="G27" s="12">
        <f t="shared" si="3"/>
        <v>2.507394783082213</v>
      </c>
    </row>
    <row r="28" spans="1:7">
      <c r="A28" s="34">
        <v>11.5</v>
      </c>
      <c r="B28" s="12">
        <v>7535.27</v>
      </c>
      <c r="C28" s="35">
        <f t="shared" si="1"/>
        <v>7.5352700000000006</v>
      </c>
      <c r="D28" s="12">
        <f t="shared" si="2"/>
        <v>0.52596184599999996</v>
      </c>
      <c r="E28" s="12">
        <f t="shared" si="0"/>
        <v>2.3480439553571427E-2</v>
      </c>
      <c r="F28" s="12">
        <f>E28/Calculation!K$12*1000</f>
        <v>2.2326580238642341E-2</v>
      </c>
      <c r="G28" s="12">
        <f t="shared" si="3"/>
        <v>3.1063484360643203</v>
      </c>
    </row>
    <row r="29" spans="1:7">
      <c r="A29" s="34">
        <v>12</v>
      </c>
      <c r="B29" s="12">
        <v>8651.76</v>
      </c>
      <c r="C29" s="35">
        <f t="shared" si="1"/>
        <v>8.6517599999999995</v>
      </c>
      <c r="D29" s="12">
        <f t="shared" si="2"/>
        <v>0.60389284799999998</v>
      </c>
      <c r="E29" s="12">
        <f t="shared" si="0"/>
        <v>2.6959502142857143E-2</v>
      </c>
      <c r="F29" s="12">
        <f>E29/Calculation!K$12*1000</f>
        <v>2.5634677170887875E-2</v>
      </c>
      <c r="G29" s="12">
        <f t="shared" si="3"/>
        <v>3.8257672972072738</v>
      </c>
    </row>
    <row r="30" spans="1:7">
      <c r="A30" s="34">
        <v>12.5</v>
      </c>
      <c r="B30" s="12">
        <v>9508.49</v>
      </c>
      <c r="C30" s="35">
        <f t="shared" si="1"/>
        <v>9.5084900000000001</v>
      </c>
      <c r="D30" s="12">
        <f t="shared" si="2"/>
        <v>0.66369260199999991</v>
      </c>
      <c r="E30" s="12">
        <f t="shared" si="0"/>
        <v>2.9629134017857141E-2</v>
      </c>
      <c r="F30" s="12">
        <f>E30/Calculation!K$12*1000</f>
        <v>2.8173119866086858E-2</v>
      </c>
      <c r="G30" s="12">
        <f t="shared" si="3"/>
        <v>4.6328842527618947</v>
      </c>
    </row>
    <row r="31" spans="1:7">
      <c r="A31" s="34">
        <v>13</v>
      </c>
      <c r="B31" s="12">
        <v>10140.959999999999</v>
      </c>
      <c r="C31" s="35">
        <f t="shared" si="1"/>
        <v>10.14096</v>
      </c>
      <c r="D31" s="12">
        <f t="shared" si="2"/>
        <v>0.70783900799999988</v>
      </c>
      <c r="E31" s="12">
        <f t="shared" si="0"/>
        <v>3.1599955714285713E-2</v>
      </c>
      <c r="F31" s="12">
        <f>E31/Calculation!K$13*1000</f>
        <v>3.1362383851312764E-2</v>
      </c>
      <c r="G31" s="12">
        <f t="shared" si="3"/>
        <v>5.5259168085228891</v>
      </c>
    </row>
    <row r="32" spans="1:7">
      <c r="A32" s="34">
        <v>13.5</v>
      </c>
      <c r="B32" s="12">
        <v>10486.23</v>
      </c>
      <c r="C32" s="35">
        <f t="shared" si="1"/>
        <v>10.486229999999999</v>
      </c>
      <c r="D32" s="12">
        <f t="shared" si="2"/>
        <v>0.73193885399999992</v>
      </c>
      <c r="E32" s="12">
        <f t="shared" si="0"/>
        <v>3.2675841696428572E-2</v>
      </c>
      <c r="F32" s="12">
        <f>E32/Calculation!K$13*1000</f>
        <v>3.2430181207020979E-2</v>
      </c>
      <c r="G32" s="12">
        <f t="shared" si="3"/>
        <v>6.4828052843978954</v>
      </c>
    </row>
    <row r="33" spans="1:7">
      <c r="A33" s="34">
        <v>14</v>
      </c>
      <c r="B33" s="12">
        <v>10014.93</v>
      </c>
      <c r="C33" s="35">
        <f t="shared" si="1"/>
        <v>10.01493</v>
      </c>
      <c r="D33" s="12">
        <f t="shared" si="2"/>
        <v>0.69904211399999994</v>
      </c>
      <c r="E33" s="12">
        <f t="shared" si="0"/>
        <v>3.1207237232142856E-2</v>
      </c>
      <c r="F33" s="12">
        <f>E33/Calculation!K$14*1000</f>
        <v>3.2384743303675745E-2</v>
      </c>
      <c r="G33" s="12">
        <f t="shared" si="3"/>
        <v>7.455029152058346</v>
      </c>
    </row>
    <row r="34" spans="1:7">
      <c r="A34" s="34">
        <v>14.5</v>
      </c>
      <c r="B34" s="12">
        <v>9482.86</v>
      </c>
      <c r="C34" s="35">
        <f t="shared" si="1"/>
        <v>9.4828600000000005</v>
      </c>
      <c r="D34" s="12">
        <f t="shared" si="2"/>
        <v>0.66190362800000002</v>
      </c>
      <c r="E34" s="12">
        <f t="shared" si="0"/>
        <v>2.954926910714286E-2</v>
      </c>
      <c r="F34" s="12">
        <f>E34/Calculation!K$14*1000</f>
        <v>3.0664217012469845E-2</v>
      </c>
      <c r="G34" s="12">
        <f t="shared" si="3"/>
        <v>8.4007635568005306</v>
      </c>
    </row>
    <row r="35" spans="1:7">
      <c r="A35" s="34">
        <v>15</v>
      </c>
      <c r="B35" s="12">
        <v>8988.7900000000009</v>
      </c>
      <c r="C35" s="35">
        <f t="shared" si="1"/>
        <v>8.9887900000000016</v>
      </c>
      <c r="D35" s="12">
        <f t="shared" si="2"/>
        <v>0.62741754200000011</v>
      </c>
      <c r="E35" s="12">
        <f t="shared" si="0"/>
        <v>2.8009711696428578E-2</v>
      </c>
      <c r="F35" s="12">
        <f>E35/Calculation!K$14*1000</f>
        <v>2.90665692881176E-2</v>
      </c>
      <c r="G35" s="12">
        <f t="shared" si="3"/>
        <v>9.2967253513093429</v>
      </c>
    </row>
    <row r="36" spans="1:7">
      <c r="A36" s="34">
        <v>15.5</v>
      </c>
      <c r="B36" s="12">
        <v>8404.19</v>
      </c>
      <c r="C36" s="35">
        <f t="shared" si="1"/>
        <v>8.4041899999999998</v>
      </c>
      <c r="D36" s="12">
        <f t="shared" si="2"/>
        <v>0.58661246200000006</v>
      </c>
      <c r="E36" s="12">
        <f t="shared" si="0"/>
        <v>2.6188056339285719E-2</v>
      </c>
      <c r="F36" s="12">
        <f>E36/Calculation!K$15*1000</f>
        <v>2.8682748135399044E-2</v>
      </c>
      <c r="G36" s="12">
        <f t="shared" si="3"/>
        <v>10.162965112662093</v>
      </c>
    </row>
    <row r="37" spans="1:7">
      <c r="A37" s="34">
        <v>16</v>
      </c>
      <c r="B37" s="12">
        <v>7353.49</v>
      </c>
      <c r="C37" s="35">
        <f t="shared" si="1"/>
        <v>7.3534899999999999</v>
      </c>
      <c r="D37" s="12">
        <f t="shared" si="2"/>
        <v>0.51327360199999994</v>
      </c>
      <c r="E37" s="12">
        <f t="shared" si="0"/>
        <v>2.2914000089285715E-2</v>
      </c>
      <c r="F37" s="12">
        <f>E37/Calculation!K$15*1000</f>
        <v>2.5096803093001881E-2</v>
      </c>
      <c r="G37" s="12">
        <f t="shared" si="3"/>
        <v>10.969658381088106</v>
      </c>
    </row>
    <row r="38" spans="1:7">
      <c r="A38" s="34">
        <v>16.5</v>
      </c>
      <c r="B38" s="12">
        <v>6370.55</v>
      </c>
      <c r="C38" s="35">
        <f t="shared" si="1"/>
        <v>6.3705500000000006</v>
      </c>
      <c r="D38" s="12">
        <f t="shared" si="2"/>
        <v>0.44466439000000002</v>
      </c>
      <c r="E38" s="12">
        <f t="shared" si="0"/>
        <v>1.9851088839285717E-2</v>
      </c>
      <c r="F38" s="12">
        <f>E38/Calculation!K$15*1000</f>
        <v>2.1742116864797961E-2</v>
      </c>
      <c r="G38" s="12">
        <f t="shared" si="3"/>
        <v>11.672242180455104</v>
      </c>
    </row>
    <row r="39" spans="1:7">
      <c r="A39" s="34">
        <v>17</v>
      </c>
      <c r="B39" s="12">
        <v>5520.99</v>
      </c>
      <c r="C39" s="35">
        <f t="shared" si="1"/>
        <v>5.5209899999999994</v>
      </c>
      <c r="D39" s="12">
        <f t="shared" si="2"/>
        <v>0.3853651019999999</v>
      </c>
      <c r="E39" s="12">
        <f t="shared" si="0"/>
        <v>1.7203799196428567E-2</v>
      </c>
      <c r="F39" s="12">
        <f>E39/Calculation!K$16*1000</f>
        <v>1.9992365326239003E-2</v>
      </c>
      <c r="G39" s="12">
        <f>G38+(F39+F38)/2*30</f>
        <v>12.298259413320659</v>
      </c>
    </row>
    <row r="40" spans="1:7">
      <c r="A40" s="34">
        <v>17.5</v>
      </c>
      <c r="B40" s="12">
        <v>4618</v>
      </c>
      <c r="C40" s="35">
        <f t="shared" si="1"/>
        <v>4.6180000000000003</v>
      </c>
      <c r="D40" s="12">
        <f t="shared" si="2"/>
        <v>0.32233640000000002</v>
      </c>
      <c r="E40" s="12">
        <f t="shared" si="0"/>
        <v>1.439001785714286E-2</v>
      </c>
      <c r="F40" s="12">
        <f>E40/Calculation!K$16*1000</f>
        <v>1.6722497790536073E-2</v>
      </c>
      <c r="G40" s="12">
        <f t="shared" si="3"/>
        <v>12.848982360072286</v>
      </c>
    </row>
    <row r="41" spans="1:7">
      <c r="A41" s="34">
        <v>18</v>
      </c>
      <c r="B41" s="12">
        <v>3756.61</v>
      </c>
      <c r="C41" s="35">
        <f t="shared" si="1"/>
        <v>3.7566100000000002</v>
      </c>
      <c r="D41" s="12">
        <f t="shared" si="2"/>
        <v>0.26221137799999999</v>
      </c>
      <c r="E41" s="12">
        <f t="shared" si="0"/>
        <v>1.1705865089285715E-2</v>
      </c>
      <c r="F41" s="12">
        <f>E41/Calculation!K$17*1000</f>
        <v>1.4400591208015222E-2</v>
      </c>
      <c r="G41" s="12">
        <f t="shared" si="3"/>
        <v>13.315828695050556</v>
      </c>
    </row>
    <row r="42" spans="1:7">
      <c r="A42" s="34">
        <v>18.5</v>
      </c>
      <c r="B42" s="12">
        <v>3098.15</v>
      </c>
      <c r="C42" s="35">
        <f t="shared" si="1"/>
        <v>3.09815</v>
      </c>
      <c r="D42" s="12">
        <f t="shared" si="2"/>
        <v>0.21625086999999998</v>
      </c>
      <c r="E42" s="12">
        <f t="shared" si="0"/>
        <v>9.6540566964285705E-3</v>
      </c>
      <c r="F42" s="12">
        <f>E42/Calculation!K$17*1000</f>
        <v>1.1876450217380126E-2</v>
      </c>
      <c r="G42" s="12">
        <f t="shared" si="3"/>
        <v>13.709984316431486</v>
      </c>
    </row>
    <row r="43" spans="1:7">
      <c r="A43" s="34">
        <v>19</v>
      </c>
      <c r="B43" s="12">
        <v>2478.59</v>
      </c>
      <c r="C43" s="35">
        <f t="shared" si="1"/>
        <v>2.4785900000000001</v>
      </c>
      <c r="D43" s="12">
        <f t="shared" si="2"/>
        <v>0.17300558199999999</v>
      </c>
      <c r="E43" s="12">
        <f t="shared" si="0"/>
        <v>7.7234634821428576E-3</v>
      </c>
      <c r="F43" s="12">
        <f>E43/Calculation!K$17*1000</f>
        <v>9.5014285119494578E-3</v>
      </c>
      <c r="G43" s="12">
        <f t="shared" si="3"/>
        <v>14.030652497371429</v>
      </c>
    </row>
    <row r="44" spans="1:7">
      <c r="A44" s="34">
        <v>19.5</v>
      </c>
      <c r="B44" s="12">
        <v>2040.1</v>
      </c>
      <c r="C44" s="35">
        <f t="shared" si="1"/>
        <v>2.0400999999999998</v>
      </c>
      <c r="D44" s="12">
        <f t="shared" si="2"/>
        <v>0.14239897999999998</v>
      </c>
      <c r="E44" s="12">
        <f t="shared" si="0"/>
        <v>6.3570973214285712E-3</v>
      </c>
      <c r="F44" s="12">
        <f>E44/Calculation!K$17*1000</f>
        <v>7.8205206618392267E-3</v>
      </c>
      <c r="G44" s="12">
        <f t="shared" si="3"/>
        <v>14.290481734978259</v>
      </c>
    </row>
    <row r="45" spans="1:7">
      <c r="A45" s="34">
        <v>20</v>
      </c>
      <c r="B45" s="12">
        <v>1650.18</v>
      </c>
      <c r="C45" s="35">
        <f t="shared" si="1"/>
        <v>1.65018</v>
      </c>
      <c r="D45" s="12">
        <f t="shared" si="2"/>
        <v>0.115182564</v>
      </c>
      <c r="E45" s="12">
        <f t="shared" si="0"/>
        <v>5.1420787500000001E-3</v>
      </c>
      <c r="F45" s="12">
        <f>E45/Calculation!K$17*1000</f>
        <v>6.3258010811988894E-3</v>
      </c>
      <c r="G45" s="12">
        <f t="shared" si="3"/>
        <v>14.502676561123831</v>
      </c>
    </row>
    <row r="46" spans="1:7">
      <c r="A46" s="34">
        <v>20.5</v>
      </c>
      <c r="B46" s="12">
        <v>1343.81</v>
      </c>
      <c r="C46" s="35">
        <f t="shared" si="1"/>
        <v>1.3438099999999999</v>
      </c>
      <c r="D46" s="12">
        <f t="shared" si="2"/>
        <v>9.3797937999999997E-2</v>
      </c>
      <c r="E46" s="12">
        <f t="shared" si="0"/>
        <v>4.1874079464285716E-3</v>
      </c>
      <c r="F46" s="12">
        <f>E46/Calculation!K$17*1000</f>
        <v>5.1513621246929917E-3</v>
      </c>
      <c r="G46" s="12">
        <f t="shared" si="3"/>
        <v>14.674834009212208</v>
      </c>
    </row>
    <row r="47" spans="1:7">
      <c r="A47" s="34">
        <v>21</v>
      </c>
      <c r="B47" s="12">
        <v>1135.1400000000001</v>
      </c>
      <c r="C47" s="35">
        <f t="shared" si="1"/>
        <v>1.13514</v>
      </c>
      <c r="D47" s="12">
        <f t="shared" si="2"/>
        <v>7.9232771999999993E-2</v>
      </c>
      <c r="E47" s="12">
        <f t="shared" si="0"/>
        <v>3.5371773214285715E-3</v>
      </c>
      <c r="F47" s="12">
        <f>E47/Calculation!K$17*1000</f>
        <v>4.3514464114897209E-3</v>
      </c>
      <c r="G47" s="12">
        <f t="shared" si="3"/>
        <v>14.81737613725495</v>
      </c>
    </row>
    <row r="48" spans="1:7">
      <c r="A48" s="34">
        <v>21.5</v>
      </c>
      <c r="B48" s="12">
        <v>932.03</v>
      </c>
      <c r="C48" s="35">
        <f t="shared" si="1"/>
        <v>0.93203000000000003</v>
      </c>
      <c r="D48" s="12">
        <f t="shared" si="2"/>
        <v>6.5055693999999997E-2</v>
      </c>
      <c r="E48" s="12">
        <f t="shared" si="0"/>
        <v>2.9042720535714288E-3</v>
      </c>
      <c r="F48" s="12">
        <f>E48/Calculation!K$17*1000</f>
        <v>3.5728444058889344E-3</v>
      </c>
      <c r="G48" s="12">
        <f t="shared" si="3"/>
        <v>14.93624049951563</v>
      </c>
    </row>
    <row r="49" spans="1:7">
      <c r="A49" s="34">
        <v>22</v>
      </c>
      <c r="B49" s="12">
        <v>800.98</v>
      </c>
      <c r="C49" s="35">
        <f t="shared" si="1"/>
        <v>0.80098000000000003</v>
      </c>
      <c r="D49" s="12">
        <f t="shared" si="2"/>
        <v>5.5908404000000002E-2</v>
      </c>
      <c r="E49" s="12">
        <f t="shared" si="0"/>
        <v>2.4959108928571433E-3</v>
      </c>
      <c r="F49" s="12">
        <f>E49/Calculation!K$17*1000</f>
        <v>3.0704772509778855E-3</v>
      </c>
      <c r="G49" s="12">
        <f t="shared" si="3"/>
        <v>15.035890324368633</v>
      </c>
    </row>
    <row r="50" spans="1:7">
      <c r="A50" s="34">
        <v>22.5</v>
      </c>
      <c r="B50" s="12">
        <v>680.87</v>
      </c>
      <c r="C50" s="35">
        <f t="shared" si="1"/>
        <v>0.68086999999999998</v>
      </c>
      <c r="D50" s="12">
        <f t="shared" si="2"/>
        <v>4.7524725999999996E-2</v>
      </c>
      <c r="E50" s="12">
        <f t="shared" si="0"/>
        <v>2.1216395535714285E-3</v>
      </c>
      <c r="F50" s="12">
        <f>E50/Calculation!K$17*1000</f>
        <v>2.6100474991551754E-3</v>
      </c>
      <c r="G50" s="12">
        <f t="shared" si="3"/>
        <v>15.121098195620629</v>
      </c>
    </row>
    <row r="51" spans="1:7">
      <c r="A51" s="34">
        <v>23</v>
      </c>
      <c r="B51" s="12">
        <v>586.39</v>
      </c>
      <c r="C51" s="35">
        <f t="shared" si="1"/>
        <v>0.58638999999999997</v>
      </c>
      <c r="D51" s="12">
        <f t="shared" si="2"/>
        <v>4.0930021999999996E-2</v>
      </c>
      <c r="E51" s="12">
        <f t="shared" si="0"/>
        <v>1.8272331249999999E-3</v>
      </c>
      <c r="F51" s="12">
        <f>E51/Calculation!K$17*1000</f>
        <v>2.2478678059388774E-3</v>
      </c>
      <c r="G51" s="12">
        <f t="shared" si="3"/>
        <v>15.19396692519704</v>
      </c>
    </row>
    <row r="52" spans="1:7">
      <c r="A52" s="34">
        <v>23.5</v>
      </c>
      <c r="B52" s="12">
        <v>497.65</v>
      </c>
      <c r="C52" s="35">
        <f t="shared" si="1"/>
        <v>0.49764999999999998</v>
      </c>
      <c r="D52" s="12">
        <f t="shared" si="2"/>
        <v>3.4735969999999998E-2</v>
      </c>
      <c r="E52" s="12">
        <f t="shared" si="0"/>
        <v>1.5507129464285715E-3</v>
      </c>
      <c r="F52" s="12">
        <f>E52/Calculation!K$17*1000</f>
        <v>1.9076918324416896E-3</v>
      </c>
      <c r="G52" s="12">
        <f t="shared" si="3"/>
        <v>15.256300319772748</v>
      </c>
    </row>
    <row r="53" spans="1:7">
      <c r="A53" s="34">
        <v>24</v>
      </c>
      <c r="B53" s="12">
        <v>464.85</v>
      </c>
      <c r="C53" s="35">
        <f t="shared" si="1"/>
        <v>0.46485000000000004</v>
      </c>
      <c r="D53" s="12">
        <f t="shared" si="2"/>
        <v>3.2446530000000001E-2</v>
      </c>
      <c r="E53" s="12">
        <f t="shared" si="0"/>
        <v>1.4485058035714287E-3</v>
      </c>
      <c r="F53" s="12">
        <f>E53/Calculation!K$18*1000</f>
        <v>1.8857157714361149E-3</v>
      </c>
      <c r="G53" s="12">
        <f t="shared" si="3"/>
        <v>15.313201433830915</v>
      </c>
    </row>
    <row r="54" spans="1:7">
      <c r="A54" s="34">
        <v>24.5</v>
      </c>
      <c r="B54" s="12">
        <v>417.88</v>
      </c>
      <c r="C54" s="35">
        <f t="shared" si="1"/>
        <v>0.41787999999999997</v>
      </c>
      <c r="D54" s="12">
        <f t="shared" si="2"/>
        <v>2.9168023999999997E-2</v>
      </c>
      <c r="E54" s="12">
        <f t="shared" si="0"/>
        <v>1.3021439285714285E-3</v>
      </c>
      <c r="F54" s="12">
        <f>E54/Calculation!K$18*1000</f>
        <v>1.695176737802998E-3</v>
      </c>
      <c r="G54" s="12">
        <f t="shared" si="3"/>
        <v>15.366914821469502</v>
      </c>
    </row>
    <row r="55" spans="1:7">
      <c r="A55" s="34">
        <v>25</v>
      </c>
      <c r="B55" s="12">
        <v>367.15</v>
      </c>
      <c r="C55" s="35">
        <f t="shared" si="1"/>
        <v>0.36714999999999998</v>
      </c>
      <c r="D55" s="12">
        <f t="shared" si="2"/>
        <v>2.5627069999999995E-2</v>
      </c>
      <c r="E55" s="12">
        <f t="shared" si="0"/>
        <v>1.1440656249999998E-3</v>
      </c>
      <c r="F55" s="12">
        <f>E55/Calculation!K$18*1000</f>
        <v>1.4893848456120672E-3</v>
      </c>
      <c r="G55" s="12">
        <f t="shared" si="3"/>
        <v>15.414683245220727</v>
      </c>
    </row>
    <row r="56" spans="1:7">
      <c r="A56" s="34">
        <v>25.5</v>
      </c>
      <c r="B56" s="12">
        <v>300.99</v>
      </c>
      <c r="C56" s="35">
        <f t="shared" si="1"/>
        <v>0.30099000000000004</v>
      </c>
      <c r="D56" s="12">
        <f t="shared" si="2"/>
        <v>2.1009102000000002E-2</v>
      </c>
      <c r="E56" s="12">
        <f t="shared" si="0"/>
        <v>9.3790633928571439E-4</v>
      </c>
      <c r="F56" s="12">
        <f>E56/Calculation!K$18*1000</f>
        <v>1.2209994407756401E-3</v>
      </c>
      <c r="G56" s="12">
        <f t="shared" si="3"/>
        <v>15.455339009516543</v>
      </c>
    </row>
    <row r="57" spans="1:7">
      <c r="A57" s="34">
        <v>26</v>
      </c>
      <c r="B57" s="12">
        <v>276.43</v>
      </c>
      <c r="C57" s="35">
        <f t="shared" si="1"/>
        <v>0.27643000000000001</v>
      </c>
      <c r="D57" s="12">
        <f t="shared" si="2"/>
        <v>1.9294814E-2</v>
      </c>
      <c r="E57" s="12">
        <f t="shared" si="0"/>
        <v>8.6137562500000005E-4</v>
      </c>
      <c r="F57" s="12">
        <f>E57/Calculation!K$18*1000</f>
        <v>1.1213690667916216E-3</v>
      </c>
      <c r="G57" s="12">
        <f t="shared" si="3"/>
        <v>15.490474537130051</v>
      </c>
    </row>
    <row r="58" spans="1:7">
      <c r="A58" s="34">
        <v>26.5</v>
      </c>
      <c r="B58" s="12">
        <v>228.93</v>
      </c>
      <c r="C58" s="35">
        <f t="shared" si="1"/>
        <v>0.22892999999999999</v>
      </c>
      <c r="D58" s="12">
        <f t="shared" si="2"/>
        <v>1.5979313999999998E-2</v>
      </c>
      <c r="E58" s="12">
        <f t="shared" si="0"/>
        <v>7.1336223214285707E-4</v>
      </c>
      <c r="F58" s="12">
        <f>E58/Calculation!K$18*1000</f>
        <v>9.2868002915966381E-4</v>
      </c>
      <c r="G58" s="12">
        <f t="shared" si="3"/>
        <v>15.521225273569321</v>
      </c>
    </row>
    <row r="59" spans="1:7">
      <c r="A59" s="34">
        <v>27</v>
      </c>
      <c r="B59" s="12">
        <v>207.77</v>
      </c>
      <c r="C59" s="35">
        <f t="shared" si="1"/>
        <v>0.20777000000000001</v>
      </c>
      <c r="D59" s="12">
        <f t="shared" si="2"/>
        <v>1.4502345999999999E-2</v>
      </c>
      <c r="E59" s="12">
        <f t="shared" si="0"/>
        <v>6.4742616071428573E-4</v>
      </c>
      <c r="F59" s="12">
        <f>E59/Calculation!K$18*1000</f>
        <v>8.4284213365877503E-4</v>
      </c>
      <c r="G59" s="12">
        <f t="shared" si="3"/>
        <v>15.547798106011598</v>
      </c>
    </row>
    <row r="60" spans="1:7">
      <c r="A60" s="34">
        <v>27.5</v>
      </c>
      <c r="B60" s="12">
        <v>178.19</v>
      </c>
      <c r="C60" s="35">
        <f t="shared" si="1"/>
        <v>0.17818999999999999</v>
      </c>
      <c r="D60" s="12">
        <f t="shared" si="2"/>
        <v>1.2437661999999999E-2</v>
      </c>
      <c r="E60" s="12">
        <f t="shared" si="0"/>
        <v>5.5525276785714278E-4</v>
      </c>
      <c r="F60" s="12">
        <f>E60/Calculation!K$18*1000</f>
        <v>7.228475708555475E-4</v>
      </c>
      <c r="G60" s="12">
        <f t="shared" si="3"/>
        <v>15.571283451579312</v>
      </c>
    </row>
    <row r="61" spans="1:7">
      <c r="A61" s="34">
        <v>28</v>
      </c>
      <c r="B61" s="12">
        <v>162.78</v>
      </c>
      <c r="C61" s="35">
        <f t="shared" si="1"/>
        <v>0.16278000000000001</v>
      </c>
      <c r="D61" s="12">
        <f t="shared" si="2"/>
        <v>1.1362044E-2</v>
      </c>
      <c r="E61" s="12">
        <f t="shared" si="0"/>
        <v>5.0723410714285716E-4</v>
      </c>
      <c r="F61" s="12">
        <f>E61/Calculation!K$18*1000</f>
        <v>6.6033519043642202E-4</v>
      </c>
      <c r="G61" s="12">
        <f t="shared" si="3"/>
        <v>15.592031192998691</v>
      </c>
    </row>
    <row r="62" spans="1:7">
      <c r="A62" s="34">
        <v>28.5</v>
      </c>
      <c r="B62" s="12">
        <v>0</v>
      </c>
      <c r="C62" s="35">
        <f t="shared" si="1"/>
        <v>0</v>
      </c>
      <c r="D62" s="12">
        <f t="shared" si="2"/>
        <v>0</v>
      </c>
      <c r="E62" s="12">
        <f t="shared" si="0"/>
        <v>0</v>
      </c>
      <c r="F62" s="12">
        <f>E62/Calculation!K$18*1000</f>
        <v>0</v>
      </c>
      <c r="G62" s="12">
        <f t="shared" si="3"/>
        <v>15.601936220855238</v>
      </c>
    </row>
    <row r="63" spans="1:7">
      <c r="A63" s="34">
        <v>29</v>
      </c>
      <c r="B63" s="12">
        <v>0</v>
      </c>
      <c r="C63" s="35">
        <f t="shared" si="1"/>
        <v>0</v>
      </c>
      <c r="D63" s="12">
        <f t="shared" si="2"/>
        <v>0</v>
      </c>
      <c r="E63" s="12">
        <f t="shared" si="0"/>
        <v>0</v>
      </c>
      <c r="F63" s="12">
        <f>E63/Calculation!K$18*1000</f>
        <v>0</v>
      </c>
      <c r="G63" s="12">
        <f t="shared" si="3"/>
        <v>15.601936220855238</v>
      </c>
    </row>
    <row r="64" spans="1:7">
      <c r="A64" s="34">
        <v>29.5</v>
      </c>
      <c r="B64" s="12">
        <v>0</v>
      </c>
      <c r="C64" s="35">
        <f t="shared" si="1"/>
        <v>0</v>
      </c>
      <c r="D64" s="12">
        <f t="shared" si="2"/>
        <v>0</v>
      </c>
      <c r="E64" s="12">
        <f t="shared" si="0"/>
        <v>0</v>
      </c>
      <c r="F64" s="12">
        <f>E64/Calculation!K$18*1000</f>
        <v>0</v>
      </c>
      <c r="G64" s="12">
        <f t="shared" si="3"/>
        <v>15.601936220855238</v>
      </c>
    </row>
    <row r="65" spans="1:7">
      <c r="A65" s="34">
        <v>30</v>
      </c>
      <c r="B65" s="12">
        <v>0</v>
      </c>
      <c r="C65" s="35">
        <f t="shared" si="1"/>
        <v>0</v>
      </c>
      <c r="D65" s="12">
        <f t="shared" si="2"/>
        <v>0</v>
      </c>
      <c r="E65" s="12">
        <f t="shared" si="0"/>
        <v>0</v>
      </c>
      <c r="F65" s="12">
        <f>E65/Calculation!K$19*1000</f>
        <v>0</v>
      </c>
      <c r="G65" s="12">
        <f t="shared" si="3"/>
        <v>15.601936220855238</v>
      </c>
    </row>
    <row r="66" spans="1:7">
      <c r="A66" s="34">
        <v>30.5</v>
      </c>
      <c r="B66" s="12">
        <v>0</v>
      </c>
      <c r="C66" s="35">
        <f t="shared" si="1"/>
        <v>0</v>
      </c>
      <c r="D66" s="12">
        <f t="shared" si="2"/>
        <v>0</v>
      </c>
      <c r="E66" s="12">
        <f t="shared" si="0"/>
        <v>0</v>
      </c>
      <c r="F66" s="12">
        <f>E66/Calculation!K$19*1000</f>
        <v>0</v>
      </c>
      <c r="G66" s="12">
        <f t="shared" si="3"/>
        <v>15.601936220855238</v>
      </c>
    </row>
    <row r="67" spans="1:7">
      <c r="A67" s="34">
        <v>31</v>
      </c>
      <c r="B67" s="12">
        <v>0</v>
      </c>
      <c r="C67" s="35">
        <f t="shared" si="1"/>
        <v>0</v>
      </c>
      <c r="D67" s="12">
        <f t="shared" si="2"/>
        <v>0</v>
      </c>
      <c r="E67" s="12">
        <f t="shared" si="0"/>
        <v>0</v>
      </c>
      <c r="F67" s="12">
        <f>E67/Calculation!K$19*1000</f>
        <v>0</v>
      </c>
      <c r="G67" s="12">
        <f t="shared" si="3"/>
        <v>15.601936220855238</v>
      </c>
    </row>
    <row r="68" spans="1:7">
      <c r="A68" s="34">
        <v>31.5</v>
      </c>
      <c r="B68" s="12">
        <v>0</v>
      </c>
      <c r="C68" s="35">
        <f t="shared" si="1"/>
        <v>0</v>
      </c>
      <c r="D68" s="12">
        <f t="shared" si="2"/>
        <v>0</v>
      </c>
      <c r="E68" s="12">
        <f t="shared" si="0"/>
        <v>0</v>
      </c>
      <c r="F68" s="12">
        <f>E68/Calculation!K$19*1000</f>
        <v>0</v>
      </c>
      <c r="G68" s="12">
        <f t="shared" si="3"/>
        <v>15.601936220855238</v>
      </c>
    </row>
    <row r="69" spans="1:7">
      <c r="A69" s="34">
        <v>32</v>
      </c>
      <c r="B69" s="12">
        <v>0</v>
      </c>
      <c r="C69" s="35">
        <f t="shared" si="1"/>
        <v>0</v>
      </c>
      <c r="D69" s="12">
        <f t="shared" si="2"/>
        <v>0</v>
      </c>
      <c r="E69" s="12">
        <f t="shared" si="0"/>
        <v>0</v>
      </c>
      <c r="F69" s="12">
        <f>E69/Calculation!K$19*1000</f>
        <v>0</v>
      </c>
      <c r="G69" s="12">
        <f t="shared" si="3"/>
        <v>15.601936220855238</v>
      </c>
    </row>
    <row r="70" spans="1:7">
      <c r="A70" s="34">
        <v>32.5</v>
      </c>
      <c r="B70" s="12">
        <v>0</v>
      </c>
      <c r="C70" s="35">
        <f t="shared" ref="C70:C101" si="4">B70/1000</f>
        <v>0</v>
      </c>
      <c r="D70" s="12">
        <f t="shared" ref="D70:D101" si="5">C70/1000*$B$1</f>
        <v>0</v>
      </c>
      <c r="E70" s="12">
        <f t="shared" ref="E70:E101" si="6">D70/22.4</f>
        <v>0</v>
      </c>
      <c r="F70" s="12">
        <f>E70/Calculation!K$19*1000</f>
        <v>0</v>
      </c>
      <c r="G70" s="12">
        <f t="shared" si="3"/>
        <v>15.601936220855238</v>
      </c>
    </row>
    <row r="71" spans="1:7">
      <c r="A71" s="34">
        <v>33</v>
      </c>
      <c r="B71" s="12">
        <v>0</v>
      </c>
      <c r="C71" s="35">
        <f t="shared" si="4"/>
        <v>0</v>
      </c>
      <c r="D71" s="12">
        <f t="shared" si="5"/>
        <v>0</v>
      </c>
      <c r="E71" s="12">
        <f t="shared" si="6"/>
        <v>0</v>
      </c>
      <c r="F71" s="12">
        <f>E71/Calculation!K$19*1000</f>
        <v>0</v>
      </c>
      <c r="G71" s="12">
        <f t="shared" ref="G71:G101" si="7">G70+(F71+F70)/2*30</f>
        <v>15.601936220855238</v>
      </c>
    </row>
    <row r="72" spans="1:7">
      <c r="A72" s="34">
        <v>33.5</v>
      </c>
      <c r="B72" s="12">
        <v>0</v>
      </c>
      <c r="C72" s="35">
        <f t="shared" si="4"/>
        <v>0</v>
      </c>
      <c r="D72" s="12">
        <f t="shared" si="5"/>
        <v>0</v>
      </c>
      <c r="E72" s="12">
        <f t="shared" si="6"/>
        <v>0</v>
      </c>
      <c r="F72" s="12">
        <f>E72/Calculation!K$19*1000</f>
        <v>0</v>
      </c>
      <c r="G72" s="12">
        <f t="shared" si="7"/>
        <v>15.601936220855238</v>
      </c>
    </row>
    <row r="73" spans="1:7">
      <c r="A73" s="34">
        <v>34</v>
      </c>
      <c r="B73" s="12">
        <v>0</v>
      </c>
      <c r="C73" s="35">
        <f t="shared" si="4"/>
        <v>0</v>
      </c>
      <c r="D73" s="12">
        <f t="shared" si="5"/>
        <v>0</v>
      </c>
      <c r="E73" s="12">
        <f t="shared" si="6"/>
        <v>0</v>
      </c>
      <c r="F73" s="12">
        <f>E73/Calculation!K$19*1000</f>
        <v>0</v>
      </c>
      <c r="G73" s="12">
        <f t="shared" si="7"/>
        <v>15.601936220855238</v>
      </c>
    </row>
    <row r="74" spans="1:7">
      <c r="A74" s="34">
        <v>34.5</v>
      </c>
      <c r="B74" s="12">
        <v>0</v>
      </c>
      <c r="C74" s="35">
        <f t="shared" si="4"/>
        <v>0</v>
      </c>
      <c r="D74" s="12">
        <f t="shared" si="5"/>
        <v>0</v>
      </c>
      <c r="E74" s="12">
        <f t="shared" si="6"/>
        <v>0</v>
      </c>
      <c r="F74" s="12">
        <f>E74/Calculation!K$19*1000</f>
        <v>0</v>
      </c>
      <c r="G74" s="12">
        <f t="shared" si="7"/>
        <v>15.601936220855238</v>
      </c>
    </row>
    <row r="75" spans="1:7">
      <c r="A75" s="34">
        <v>35</v>
      </c>
      <c r="B75" s="12">
        <v>0</v>
      </c>
      <c r="C75" s="35">
        <f t="shared" si="4"/>
        <v>0</v>
      </c>
      <c r="D75" s="12">
        <f t="shared" si="5"/>
        <v>0</v>
      </c>
      <c r="E75" s="12">
        <f t="shared" si="6"/>
        <v>0</v>
      </c>
      <c r="F75" s="12">
        <f>E75/Calculation!K$19*1000</f>
        <v>0</v>
      </c>
      <c r="G75" s="12">
        <f t="shared" si="7"/>
        <v>15.601936220855238</v>
      </c>
    </row>
    <row r="76" spans="1:7">
      <c r="A76" s="34">
        <v>35.5</v>
      </c>
      <c r="B76" s="12">
        <v>0</v>
      </c>
      <c r="C76" s="35">
        <f t="shared" si="4"/>
        <v>0</v>
      </c>
      <c r="D76" s="12">
        <f t="shared" si="5"/>
        <v>0</v>
      </c>
      <c r="E76" s="12">
        <f t="shared" si="6"/>
        <v>0</v>
      </c>
      <c r="F76" s="12">
        <f>E76/Calculation!K$19*1000</f>
        <v>0</v>
      </c>
      <c r="G76" s="12">
        <f t="shared" si="7"/>
        <v>15.601936220855238</v>
      </c>
    </row>
    <row r="77" spans="1:7">
      <c r="A77" s="34">
        <v>36</v>
      </c>
      <c r="B77" s="12">
        <v>0</v>
      </c>
      <c r="C77" s="35">
        <f t="shared" si="4"/>
        <v>0</v>
      </c>
      <c r="D77" s="12">
        <f t="shared" si="5"/>
        <v>0</v>
      </c>
      <c r="E77" s="12">
        <f t="shared" si="6"/>
        <v>0</v>
      </c>
      <c r="F77" s="12">
        <f>E77/Calculation!K$19*1000</f>
        <v>0</v>
      </c>
      <c r="G77" s="12">
        <f t="shared" si="7"/>
        <v>15.601936220855238</v>
      </c>
    </row>
    <row r="78" spans="1:7">
      <c r="A78" s="34">
        <v>36.5</v>
      </c>
      <c r="B78" s="12">
        <v>0</v>
      </c>
      <c r="C78" s="35">
        <f t="shared" si="4"/>
        <v>0</v>
      </c>
      <c r="D78" s="12">
        <f t="shared" si="5"/>
        <v>0</v>
      </c>
      <c r="E78" s="12">
        <f t="shared" si="6"/>
        <v>0</v>
      </c>
      <c r="F78" s="12">
        <f>E78/Calculation!K$19*1000</f>
        <v>0</v>
      </c>
      <c r="G78" s="12">
        <f t="shared" si="7"/>
        <v>15.601936220855238</v>
      </c>
    </row>
    <row r="79" spans="1:7">
      <c r="A79" s="34">
        <v>37</v>
      </c>
      <c r="B79" s="12">
        <v>0</v>
      </c>
      <c r="C79" s="35">
        <f t="shared" si="4"/>
        <v>0</v>
      </c>
      <c r="D79" s="12">
        <f t="shared" si="5"/>
        <v>0</v>
      </c>
      <c r="E79" s="12">
        <f t="shared" si="6"/>
        <v>0</v>
      </c>
      <c r="F79" s="12">
        <f>E79/Calculation!K$19*1000</f>
        <v>0</v>
      </c>
      <c r="G79" s="12">
        <f t="shared" si="7"/>
        <v>15.601936220855238</v>
      </c>
    </row>
    <row r="80" spans="1:7">
      <c r="A80" s="34">
        <v>37.5</v>
      </c>
      <c r="B80" s="12">
        <v>0</v>
      </c>
      <c r="C80" s="35">
        <f t="shared" si="4"/>
        <v>0</v>
      </c>
      <c r="D80" s="12">
        <f t="shared" si="5"/>
        <v>0</v>
      </c>
      <c r="E80" s="12">
        <f t="shared" si="6"/>
        <v>0</v>
      </c>
      <c r="F80" s="12">
        <f>E80/Calculation!K$19*1000</f>
        <v>0</v>
      </c>
      <c r="G80" s="12">
        <f t="shared" si="7"/>
        <v>15.601936220855238</v>
      </c>
    </row>
    <row r="81" spans="1:7">
      <c r="A81" s="34">
        <v>38</v>
      </c>
      <c r="B81" s="12">
        <v>0</v>
      </c>
      <c r="C81" s="35">
        <f t="shared" si="4"/>
        <v>0</v>
      </c>
      <c r="D81" s="12">
        <f t="shared" si="5"/>
        <v>0</v>
      </c>
      <c r="E81" s="12">
        <f t="shared" si="6"/>
        <v>0</v>
      </c>
      <c r="F81" s="12">
        <f>E81/Calculation!K$19*1000</f>
        <v>0</v>
      </c>
      <c r="G81" s="12">
        <f t="shared" si="7"/>
        <v>15.601936220855238</v>
      </c>
    </row>
    <row r="82" spans="1:7">
      <c r="A82" s="34">
        <v>38.5</v>
      </c>
      <c r="B82" s="12">
        <v>0</v>
      </c>
      <c r="C82" s="35">
        <f t="shared" si="4"/>
        <v>0</v>
      </c>
      <c r="D82" s="12">
        <f t="shared" si="5"/>
        <v>0</v>
      </c>
      <c r="E82" s="12">
        <f t="shared" si="6"/>
        <v>0</v>
      </c>
      <c r="F82" s="12">
        <f>E82/Calculation!K$19*1000</f>
        <v>0</v>
      </c>
      <c r="G82" s="12">
        <f t="shared" si="7"/>
        <v>15.601936220855238</v>
      </c>
    </row>
    <row r="83" spans="1:7">
      <c r="A83" s="34">
        <v>39</v>
      </c>
      <c r="B83" s="12">
        <v>176.76</v>
      </c>
      <c r="C83" s="35">
        <f t="shared" si="4"/>
        <v>0.17676</v>
      </c>
      <c r="D83" s="12">
        <f t="shared" si="5"/>
        <v>1.2337848E-2</v>
      </c>
      <c r="E83" s="12">
        <f t="shared" si="6"/>
        <v>5.5079678571428572E-4</v>
      </c>
      <c r="F83" s="12">
        <f>E83/Calculation!K$19*1000</f>
        <v>7.7070316621673045E-4</v>
      </c>
      <c r="G83" s="12">
        <f t="shared" si="7"/>
        <v>15.613496768348488</v>
      </c>
    </row>
    <row r="84" spans="1:7">
      <c r="A84" s="34">
        <v>39.5</v>
      </c>
      <c r="B84" s="12">
        <v>196.84</v>
      </c>
      <c r="C84" s="35">
        <f t="shared" si="4"/>
        <v>0.19684000000000001</v>
      </c>
      <c r="D84" s="12">
        <f t="shared" si="5"/>
        <v>1.3739432000000001E-2</v>
      </c>
      <c r="E84" s="12">
        <f t="shared" si="6"/>
        <v>6.1336750000000014E-4</v>
      </c>
      <c r="F84" s="12">
        <f>E84/Calculation!K$19*1000</f>
        <v>8.5825532494965631E-4</v>
      </c>
      <c r="G84" s="12">
        <f t="shared" si="7"/>
        <v>15.637931145715985</v>
      </c>
    </row>
    <row r="85" spans="1:7">
      <c r="A85" s="34">
        <v>40</v>
      </c>
      <c r="B85" s="12">
        <v>219.79</v>
      </c>
      <c r="C85" s="35">
        <f t="shared" si="4"/>
        <v>0.21978999999999999</v>
      </c>
      <c r="D85" s="12">
        <f t="shared" si="5"/>
        <v>1.5341341999999997E-2</v>
      </c>
      <c r="E85" s="12">
        <f t="shared" si="6"/>
        <v>6.8488133928571425E-4</v>
      </c>
      <c r="F85" s="12">
        <f>E85/Calculation!K$19*1000</f>
        <v>9.5832116374052487E-4</v>
      </c>
      <c r="G85" s="12">
        <f t="shared" si="7"/>
        <v>15.665179793046338</v>
      </c>
    </row>
    <row r="86" spans="1:7">
      <c r="A86" s="34">
        <v>40.5</v>
      </c>
      <c r="B86" s="12">
        <v>257.79000000000002</v>
      </c>
      <c r="C86" s="35">
        <f t="shared" si="4"/>
        <v>0.25779000000000002</v>
      </c>
      <c r="D86" s="12">
        <f t="shared" si="5"/>
        <v>1.7993742000000004E-2</v>
      </c>
      <c r="E86" s="12">
        <f t="shared" si="6"/>
        <v>8.0329205357142881E-4</v>
      </c>
      <c r="F86" s="12">
        <f>E86/Calculation!K$19*1000</f>
        <v>1.1240075199084125E-3</v>
      </c>
      <c r="G86" s="12">
        <f t="shared" si="7"/>
        <v>15.696414723301071</v>
      </c>
    </row>
    <row r="87" spans="1:7">
      <c r="A87" s="34">
        <v>41</v>
      </c>
      <c r="B87" s="12">
        <v>302.61</v>
      </c>
      <c r="C87" s="35">
        <f t="shared" si="4"/>
        <v>0.30260999999999999</v>
      </c>
      <c r="D87" s="12">
        <f t="shared" si="5"/>
        <v>2.1122177999999998E-2</v>
      </c>
      <c r="E87" s="12">
        <f t="shared" si="6"/>
        <v>9.4295437499999999E-4</v>
      </c>
      <c r="F87" s="12">
        <f>E87/Calculation!K$19*1000</f>
        <v>1.3194302168411675E-3</v>
      </c>
      <c r="G87" s="12">
        <f t="shared" si="7"/>
        <v>15.733066289352315</v>
      </c>
    </row>
    <row r="88" spans="1:7">
      <c r="A88" s="34">
        <v>41.5</v>
      </c>
      <c r="B88" s="12">
        <v>349.22</v>
      </c>
      <c r="C88" s="35">
        <f t="shared" si="4"/>
        <v>0.34922000000000003</v>
      </c>
      <c r="D88" s="12">
        <f t="shared" si="5"/>
        <v>2.4375556E-2</v>
      </c>
      <c r="E88" s="12">
        <f t="shared" si="6"/>
        <v>1.0881944642857143E-3</v>
      </c>
      <c r="F88" s="12">
        <f>E88/Calculation!K$19*1000</f>
        <v>1.5226576131828842E-3</v>
      </c>
      <c r="G88" s="12">
        <f t="shared" si="7"/>
        <v>15.775697606802677</v>
      </c>
    </row>
    <row r="89" spans="1:7">
      <c r="A89" s="34">
        <v>42</v>
      </c>
      <c r="B89" s="12">
        <v>405.51</v>
      </c>
      <c r="C89" s="35">
        <f t="shared" si="4"/>
        <v>0.40550999999999998</v>
      </c>
      <c r="D89" s="12">
        <f t="shared" si="5"/>
        <v>2.8304597999999997E-2</v>
      </c>
      <c r="E89" s="12">
        <f t="shared" si="6"/>
        <v>1.263598125E-3</v>
      </c>
      <c r="F89" s="12">
        <f>E89/Calculation!K$19*1000</f>
        <v>1.7680914286747362E-3</v>
      </c>
      <c r="G89" s="12">
        <f t="shared" si="7"/>
        <v>15.825058842430542</v>
      </c>
    </row>
    <row r="90" spans="1:7">
      <c r="A90" s="34">
        <v>42.5</v>
      </c>
      <c r="B90" s="12">
        <v>451.58</v>
      </c>
      <c r="C90" s="35">
        <f t="shared" si="4"/>
        <v>0.45157999999999998</v>
      </c>
      <c r="D90" s="12">
        <f t="shared" si="5"/>
        <v>3.1520283999999996E-2</v>
      </c>
      <c r="E90" s="12">
        <f t="shared" si="6"/>
        <v>1.4071555357142856E-3</v>
      </c>
      <c r="F90" s="12">
        <f>E90/Calculation!K$19*1000</f>
        <v>1.9689643346919618E-3</v>
      </c>
      <c r="G90" s="12">
        <f t="shared" si="7"/>
        <v>15.881114678881042</v>
      </c>
    </row>
    <row r="91" spans="1:7">
      <c r="A91" s="34">
        <v>43</v>
      </c>
      <c r="B91" s="12">
        <v>540.67999999999995</v>
      </c>
      <c r="C91" s="35">
        <f t="shared" si="4"/>
        <v>0.54067999999999994</v>
      </c>
      <c r="D91" s="12">
        <f t="shared" si="5"/>
        <v>3.7739464E-2</v>
      </c>
      <c r="E91" s="12">
        <f t="shared" si="6"/>
        <v>1.6847975000000002E-3</v>
      </c>
      <c r="F91" s="12">
        <f>E91/Calculation!K$19*1000</f>
        <v>2.357455238232982E-3</v>
      </c>
      <c r="G91" s="12">
        <f t="shared" si="7"/>
        <v>15.946010972474916</v>
      </c>
    </row>
    <row r="92" spans="1:7">
      <c r="A92" s="34">
        <v>43.5</v>
      </c>
      <c r="B92" s="12">
        <v>640.71</v>
      </c>
      <c r="C92" s="35">
        <f t="shared" si="4"/>
        <v>0.64071</v>
      </c>
      <c r="D92" s="12">
        <f t="shared" si="5"/>
        <v>4.4721557999999995E-2</v>
      </c>
      <c r="E92" s="12">
        <f t="shared" si="6"/>
        <v>1.9964981249999997E-3</v>
      </c>
      <c r="F92" s="12">
        <f>E92/Calculation!K$19*1000</f>
        <v>2.7936027700086064E-3</v>
      </c>
      <c r="G92" s="12">
        <f t="shared" si="7"/>
        <v>16.023276842598541</v>
      </c>
    </row>
    <row r="93" spans="1:7">
      <c r="A93" s="34">
        <v>44</v>
      </c>
      <c r="B93" s="12">
        <v>747.2</v>
      </c>
      <c r="C93" s="35">
        <f t="shared" si="4"/>
        <v>0.74720000000000009</v>
      </c>
      <c r="D93" s="12">
        <f t="shared" si="5"/>
        <v>5.2154560000000003E-2</v>
      </c>
      <c r="E93" s="12">
        <f t="shared" si="6"/>
        <v>2.3283285714285717E-3</v>
      </c>
      <c r="F93" s="12">
        <f>E93/Calculation!K$19*1000</f>
        <v>3.2579169823327737E-3</v>
      </c>
      <c r="G93" s="12">
        <f t="shared" si="7"/>
        <v>16.11404963888366</v>
      </c>
    </row>
    <row r="94" spans="1:7">
      <c r="A94" s="34">
        <v>44.5</v>
      </c>
      <c r="B94" s="12">
        <v>868.21</v>
      </c>
      <c r="C94" s="35">
        <f t="shared" si="4"/>
        <v>0.86821000000000004</v>
      </c>
      <c r="D94" s="12">
        <f t="shared" si="5"/>
        <v>6.0601057999999999E-2</v>
      </c>
      <c r="E94" s="12">
        <f t="shared" si="6"/>
        <v>2.705404375E-3</v>
      </c>
      <c r="F94" s="12">
        <f>E94/Calculation!K$19*1000</f>
        <v>3.7855408233821428E-3</v>
      </c>
      <c r="G94" s="12">
        <f t="shared" si="7"/>
        <v>16.219701505969383</v>
      </c>
    </row>
    <row r="95" spans="1:7">
      <c r="A95" s="34">
        <v>45</v>
      </c>
      <c r="B95" s="12">
        <v>1076.1600000000001</v>
      </c>
      <c r="C95" s="35">
        <f t="shared" si="4"/>
        <v>1.07616</v>
      </c>
      <c r="D95" s="12">
        <f t="shared" si="5"/>
        <v>7.5115968000000005E-2</v>
      </c>
      <c r="E95" s="12">
        <f t="shared" si="6"/>
        <v>3.3533914285714291E-3</v>
      </c>
      <c r="F95" s="12">
        <f>E95/Calculation!K$19*1000</f>
        <v>4.6922376066745684E-3</v>
      </c>
      <c r="G95" s="12">
        <f t="shared" si="7"/>
        <v>16.346868182420234</v>
      </c>
    </row>
    <row r="96" spans="1:7">
      <c r="A96" s="34">
        <v>45.5</v>
      </c>
      <c r="B96" s="12">
        <v>1230.33</v>
      </c>
      <c r="C96" s="35">
        <f t="shared" si="4"/>
        <v>1.2303299999999999</v>
      </c>
      <c r="D96" s="12">
        <f t="shared" si="5"/>
        <v>8.5877033999999991E-2</v>
      </c>
      <c r="E96" s="12">
        <f t="shared" si="6"/>
        <v>3.8337961607142856E-3</v>
      </c>
      <c r="F96" s="12">
        <f>E96/Calculation!K$19*1000</f>
        <v>5.3644445943167567E-3</v>
      </c>
      <c r="G96" s="12">
        <f t="shared" si="7"/>
        <v>16.497718415435106</v>
      </c>
    </row>
    <row r="97" spans="1:7">
      <c r="A97" s="34">
        <v>46</v>
      </c>
      <c r="B97" s="12">
        <v>1364.61</v>
      </c>
      <c r="C97" s="35">
        <f t="shared" si="4"/>
        <v>1.3646099999999999</v>
      </c>
      <c r="D97" s="12">
        <f t="shared" si="5"/>
        <v>9.5249777999999979E-2</v>
      </c>
      <c r="E97" s="12">
        <f t="shared" si="6"/>
        <v>4.2522222321428561E-3</v>
      </c>
      <c r="F97" s="12">
        <f>E97/Calculation!K$19*1000</f>
        <v>5.9499278550068585E-3</v>
      </c>
      <c r="G97" s="12">
        <f t="shared" si="7"/>
        <v>16.667434002174961</v>
      </c>
    </row>
    <row r="98" spans="1:7">
      <c r="A98" s="34">
        <v>46.5</v>
      </c>
      <c r="B98" s="12">
        <v>1175.83</v>
      </c>
      <c r="C98" s="35">
        <f t="shared" si="4"/>
        <v>1.1758299999999999</v>
      </c>
      <c r="D98" s="12">
        <f t="shared" si="5"/>
        <v>8.2072933999999986E-2</v>
      </c>
      <c r="E98" s="12">
        <f t="shared" si="6"/>
        <v>3.6639702678571426E-3</v>
      </c>
      <c r="F98" s="12">
        <f>E98/Calculation!K$19*1000</f>
        <v>5.1268154782338664E-3</v>
      </c>
      <c r="G98" s="12">
        <f t="shared" si="7"/>
        <v>16.833585152173573</v>
      </c>
    </row>
    <row r="99" spans="1:7">
      <c r="A99" s="34">
        <v>47</v>
      </c>
      <c r="B99" s="12">
        <v>883.09</v>
      </c>
      <c r="C99" s="35">
        <f t="shared" si="4"/>
        <v>0.88309000000000004</v>
      </c>
      <c r="D99" s="12">
        <f t="shared" si="5"/>
        <v>6.1639682000000001E-2</v>
      </c>
      <c r="E99" s="12">
        <f t="shared" si="6"/>
        <v>2.7517715178571431E-3</v>
      </c>
      <c r="F99" s="12">
        <f>E99/Calculation!K$19*1000</f>
        <v>3.850420112323674E-3</v>
      </c>
      <c r="G99" s="12">
        <f t="shared" si="7"/>
        <v>16.968243686031936</v>
      </c>
    </row>
    <row r="100" spans="1:7">
      <c r="A100" s="34">
        <v>47.5</v>
      </c>
      <c r="B100" s="12">
        <v>640.71</v>
      </c>
      <c r="C100" s="35">
        <f t="shared" si="4"/>
        <v>0.64071</v>
      </c>
      <c r="D100" s="12">
        <f t="shared" si="5"/>
        <v>4.4721557999999995E-2</v>
      </c>
      <c r="E100" s="12">
        <f t="shared" si="6"/>
        <v>1.9964981249999997E-3</v>
      </c>
      <c r="F100" s="12">
        <f>E100/Calculation!K$19*1000</f>
        <v>2.7936027700086064E-3</v>
      </c>
      <c r="G100" s="12">
        <f t="shared" si="7"/>
        <v>17.06790402926692</v>
      </c>
    </row>
    <row r="101" spans="1:7">
      <c r="A101" s="34">
        <v>48</v>
      </c>
      <c r="B101" s="12">
        <v>469.87</v>
      </c>
      <c r="C101" s="35">
        <f t="shared" si="4"/>
        <v>0.46987000000000001</v>
      </c>
      <c r="D101" s="12">
        <f t="shared" si="5"/>
        <v>3.2796925999999997E-2</v>
      </c>
      <c r="E101" s="12">
        <f t="shared" si="6"/>
        <v>1.4641484821428571E-3</v>
      </c>
      <c r="F101" s="12">
        <f>E101/Calculation!K$20*1000</f>
        <v>2.2289503682695268E-3</v>
      </c>
      <c r="G101" s="12">
        <f t="shared" si="7"/>
        <v>17.143242326341092</v>
      </c>
    </row>
    <row r="102" spans="1:7">
      <c r="A102" s="34">
        <v>48.5</v>
      </c>
      <c r="B102" s="12">
        <v>356.39</v>
      </c>
      <c r="C102" s="35">
        <f t="shared" ref="C102:C105" si="8">B102/1000</f>
        <v>0.35638999999999998</v>
      </c>
      <c r="D102" s="12">
        <f t="shared" ref="D102:D105" si="9">C102/1000*$B$1</f>
        <v>2.4876021999999998E-2</v>
      </c>
      <c r="E102" s="12">
        <f t="shared" ref="E102:E105" si="10">D102/22.4</f>
        <v>1.1105366964285714E-3</v>
      </c>
      <c r="F102" s="12">
        <f>E102/Calculation!K$4*1000</f>
        <v>7.6010440394892059E-4</v>
      </c>
      <c r="G102" s="12">
        <f t="shared" ref="G102:G105" si="11">G101+(F102+F101)/2*30</f>
        <v>17.188078147924369</v>
      </c>
    </row>
    <row r="103" spans="1:7">
      <c r="A103" s="34">
        <v>49</v>
      </c>
      <c r="B103" s="12">
        <v>239.86</v>
      </c>
      <c r="C103" s="35">
        <f t="shared" si="8"/>
        <v>0.23986000000000002</v>
      </c>
      <c r="D103" s="12">
        <f t="shared" si="9"/>
        <v>1.6742228000000001E-2</v>
      </c>
      <c r="E103" s="12">
        <f t="shared" si="10"/>
        <v>7.4742089285714298E-4</v>
      </c>
      <c r="F103" s="12">
        <f>E103/Calculation!K$4*1000</f>
        <v>5.1157058932963363E-4</v>
      </c>
      <c r="G103" s="12">
        <f t="shared" si="11"/>
        <v>17.207153272823547</v>
      </c>
    </row>
    <row r="104" spans="1:7">
      <c r="A104" s="34">
        <v>49.5</v>
      </c>
      <c r="B104" s="12">
        <v>0</v>
      </c>
      <c r="C104" s="35">
        <f t="shared" si="8"/>
        <v>0</v>
      </c>
      <c r="D104" s="12">
        <f t="shared" si="9"/>
        <v>0</v>
      </c>
      <c r="E104" s="12">
        <f t="shared" si="10"/>
        <v>0</v>
      </c>
      <c r="F104" s="12">
        <f>E104/Calculation!K$4*1000</f>
        <v>0</v>
      </c>
      <c r="G104" s="12">
        <f t="shared" si="11"/>
        <v>17.21482683166349</v>
      </c>
    </row>
    <row r="105" spans="1:7">
      <c r="A105" s="34">
        <v>50</v>
      </c>
      <c r="B105" s="12">
        <v>0</v>
      </c>
      <c r="C105" s="35">
        <f t="shared" si="8"/>
        <v>0</v>
      </c>
      <c r="D105" s="12">
        <f t="shared" si="9"/>
        <v>0</v>
      </c>
      <c r="E105" s="12">
        <f t="shared" si="10"/>
        <v>0</v>
      </c>
      <c r="F105" s="12">
        <f>E105/Calculation!K$4*1000</f>
        <v>0</v>
      </c>
      <c r="G105" s="12">
        <f t="shared" si="11"/>
        <v>17.21482683166349</v>
      </c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M19" sqref="M19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79" t="s">
        <v>41</v>
      </c>
      <c r="B1" s="79"/>
      <c r="D1" s="93" t="s">
        <v>4</v>
      </c>
      <c r="E1" s="93" t="s">
        <v>5</v>
      </c>
      <c r="F1" s="79" t="s">
        <v>142</v>
      </c>
      <c r="G1" s="79"/>
      <c r="H1" s="79"/>
      <c r="I1" s="79"/>
      <c r="J1" s="79" t="s">
        <v>42</v>
      </c>
      <c r="K1" s="79"/>
      <c r="L1" s="79"/>
      <c r="M1" s="79"/>
      <c r="N1" s="91" t="s">
        <v>43</v>
      </c>
      <c r="O1" s="77"/>
      <c r="P1" s="77"/>
      <c r="Q1" s="92"/>
      <c r="R1" s="79" t="s">
        <v>65</v>
      </c>
      <c r="S1" s="79"/>
      <c r="T1" s="79"/>
      <c r="U1" s="79"/>
    </row>
    <row r="2" spans="1:21">
      <c r="A2" s="79" t="s">
        <v>34</v>
      </c>
      <c r="B2" s="79"/>
      <c r="D2" s="93"/>
      <c r="E2" s="93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79" t="s">
        <v>35</v>
      </c>
      <c r="B3" s="14" t="s">
        <v>38</v>
      </c>
      <c r="D3" s="16">
        <v>0</v>
      </c>
      <c r="E3" s="62">
        <v>-0.16666666666666666</v>
      </c>
      <c r="F3" s="51">
        <v>25.503256364712843</v>
      </c>
      <c r="G3" s="51">
        <v>0.34651768379542541</v>
      </c>
      <c r="H3" s="13">
        <f>F3*Calculation!I3/Calculation!F22</f>
        <v>25.503256364712847</v>
      </c>
      <c r="I3" s="13">
        <f>G3*Calculation!I3/Calculation!F22</f>
        <v>0.34651768379542536</v>
      </c>
      <c r="J3" s="13">
        <v>0.68827708703374779</v>
      </c>
      <c r="K3" s="13">
        <v>2.2202486678508014E-2</v>
      </c>
      <c r="L3" s="13">
        <f>J3*Calculation!I3/Calculation!F22</f>
        <v>0.68827708703374779</v>
      </c>
      <c r="M3" s="13">
        <f>K3*Calculation!I3/Calculation!F22</f>
        <v>2.2202486678508014E-2</v>
      </c>
      <c r="N3" s="13">
        <v>25.179017485428808</v>
      </c>
      <c r="O3" s="13">
        <v>0.14517565174157129</v>
      </c>
      <c r="P3" s="13">
        <f>N3*Calculation!I3/Calculation!F22</f>
        <v>25.179017485428812</v>
      </c>
      <c r="Q3" s="13">
        <f>O3*Calculation!I3/Calculation!F22</f>
        <v>0.14517565174157129</v>
      </c>
      <c r="R3" s="13">
        <v>0</v>
      </c>
      <c r="S3" s="13">
        <v>0</v>
      </c>
      <c r="T3" s="13">
        <f>R3*Calculation!I3/Calculation!F22</f>
        <v>0</v>
      </c>
      <c r="U3" s="13">
        <f>S3*Calculation!I3/Calculation!F22</f>
        <v>0</v>
      </c>
    </row>
    <row r="4" spans="1:21">
      <c r="A4" s="79"/>
      <c r="B4" s="14" t="s">
        <v>39</v>
      </c>
      <c r="D4" s="16">
        <v>0</v>
      </c>
      <c r="E4" s="63">
        <v>0.16666666666666666</v>
      </c>
      <c r="F4" s="51">
        <v>26.073120189461225</v>
      </c>
      <c r="G4" s="51">
        <v>0.18252460709204485</v>
      </c>
      <c r="H4" s="13">
        <f>F4*Calculation!I4/Calculation!K3</f>
        <v>26.090398599129522</v>
      </c>
      <c r="I4" s="13">
        <f>G4*Calculation!I4/Calculation!K3</f>
        <v>0.18264556441947494</v>
      </c>
      <c r="J4" s="13">
        <v>0.71047957371225579</v>
      </c>
      <c r="K4" s="13">
        <v>0</v>
      </c>
      <c r="L4" s="13">
        <f>J4*Calculation!I4/Calculation!K3</f>
        <v>0.71095040179291336</v>
      </c>
      <c r="M4" s="13">
        <f>K4*Calculation!I4/Calculation!K3</f>
        <v>0</v>
      </c>
      <c r="N4" s="13">
        <v>26.3669164585068</v>
      </c>
      <c r="O4" s="13">
        <v>0.43467714572194083</v>
      </c>
      <c r="P4" s="13">
        <f>N4*Calculation!I4/Calculation!K3</f>
        <v>26.384389564178441</v>
      </c>
      <c r="Q4" s="13">
        <f>O4*Calculation!I4/Calculation!K3</f>
        <v>0.43496520214720386</v>
      </c>
      <c r="R4" s="13">
        <v>0</v>
      </c>
      <c r="S4" s="13">
        <v>0</v>
      </c>
      <c r="T4" s="13">
        <f>R4*Calculation!I4/Calculation!K3</f>
        <v>0</v>
      </c>
      <c r="U4" s="13">
        <f>S4*Calculation!I4/Calculation!K3</f>
        <v>0</v>
      </c>
    </row>
    <row r="5" spans="1:21">
      <c r="A5" s="15" t="s">
        <v>37</v>
      </c>
      <c r="B5" s="15">
        <v>180.16</v>
      </c>
      <c r="D5" s="16">
        <v>1</v>
      </c>
      <c r="E5" s="63">
        <v>2</v>
      </c>
      <c r="F5" s="51">
        <v>26.835405565423326</v>
      </c>
      <c r="G5" s="51">
        <v>0.11339219542661631</v>
      </c>
      <c r="H5" s="13">
        <f>F5*Calculation!I5/Calculation!K4</f>
        <v>26.853189134386493</v>
      </c>
      <c r="I5" s="13">
        <f>G5*Calculation!I5/Calculation!K4</f>
        <v>0.11346733935996728</v>
      </c>
      <c r="J5" s="13">
        <v>0.76228537596210777</v>
      </c>
      <c r="K5" s="13">
        <v>1.2818611660515681E-2</v>
      </c>
      <c r="L5" s="13">
        <f>J5*Calculation!I5/Calculation!K4</f>
        <v>0.76279053525697993</v>
      </c>
      <c r="M5" s="13">
        <f>K5*Calculation!I5/Calculation!K4</f>
        <v>1.2827106432987857E-2</v>
      </c>
      <c r="N5" s="13">
        <v>27.099639189564257</v>
      </c>
      <c r="O5" s="13">
        <v>0.36535071156046084</v>
      </c>
      <c r="P5" s="13">
        <f>N5*Calculation!I5/Calculation!K4</f>
        <v>27.117597863646139</v>
      </c>
      <c r="Q5" s="13">
        <f>O5*Calculation!I5/Calculation!K4</f>
        <v>0.36559282601477522</v>
      </c>
      <c r="R5" s="13">
        <v>0</v>
      </c>
      <c r="S5" s="13">
        <v>0</v>
      </c>
      <c r="T5" s="13">
        <f>R5*Calculation!I5/Calculation!K4</f>
        <v>0</v>
      </c>
      <c r="U5" s="13">
        <f>S5*Calculation!I5/Calculation!K4</f>
        <v>0</v>
      </c>
    </row>
    <row r="6" spans="1:21">
      <c r="A6" s="15" t="s">
        <v>40</v>
      </c>
      <c r="B6" s="15">
        <v>180.16</v>
      </c>
      <c r="D6" s="16">
        <v>2</v>
      </c>
      <c r="E6" s="63">
        <v>3.3333333333333335</v>
      </c>
      <c r="F6" s="51">
        <v>25.83999407933689</v>
      </c>
      <c r="G6" s="51">
        <v>0.10073014793380751</v>
      </c>
      <c r="H6" s="13">
        <f>F6*Calculation!I6/Calculation!K5</f>
        <v>25.85711799854122</v>
      </c>
      <c r="I6" s="13">
        <f>G6*Calculation!I6/Calculation!K5</f>
        <v>0.10079690084827655</v>
      </c>
      <c r="J6" s="13">
        <v>0.74008288928359978</v>
      </c>
      <c r="K6" s="13">
        <v>1.2818611660515681E-2</v>
      </c>
      <c r="L6" s="13">
        <f>J6*Calculation!I6/Calculation!K5</f>
        <v>0.74057333520095137</v>
      </c>
      <c r="M6" s="13">
        <f>K6*Calculation!I6/Calculation!K5</f>
        <v>1.2827106432987859E-2</v>
      </c>
      <c r="N6" s="13">
        <v>26.067166250346933</v>
      </c>
      <c r="O6" s="13">
        <v>0.17091095551863081</v>
      </c>
      <c r="P6" s="13">
        <f>N6*Calculation!I6/Calculation!K5</f>
        <v>26.084440714396198</v>
      </c>
      <c r="Q6" s="13">
        <f>O6*Calculation!I6/Calculation!K5</f>
        <v>0.17102421658921968</v>
      </c>
      <c r="R6" s="13">
        <v>8.689984792526613E-2</v>
      </c>
      <c r="S6" s="13">
        <v>0</v>
      </c>
      <c r="T6" s="13">
        <f>R6*Calculation!I6/Calculation!K5</f>
        <v>8.6957435630982002E-2</v>
      </c>
      <c r="U6" s="13">
        <f>S6*Calculation!I6/Calculation!K5</f>
        <v>0</v>
      </c>
    </row>
    <row r="7" spans="1:21">
      <c r="A7" s="31" t="s">
        <v>116</v>
      </c>
      <c r="B7" s="31">
        <v>46.03</v>
      </c>
      <c r="D7" s="16">
        <v>3</v>
      </c>
      <c r="E7" s="63">
        <v>4.666666666666667</v>
      </c>
      <c r="F7" s="51">
        <v>25.884399052693901</v>
      </c>
      <c r="G7" s="51">
        <v>0.10895819911438258</v>
      </c>
      <c r="H7" s="13">
        <f>F7*Calculation!I7/Calculation!K6</f>
        <v>25.920583664192328</v>
      </c>
      <c r="I7" s="13">
        <f>G7*Calculation!I7/Calculation!K6</f>
        <v>0.10911051519081516</v>
      </c>
      <c r="J7" s="13">
        <v>0.77708703374777977</v>
      </c>
      <c r="K7" s="13">
        <v>2.2202486678507938E-2</v>
      </c>
      <c r="L7" s="13">
        <f>J7*Calculation!I7/Calculation!K6</f>
        <v>0.77817334803150662</v>
      </c>
      <c r="M7" s="13">
        <f>K7*Calculation!I7/Calculation!K6</f>
        <v>2.2233524229471561E-2</v>
      </c>
      <c r="N7" s="13">
        <v>26.211490424646129</v>
      </c>
      <c r="O7" s="13">
        <v>0.35089604505754363</v>
      </c>
      <c r="P7" s="13">
        <f>N7*Calculation!I7/Calculation!K6</f>
        <v>26.248132287409863</v>
      </c>
      <c r="Q7" s="13">
        <f>O7*Calculation!I7/Calculation!K6</f>
        <v>0.35138657362036219</v>
      </c>
      <c r="R7" s="13">
        <v>0.21724961981316532</v>
      </c>
      <c r="S7" s="13">
        <v>4.3449923962633065E-2</v>
      </c>
      <c r="T7" s="13">
        <f>R7*Calculation!I7/Calculation!K6</f>
        <v>0.21755331985561624</v>
      </c>
      <c r="U7" s="13">
        <f>S7*Calculation!I7/Calculation!K6</f>
        <v>4.3510663971123249E-2</v>
      </c>
    </row>
    <row r="8" spans="1:21">
      <c r="A8" s="15" t="s">
        <v>43</v>
      </c>
      <c r="B8" s="15">
        <v>60.05</v>
      </c>
      <c r="D8" s="16">
        <v>4</v>
      </c>
      <c r="E8" s="63">
        <v>6</v>
      </c>
      <c r="F8" s="51">
        <v>25.292332741267028</v>
      </c>
      <c r="G8" s="51">
        <v>0.30327599895889307</v>
      </c>
      <c r="H8" s="13">
        <f>F8*Calculation!I8/Calculation!K7</f>
        <v>25.327689684739756</v>
      </c>
      <c r="I8" s="13">
        <f>G8*Calculation!I8/Calculation!K7</f>
        <v>0.30369995796898186</v>
      </c>
      <c r="J8" s="13">
        <v>0.75488454706927177</v>
      </c>
      <c r="K8" s="13">
        <v>2.2202486678508014E-2</v>
      </c>
      <c r="L8" s="13">
        <f>J8*Calculation!I8/Calculation!K7</f>
        <v>0.75593982380203495</v>
      </c>
      <c r="M8" s="13">
        <f>K8*Calculation!I8/Calculation!K7</f>
        <v>2.2233524229471637E-2</v>
      </c>
      <c r="N8" s="13">
        <v>25.678601165695255</v>
      </c>
      <c r="O8" s="13">
        <v>0.30525067077141343</v>
      </c>
      <c r="P8" s="13">
        <f>N8*Calculation!I8/Calculation!K7</f>
        <v>25.714498085886916</v>
      </c>
      <c r="Q8" s="13">
        <f>O8*Calculation!I8/Calculation!K7</f>
        <v>0.30567739023702711</v>
      </c>
      <c r="R8" s="13">
        <v>0.31863277572597581</v>
      </c>
      <c r="S8" s="13">
        <v>2.5085825296094974E-2</v>
      </c>
      <c r="T8" s="13">
        <f>R8*Calculation!I8/Calculation!K7</f>
        <v>0.31907820245490381</v>
      </c>
      <c r="U8" s="13">
        <f>S8*Calculation!I8/Calculation!K7</f>
        <v>2.5120893556347362E-2</v>
      </c>
    </row>
    <row r="9" spans="1:21">
      <c r="A9" s="31" t="s">
        <v>67</v>
      </c>
      <c r="B9" s="31">
        <v>74.08</v>
      </c>
      <c r="D9" s="16">
        <v>5</v>
      </c>
      <c r="E9" s="63">
        <v>7.333333333333333</v>
      </c>
      <c r="F9" s="51">
        <v>25.114712847838959</v>
      </c>
      <c r="G9" s="51">
        <v>0.15153637677207968</v>
      </c>
      <c r="H9" s="13">
        <f>F9*Calculation!I9/Calculation!K8</f>
        <v>25.169797520682295</v>
      </c>
      <c r="I9" s="13">
        <f>G9*Calculation!I9/Calculation!K8</f>
        <v>0.15186874496553376</v>
      </c>
      <c r="J9" s="13">
        <v>0.76228537596210777</v>
      </c>
      <c r="K9" s="13">
        <v>1.2818611660515681E-2</v>
      </c>
      <c r="L9" s="13">
        <f>J9*Calculation!I9/Calculation!K8</f>
        <v>0.76395731387366328</v>
      </c>
      <c r="M9" s="13">
        <f>K9*Calculation!I9/Calculation!K8</f>
        <v>1.2846727014009999E-2</v>
      </c>
      <c r="N9" s="13">
        <v>25.367749097973913</v>
      </c>
      <c r="O9" s="13">
        <v>0.33526880645110213</v>
      </c>
      <c r="P9" s="13">
        <f>N9*Calculation!I9/Calculation!K8</f>
        <v>25.423388760999327</v>
      </c>
      <c r="Q9" s="13">
        <f>O9*Calculation!I9/Calculation!K8</f>
        <v>0.33600415917561177</v>
      </c>
      <c r="R9" s="13">
        <v>0.73864870736476207</v>
      </c>
      <c r="S9" s="13">
        <v>4.3449923962633023E-2</v>
      </c>
      <c r="T9" s="13">
        <f>R9*Calculation!I9/Calculation!K8</f>
        <v>0.74026880243166004</v>
      </c>
      <c r="U9" s="13">
        <f>S9*Calculation!I9/Calculation!K8</f>
        <v>4.3545223672450548E-2</v>
      </c>
    </row>
    <row r="10" spans="1:21">
      <c r="A10" s="31" t="s">
        <v>66</v>
      </c>
      <c r="B10" s="31">
        <v>88.11</v>
      </c>
      <c r="D10" s="16">
        <v>6</v>
      </c>
      <c r="E10" s="63">
        <v>8.6666666666666661</v>
      </c>
      <c r="F10" s="51">
        <v>24.034191829484904</v>
      </c>
      <c r="G10" s="51">
        <v>0.27485387218339186</v>
      </c>
      <c r="H10" s="13">
        <f>F10*Calculation!I10/Calculation!K9</f>
        <v>24.126752570209817</v>
      </c>
      <c r="I10" s="13">
        <f>G10*Calculation!I10/Calculation!K9</f>
        <v>0.27591239240245719</v>
      </c>
      <c r="J10" s="13">
        <v>0.76968620485494388</v>
      </c>
      <c r="K10" s="13">
        <v>3.3914858606837142E-2</v>
      </c>
      <c r="L10" s="13">
        <f>J10*Calculation!I10/Calculation!K9</f>
        <v>0.77265042873035295</v>
      </c>
      <c r="M10" s="13">
        <f>K10*Calculation!I10/Calculation!K9</f>
        <v>3.4045471878816541E-2</v>
      </c>
      <c r="N10" s="13">
        <v>24.646128226477931</v>
      </c>
      <c r="O10" s="13">
        <v>0.26435483541028409</v>
      </c>
      <c r="P10" s="13">
        <f>N10*Calculation!I10/Calculation!K9</f>
        <v>24.741045663304131</v>
      </c>
      <c r="Q10" s="13">
        <f>O10*Calculation!I10/Calculation!K9</f>
        <v>0.26537292162484821</v>
      </c>
      <c r="R10" s="13">
        <v>1.8104134984430442</v>
      </c>
      <c r="S10" s="13">
        <v>5.0171650592189816E-2</v>
      </c>
      <c r="T10" s="13">
        <f>R10*Calculation!I10/Calculation!K9</f>
        <v>1.8173857825798752</v>
      </c>
      <c r="U10" s="13">
        <f>S10*Calculation!I10/Calculation!K9</f>
        <v>5.0364872198106578E-2</v>
      </c>
    </row>
    <row r="11" spans="1:21">
      <c r="A11" s="15" t="s">
        <v>42</v>
      </c>
      <c r="B11" s="15">
        <v>90.08</v>
      </c>
      <c r="D11" s="16">
        <v>7</v>
      </c>
      <c r="E11" s="63">
        <v>10</v>
      </c>
      <c r="F11" s="51">
        <v>21.932356423919479</v>
      </c>
      <c r="G11" s="51">
        <v>0.35321032561730792</v>
      </c>
      <c r="H11" s="13">
        <f>F11*Calculation!I11/Calculation!K10</f>
        <v>22.111559311266891</v>
      </c>
      <c r="I11" s="13">
        <f>G11*Calculation!I11/Calculation!K10</f>
        <v>0.3560963041673606</v>
      </c>
      <c r="J11" s="13">
        <v>0.76968620485494388</v>
      </c>
      <c r="K11" s="13">
        <v>3.3914858606837142E-2</v>
      </c>
      <c r="L11" s="13">
        <f>J11*Calculation!I11/Calculation!K10</f>
        <v>0.77597508634106871</v>
      </c>
      <c r="M11" s="13">
        <f>K11*Calculation!I11/Calculation!K10</f>
        <v>3.419196702459458E-2</v>
      </c>
      <c r="N11" s="13">
        <v>23.84679433805163</v>
      </c>
      <c r="O11" s="13">
        <v>0.28843477228457598</v>
      </c>
      <c r="P11" s="13">
        <f>N11*Calculation!I11/Calculation!K10</f>
        <v>24.041639539212881</v>
      </c>
      <c r="Q11" s="13">
        <f>O11*Calculation!I11/Calculation!K10</f>
        <v>0.29079148868137944</v>
      </c>
      <c r="R11" s="13">
        <v>4.9098414077775363</v>
      </c>
      <c r="S11" s="13">
        <v>0.15666092876228516</v>
      </c>
      <c r="T11" s="13">
        <f>R11*Calculation!I11/Calculation!K10</f>
        <v>4.9499582898710655</v>
      </c>
      <c r="U11" s="13">
        <f>S11*Calculation!I11/Calculation!K10</f>
        <v>0.15794095951803702</v>
      </c>
    </row>
    <row r="12" spans="1:21">
      <c r="A12" s="15" t="s">
        <v>44</v>
      </c>
      <c r="B12" s="15">
        <v>46.07</v>
      </c>
      <c r="D12" s="16">
        <v>8</v>
      </c>
      <c r="E12" s="63">
        <v>11.333333333333334</v>
      </c>
      <c r="F12" s="51">
        <v>18.202338661930135</v>
      </c>
      <c r="G12" s="51">
        <v>6.3124341730431688E-2</v>
      </c>
      <c r="H12" s="13">
        <f>F12*Calculation!I12/Calculation!K11</f>
        <v>18.450170321816742</v>
      </c>
      <c r="I12" s="13">
        <f>G12*Calculation!I12/Calculation!K11</f>
        <v>6.3983803290886099E-2</v>
      </c>
      <c r="J12" s="13">
        <v>0.78448786264061576</v>
      </c>
      <c r="K12" s="13">
        <v>2.5637223321031275E-2</v>
      </c>
      <c r="L12" s="13">
        <f>J12*Calculation!I12/Calculation!K11</f>
        <v>0.79516895877722094</v>
      </c>
      <c r="M12" s="13">
        <f>K12*Calculation!I12/Calculation!K11</f>
        <v>2.5986283720826137E-2</v>
      </c>
      <c r="N12" s="13">
        <v>21.981681931723564</v>
      </c>
      <c r="O12" s="13">
        <v>5.7686954456915206E-2</v>
      </c>
      <c r="P12" s="13">
        <f>N12*Calculation!I12/Calculation!K11</f>
        <v>22.280970766055184</v>
      </c>
      <c r="Q12" s="13">
        <f>O12*Calculation!I12/Calculation!K11</f>
        <v>5.8472383952673436E-2</v>
      </c>
      <c r="R12" s="13">
        <v>9.4576001158664642</v>
      </c>
      <c r="S12" s="13">
        <v>6.6370855166280593E-2</v>
      </c>
      <c r="T12" s="13">
        <f>R12*Calculation!I12/Calculation!K11</f>
        <v>9.5863688844731687</v>
      </c>
      <c r="U12" s="13">
        <f>S12*Calculation!I12/Calculation!K11</f>
        <v>6.727451922338086E-2</v>
      </c>
    </row>
    <row r="13" spans="1:21">
      <c r="D13" s="16">
        <v>9</v>
      </c>
      <c r="E13" s="63">
        <v>12.666666666666666</v>
      </c>
      <c r="F13" s="51">
        <v>13.917258732978095</v>
      </c>
      <c r="G13" s="51">
        <v>8.4057257930730961E-2</v>
      </c>
      <c r="H13" s="13">
        <f>F13*Calculation!I13/Calculation!K12</f>
        <v>14.199380850208371</v>
      </c>
      <c r="I13" s="13">
        <f>G13*Calculation!I13/Calculation!K12</f>
        <v>8.576121501243672E-2</v>
      </c>
      <c r="J13" s="13">
        <v>0.82889283599763164</v>
      </c>
      <c r="K13" s="13">
        <v>1.2818611660515681E-2</v>
      </c>
      <c r="L13" s="13">
        <f>J13*Calculation!I13/Calculation!K12</f>
        <v>0.84569564223522309</v>
      </c>
      <c r="M13" s="13">
        <f>K13*Calculation!I13/Calculation!K12</f>
        <v>1.3078462679383928E-2</v>
      </c>
      <c r="N13" s="13">
        <v>20.083263946711075</v>
      </c>
      <c r="O13" s="13">
        <v>0.23074781782766085</v>
      </c>
      <c r="P13" s="13">
        <f>N13*Calculation!I13/Calculation!K12</f>
        <v>20.490379532779379</v>
      </c>
      <c r="Q13" s="13">
        <f>O13*Calculation!I13/Calculation!K12</f>
        <v>0.23542539580194599</v>
      </c>
      <c r="R13" s="13">
        <v>14.657107683394885</v>
      </c>
      <c r="S13" s="13">
        <v>0.17560077707266492</v>
      </c>
      <c r="T13" s="13">
        <f>R13*Calculation!I13/Calculation!K12</f>
        <v>14.954227563929482</v>
      </c>
      <c r="U13" s="13">
        <f>S13*Calculation!I13/Calculation!K12</f>
        <v>0.17916044812323112</v>
      </c>
    </row>
    <row r="14" spans="1:21">
      <c r="D14" s="16">
        <v>10</v>
      </c>
      <c r="E14" s="63">
        <v>14</v>
      </c>
      <c r="F14" s="51">
        <v>10.723801065719359</v>
      </c>
      <c r="G14" s="51">
        <v>8.0052204162166796E-2</v>
      </c>
      <c r="H14" s="13">
        <f>F14*Calculation!I14/Calculation!K13</f>
        <v>10.983760084925663</v>
      </c>
      <c r="I14" s="13">
        <f>G14*Calculation!I14/Calculation!K13</f>
        <v>8.1992774707234414E-2</v>
      </c>
      <c r="J14" s="13">
        <v>0.91030195381882772</v>
      </c>
      <c r="K14" s="13">
        <v>0</v>
      </c>
      <c r="L14" s="13">
        <f>J14*Calculation!I14/Calculation!K13</f>
        <v>0.93236886849265488</v>
      </c>
      <c r="M14" s="13">
        <f>K14*Calculation!I14/Calculation!K13</f>
        <v>0</v>
      </c>
      <c r="N14" s="13">
        <v>18.984179850124896</v>
      </c>
      <c r="O14" s="13">
        <v>0.23313905079100772</v>
      </c>
      <c r="P14" s="13">
        <f>N14*Calculation!I14/Calculation!K13</f>
        <v>19.444381297730125</v>
      </c>
      <c r="Q14" s="13">
        <f>O14*Calculation!I14/Calculation!K13</f>
        <v>0.23879064751598422</v>
      </c>
      <c r="R14" s="13">
        <v>18.509667608081685</v>
      </c>
      <c r="S14" s="13">
        <v>0.19911256549884179</v>
      </c>
      <c r="T14" s="13">
        <f>R14*Calculation!I14/Calculation!K13</f>
        <v>18.958366255859971</v>
      </c>
      <c r="U14" s="13">
        <f>S14*Calculation!I14/Calculation!K13</f>
        <v>0.20393931554031675</v>
      </c>
    </row>
    <row r="15" spans="1:21">
      <c r="D15" s="16">
        <v>11</v>
      </c>
      <c r="E15" s="63">
        <v>15.333333333333334</v>
      </c>
      <c r="F15" s="51">
        <v>8.7292776791000595</v>
      </c>
      <c r="G15" s="51">
        <v>6.4093058302578401E-2</v>
      </c>
      <c r="H15" s="13">
        <f>F15*Calculation!I15/Calculation!K14</f>
        <v>8.968062780234229</v>
      </c>
      <c r="I15" s="13">
        <f>G15*Calculation!I15/Calculation!K14</f>
        <v>6.5846292415570565E-2</v>
      </c>
      <c r="J15" s="13">
        <v>1.0435168738898759</v>
      </c>
      <c r="K15" s="13">
        <v>2.2202486678508014E-2</v>
      </c>
      <c r="L15" s="13">
        <f>J15*Calculation!I15/Calculation!K14</f>
        <v>1.0720617651657705</v>
      </c>
      <c r="M15" s="13">
        <f>K15*Calculation!I15/Calculation!K14</f>
        <v>2.2809824790761091E-2</v>
      </c>
      <c r="N15" s="13">
        <v>18.273660838190402</v>
      </c>
      <c r="O15" s="13">
        <v>0.10706245640847033</v>
      </c>
      <c r="P15" s="13">
        <f>N15*Calculation!I15/Calculation!K14</f>
        <v>18.773527850301377</v>
      </c>
      <c r="Q15" s="13">
        <f>O15*Calculation!I15/Calculation!K14</f>
        <v>0.10999109729045047</v>
      </c>
      <c r="R15" s="13">
        <v>20.971829965964226</v>
      </c>
      <c r="S15" s="13">
        <v>0.13274171033256119</v>
      </c>
      <c r="T15" s="13">
        <f>R15*Calculation!I15/Calculation!K14</f>
        <v>21.545504068620062</v>
      </c>
      <c r="U15" s="13">
        <f>S15*Calculation!I15/Calculation!K14</f>
        <v>0.13637279458623003</v>
      </c>
    </row>
    <row r="16" spans="1:21">
      <c r="D16" s="16">
        <v>12</v>
      </c>
      <c r="E16" s="63">
        <v>16.666666666666668</v>
      </c>
      <c r="F16" s="51">
        <v>7.722764949674362</v>
      </c>
      <c r="G16" s="51">
        <v>0.13701530921827665</v>
      </c>
      <c r="H16" s="13">
        <f>F16*Calculation!I16/Calculation!K15</f>
        <v>7.942475830433712</v>
      </c>
      <c r="I16" s="13">
        <f>G16*Calculation!I16/Calculation!K15</f>
        <v>0.14091336314870626</v>
      </c>
      <c r="J16" s="13">
        <v>1.2063351095322676</v>
      </c>
      <c r="K16" s="13">
        <v>2.5637223321031362E-2</v>
      </c>
      <c r="L16" s="13">
        <f>J16*Calculation!I16/Calculation!K15</f>
        <v>1.2406550650318116</v>
      </c>
      <c r="M16" s="13">
        <f>K16*Calculation!I16/Calculation!K15</f>
        <v>2.636659640862293E-2</v>
      </c>
      <c r="N16" s="13">
        <v>18.362475714682216</v>
      </c>
      <c r="O16" s="13">
        <v>0.21151883300868907</v>
      </c>
      <c r="P16" s="13">
        <f>N16*Calculation!I16/Calculation!K15</f>
        <v>18.884883911550244</v>
      </c>
      <c r="Q16" s="13">
        <f>O16*Calculation!I16/Calculation!K15</f>
        <v>0.21753649499896996</v>
      </c>
      <c r="R16" s="13">
        <v>22.275327684843219</v>
      </c>
      <c r="S16" s="13">
        <v>0.36439266059552861</v>
      </c>
      <c r="T16" s="13">
        <f>R16*Calculation!I16/Calculation!K15</f>
        <v>22.909055617356092</v>
      </c>
      <c r="U16" s="13">
        <f>S16*Calculation!I16/Calculation!K15</f>
        <v>0.37475954770440822</v>
      </c>
    </row>
    <row r="17" spans="4:21">
      <c r="D17" s="16">
        <v>13</v>
      </c>
      <c r="E17" s="63">
        <v>18</v>
      </c>
      <c r="F17" s="51">
        <v>7.4378330373001775</v>
      </c>
      <c r="G17" s="51">
        <v>0.12802578368861908</v>
      </c>
      <c r="H17" s="13">
        <f>F17*Calculation!I17/Calculation!K16</f>
        <v>7.6494376709016594</v>
      </c>
      <c r="I17" s="13">
        <f>G17*Calculation!I17/Calculation!K16</f>
        <v>0.1316680876920989</v>
      </c>
      <c r="J17" s="13">
        <v>1.4135583185316756</v>
      </c>
      <c r="K17" s="13">
        <v>2.5637223321031362E-2</v>
      </c>
      <c r="L17" s="13">
        <f>J17*Calculation!I17/Calculation!K16</f>
        <v>1.4537737265096686</v>
      </c>
      <c r="M17" s="13">
        <f>K17*Calculation!I17/Calculation!K16</f>
        <v>2.6366596408622933E-2</v>
      </c>
      <c r="N17" s="13">
        <v>18.640022203719123</v>
      </c>
      <c r="O17" s="13">
        <v>0.22670638752885958</v>
      </c>
      <c r="P17" s="13">
        <f>N17*Calculation!I17/Calculation!K16</f>
        <v>19.17032653415529</v>
      </c>
      <c r="Q17" s="13">
        <f>O17*Calculation!I17/Calculation!K16</f>
        <v>0.23315613194065038</v>
      </c>
      <c r="R17" s="13">
        <v>22.927076544282716</v>
      </c>
      <c r="S17" s="13">
        <v>0.16449875721052293</v>
      </c>
      <c r="T17" s="13">
        <f>R17*Calculation!I17/Calculation!K16</f>
        <v>23.579346581452988</v>
      </c>
      <c r="U17" s="13">
        <f>S17*Calculation!I17/Calculation!K16</f>
        <v>0.16917870889441644</v>
      </c>
    </row>
    <row r="18" spans="4:21">
      <c r="D18" s="16">
        <v>14</v>
      </c>
      <c r="E18" s="63">
        <v>24</v>
      </c>
      <c r="F18" s="51">
        <v>6.5423327412670211</v>
      </c>
      <c r="G18" s="51">
        <v>9.2436323244499768E-2</v>
      </c>
      <c r="H18" s="13">
        <f>F18*Calculation!I18/Calculation!K17</f>
        <v>6.7284605980866328</v>
      </c>
      <c r="I18" s="13">
        <f>G18*Calculation!I18/Calculation!K17</f>
        <v>9.5066115310754665E-2</v>
      </c>
      <c r="J18" s="13">
        <v>1.7243931320307873</v>
      </c>
      <c r="K18" s="13">
        <v>3.3914858606837212E-2</v>
      </c>
      <c r="L18" s="13">
        <f>J18*Calculation!I18/Calculation!K17</f>
        <v>1.7734517187264542</v>
      </c>
      <c r="M18" s="13">
        <f>K18*Calculation!I18/Calculation!K17</f>
        <v>3.4879728508212519E-2</v>
      </c>
      <c r="N18" s="13">
        <v>17.973910630030531</v>
      </c>
      <c r="O18" s="13">
        <v>0.22670638752886102</v>
      </c>
      <c r="P18" s="13">
        <f>N18*Calculation!I18/Calculation!K17</f>
        <v>18.485264239903167</v>
      </c>
      <c r="Q18" s="13">
        <f>O18*Calculation!I18/Calculation!K17</f>
        <v>0.23315613194065188</v>
      </c>
      <c r="R18" s="13">
        <v>22.087044681005146</v>
      </c>
      <c r="S18" s="13">
        <v>0.20533632962209916</v>
      </c>
      <c r="T18" s="13">
        <f>R18*Calculation!I18/Calculation!K17</f>
        <v>22.715416005505883</v>
      </c>
      <c r="U18" s="13">
        <f>S18*Calculation!I18/Calculation!K17</f>
        <v>0.21117810081766891</v>
      </c>
    </row>
    <row r="19" spans="4:21">
      <c r="D19" s="16">
        <v>15</v>
      </c>
      <c r="E19" s="63">
        <v>30</v>
      </c>
      <c r="F19" s="51">
        <v>6.4165186500888103</v>
      </c>
      <c r="G19" s="51">
        <v>9.0867592938193339E-2</v>
      </c>
      <c r="H19" s="13">
        <f>F19*Calculation!I19/Calculation!K18</f>
        <v>6.5990671250465063</v>
      </c>
      <c r="I19" s="13">
        <f>G19*Calculation!I19/Calculation!K18</f>
        <v>9.3452754989224604E-2</v>
      </c>
      <c r="J19" s="13">
        <v>2.0648312611012436</v>
      </c>
      <c r="K19" s="13">
        <v>2.2202486678508014E-2</v>
      </c>
      <c r="L19" s="13">
        <f>J19*Calculation!I19/Calculation!K18</f>
        <v>2.1235752340115059</v>
      </c>
      <c r="M19" s="13">
        <f>K19*Calculation!I19/Calculation!K18</f>
        <v>2.2834142301199005E-2</v>
      </c>
      <c r="N19" s="13">
        <v>18.49569802941993</v>
      </c>
      <c r="O19" s="13">
        <v>0.12609288583514358</v>
      </c>
      <c r="P19" s="13">
        <f>N19*Calculation!I19/Calculation!K18</f>
        <v>19.021896370400665</v>
      </c>
      <c r="Q19" s="13">
        <f>O19*Calculation!I19/Calculation!K18</f>
        <v>0.12968019934071592</v>
      </c>
      <c r="R19" s="13">
        <v>23.013976392207979</v>
      </c>
      <c r="S19" s="13">
        <v>0.45639658937182259</v>
      </c>
      <c r="T19" s="13">
        <f>R19*Calculation!I19/Calculation!K18</f>
        <v>23.66871870999924</v>
      </c>
      <c r="U19" s="13">
        <f>S19*Calculation!I19/Calculation!K18</f>
        <v>0.46938096702411336</v>
      </c>
    </row>
    <row r="20" spans="4:21">
      <c r="D20" s="16">
        <v>16</v>
      </c>
      <c r="E20" s="63">
        <v>48</v>
      </c>
      <c r="F20" s="51">
        <v>0</v>
      </c>
      <c r="G20" s="51">
        <v>0</v>
      </c>
      <c r="H20" s="13">
        <f>F20*Calculation!I20/Calculation!K19</f>
        <v>0</v>
      </c>
      <c r="I20" s="13">
        <f>G20*Calculation!I20/Calculation!K19</f>
        <v>0</v>
      </c>
      <c r="J20" s="13">
        <v>11.50088809946714</v>
      </c>
      <c r="K20" s="13">
        <v>9.6778395726924454E-2</v>
      </c>
      <c r="L20" s="13">
        <f>J20*Calculation!I20/Calculation!K19</f>
        <v>11.940734147373654</v>
      </c>
      <c r="M20" s="13">
        <f>K20*Calculation!I20/Calculation!K19</f>
        <v>0.10047963988433807</v>
      </c>
      <c r="N20" s="13">
        <v>19.816819317235634</v>
      </c>
      <c r="O20" s="13">
        <v>9.9916736053289018E-2</v>
      </c>
      <c r="P20" s="13">
        <f>N20*Calculation!I20/Calculation!K19</f>
        <v>20.574704237372142</v>
      </c>
      <c r="Q20" s="13">
        <f>O20*Calculation!I20/Calculation!K19</f>
        <v>0.103738004558179</v>
      </c>
      <c r="R20" s="13">
        <v>25.157505974364543</v>
      </c>
      <c r="S20" s="13">
        <v>0.19911256549884179</v>
      </c>
      <c r="T20" s="13">
        <f>R20*Calculation!I20/Calculation!K19</f>
        <v>26.119642939989092</v>
      </c>
      <c r="U20" s="13">
        <f>S20*Calculation!I20/Calculation!K19</f>
        <v>0.20672753177498968</v>
      </c>
    </row>
    <row r="22" spans="4:21">
      <c r="D22" s="93" t="s">
        <v>4</v>
      </c>
      <c r="E22" s="93" t="s">
        <v>60</v>
      </c>
      <c r="F22" s="79" t="s">
        <v>44</v>
      </c>
      <c r="G22" s="79"/>
      <c r="H22" s="79"/>
      <c r="I22" s="79"/>
      <c r="J22" s="79" t="s">
        <v>66</v>
      </c>
      <c r="K22" s="79"/>
      <c r="L22" s="79"/>
      <c r="M22" s="79"/>
      <c r="N22" s="91" t="s">
        <v>67</v>
      </c>
      <c r="O22" s="77"/>
      <c r="P22" s="77"/>
      <c r="Q22" s="92"/>
    </row>
    <row r="23" spans="4:21">
      <c r="D23" s="93"/>
      <c r="E23" s="93"/>
      <c r="F23" s="20" t="s">
        <v>48</v>
      </c>
      <c r="G23" s="20" t="s">
        <v>23</v>
      </c>
      <c r="H23" s="20" t="s">
        <v>48</v>
      </c>
      <c r="I23" s="20" t="s">
        <v>23</v>
      </c>
      <c r="J23" s="20" t="s">
        <v>48</v>
      </c>
      <c r="K23" s="20" t="s">
        <v>23</v>
      </c>
      <c r="L23" s="20" t="s">
        <v>48</v>
      </c>
      <c r="M23" s="20" t="s">
        <v>23</v>
      </c>
      <c r="N23" s="20" t="s">
        <v>48</v>
      </c>
      <c r="O23" s="20" t="s">
        <v>23</v>
      </c>
      <c r="P23" s="20" t="s">
        <v>48</v>
      </c>
      <c r="Q23" s="20" t="s">
        <v>23</v>
      </c>
    </row>
    <row r="24" spans="4:21">
      <c r="D24" s="16">
        <v>0</v>
      </c>
      <c r="E24" s="62">
        <v>-0.16666666666666666</v>
      </c>
      <c r="F24" s="13">
        <v>0</v>
      </c>
      <c r="G24" s="13">
        <v>0</v>
      </c>
      <c r="H24" s="13">
        <f>F24*Calculation!I3/Calculation!F22</f>
        <v>0</v>
      </c>
      <c r="I24" s="13">
        <f>G24*Calculation!I3/Calculation!F22</f>
        <v>0</v>
      </c>
      <c r="J24" s="13">
        <v>0.17402489312601674</v>
      </c>
      <c r="K24" s="13">
        <v>5.7124310031178835E-2</v>
      </c>
      <c r="L24" s="13">
        <f>J24*Calculation!I3/Calculation!F22</f>
        <v>0.17402489312601674</v>
      </c>
      <c r="M24" s="13">
        <f>K24*Calculation!I3/Calculation!F22</f>
        <v>5.7124310031178835E-2</v>
      </c>
      <c r="N24" s="13">
        <v>0</v>
      </c>
      <c r="O24" s="13">
        <v>0</v>
      </c>
      <c r="P24" s="13">
        <f>N24*Calculation!I3/Calculation!F22</f>
        <v>0</v>
      </c>
      <c r="Q24" s="13">
        <f>O24*Calculation!I3/Calculation!F22</f>
        <v>0</v>
      </c>
    </row>
    <row r="25" spans="4:21">
      <c r="D25" s="16">
        <v>0</v>
      </c>
      <c r="E25" s="63">
        <v>0.16666666666666666</v>
      </c>
      <c r="F25" s="13">
        <v>0</v>
      </c>
      <c r="G25" s="13">
        <v>0</v>
      </c>
      <c r="H25" s="13">
        <f>F25*Calculation!I4/Calculation!K3</f>
        <v>0</v>
      </c>
      <c r="I25" s="13">
        <f>G25*Calculation!I4/Calculation!K3</f>
        <v>0</v>
      </c>
      <c r="J25" s="13">
        <v>0.38588128475768924</v>
      </c>
      <c r="K25" s="13">
        <v>4.5397798206786973E-2</v>
      </c>
      <c r="L25" s="13">
        <f>J25*Calculation!I4/Calculation!K3</f>
        <v>0.38613700462830403</v>
      </c>
      <c r="M25" s="13">
        <f>K25*Calculation!I4/Calculation!K3</f>
        <v>4.5427882897447536E-2</v>
      </c>
      <c r="N25" s="13">
        <v>0</v>
      </c>
      <c r="O25" s="13">
        <v>0</v>
      </c>
      <c r="P25" s="13">
        <f>N25*Calculation!I4/Calculation!K3</f>
        <v>0</v>
      </c>
      <c r="Q25" s="13">
        <f>O25*Calculation!I4/Calculation!K3</f>
        <v>0</v>
      </c>
    </row>
    <row r="26" spans="4:21">
      <c r="D26" s="16">
        <v>1</v>
      </c>
      <c r="E26" s="63">
        <v>2</v>
      </c>
      <c r="F26" s="13">
        <v>0</v>
      </c>
      <c r="G26" s="13">
        <v>0</v>
      </c>
      <c r="H26" s="13">
        <f>F26*Calculation!I5/Calculation!K4</f>
        <v>0</v>
      </c>
      <c r="I26" s="13">
        <f>G26*Calculation!I5/Calculation!K4</f>
        <v>0</v>
      </c>
      <c r="J26" s="13">
        <v>0.54477357848144359</v>
      </c>
      <c r="K26" s="13">
        <v>8.1842044613868792E-2</v>
      </c>
      <c r="L26" s="13">
        <f>J26*Calculation!I5/Calculation!K4</f>
        <v>0.54513459476937032</v>
      </c>
      <c r="M26" s="13">
        <f>K26*Calculation!I5/Calculation!K4</f>
        <v>8.1896280561260346E-2</v>
      </c>
      <c r="N26" s="13">
        <v>0</v>
      </c>
      <c r="O26" s="13">
        <v>0</v>
      </c>
      <c r="P26" s="13">
        <f>N26*Calculation!I5/Calculation!K4</f>
        <v>0</v>
      </c>
      <c r="Q26" s="13">
        <f>O26*Calculation!I5/Calculation!K4</f>
        <v>0</v>
      </c>
    </row>
    <row r="27" spans="4:21">
      <c r="D27" s="16">
        <v>2</v>
      </c>
      <c r="E27" s="63">
        <v>3.3333333333333335</v>
      </c>
      <c r="F27" s="13">
        <v>0</v>
      </c>
      <c r="G27" s="13">
        <v>0</v>
      </c>
      <c r="H27" s="13">
        <f>F27*Calculation!I6/Calculation!K5</f>
        <v>0</v>
      </c>
      <c r="I27" s="13">
        <f>G27*Calculation!I6/Calculation!K5</f>
        <v>0</v>
      </c>
      <c r="J27" s="13">
        <v>0.8095940680210344</v>
      </c>
      <c r="K27" s="13">
        <v>2.6210431015304701E-2</v>
      </c>
      <c r="L27" s="13">
        <f>J27*Calculation!I6/Calculation!K5</f>
        <v>0.81013057833781432</v>
      </c>
      <c r="M27" s="13">
        <f>K27*Calculation!I6/Calculation!K5</f>
        <v>2.6227800419556059E-2</v>
      </c>
      <c r="N27" s="13">
        <v>0</v>
      </c>
      <c r="O27" s="13">
        <v>0</v>
      </c>
      <c r="P27" s="13">
        <f>N27*Calculation!I6/Calculation!K5</f>
        <v>0</v>
      </c>
      <c r="Q27" s="13">
        <f>O27*Calculation!I6/Calculation!K5</f>
        <v>0</v>
      </c>
    </row>
    <row r="28" spans="4:21">
      <c r="D28" s="16">
        <v>3</v>
      </c>
      <c r="E28" s="63">
        <v>4.666666666666667</v>
      </c>
      <c r="F28" s="13">
        <v>0</v>
      </c>
      <c r="G28" s="13">
        <v>0</v>
      </c>
      <c r="H28" s="13">
        <f>F28*Calculation!I7/Calculation!K6</f>
        <v>0</v>
      </c>
      <c r="I28" s="13">
        <f>G28*Calculation!I7/Calculation!K6</f>
        <v>0</v>
      </c>
      <c r="J28" s="13">
        <v>1.2257405515832482</v>
      </c>
      <c r="K28" s="13">
        <v>3.9315646522957187E-2</v>
      </c>
      <c r="L28" s="13">
        <f>J28*Calculation!I7/Calculation!K6</f>
        <v>1.2274540526603492</v>
      </c>
      <c r="M28" s="13">
        <f>K28*Calculation!I7/Calculation!K6</f>
        <v>3.9370607095630575E-2</v>
      </c>
      <c r="N28" s="13">
        <v>0</v>
      </c>
      <c r="O28" s="13">
        <v>0</v>
      </c>
      <c r="P28" s="13">
        <f>N28*Calculation!I7/Calculation!K6</f>
        <v>0</v>
      </c>
      <c r="Q28" s="13">
        <f>O28*Calculation!I7/Calculation!K6</f>
        <v>0</v>
      </c>
    </row>
    <row r="29" spans="4:21">
      <c r="D29" s="16">
        <v>4</v>
      </c>
      <c r="E29" s="63">
        <v>6</v>
      </c>
      <c r="F29" s="13">
        <v>0</v>
      </c>
      <c r="G29" s="13">
        <v>0</v>
      </c>
      <c r="H29" s="13">
        <f>F29*Calculation!I8/Calculation!K7</f>
        <v>0</v>
      </c>
      <c r="I29" s="13">
        <f>G29*Calculation!I8/Calculation!K7</f>
        <v>0</v>
      </c>
      <c r="J29" s="13">
        <v>1.6040555366398064</v>
      </c>
      <c r="K29" s="13">
        <v>7.9715913841430994E-2</v>
      </c>
      <c r="L29" s="13">
        <f>J29*Calculation!I8/Calculation!K7</f>
        <v>1.6062978960740373</v>
      </c>
      <c r="M29" s="13">
        <f>K29*Calculation!I8/Calculation!K7</f>
        <v>7.9827351212131456E-2</v>
      </c>
      <c r="N29" s="13">
        <v>0</v>
      </c>
      <c r="O29" s="13">
        <v>0</v>
      </c>
      <c r="P29" s="13">
        <f>N29*Calculation!I8/Calculation!K7</f>
        <v>0</v>
      </c>
      <c r="Q29" s="13">
        <f>O29*Calculation!I8/Calculation!K7</f>
        <v>0</v>
      </c>
    </row>
    <row r="30" spans="4:21">
      <c r="D30" s="16">
        <v>5</v>
      </c>
      <c r="E30" s="63">
        <v>7.333333333333333</v>
      </c>
      <c r="F30" s="13">
        <v>0</v>
      </c>
      <c r="G30" s="13">
        <v>0</v>
      </c>
      <c r="H30" s="13">
        <f>F30*Calculation!I9/Calculation!K8</f>
        <v>0</v>
      </c>
      <c r="I30" s="13">
        <f>G30*Calculation!I9/Calculation!K8</f>
        <v>0</v>
      </c>
      <c r="J30" s="13">
        <v>2.27745621004048</v>
      </c>
      <c r="K30" s="13">
        <v>3.4673141111155159E-2</v>
      </c>
      <c r="L30" s="13">
        <f>J30*Calculation!I9/Calculation!K8</f>
        <v>2.2824514067208153</v>
      </c>
      <c r="M30" s="13">
        <f>K30*Calculation!I9/Calculation!K8</f>
        <v>3.4749190502845619E-2</v>
      </c>
      <c r="N30" s="13">
        <v>0</v>
      </c>
      <c r="O30" s="13">
        <v>0</v>
      </c>
      <c r="P30" s="13">
        <f>N30*Calculation!I9/Calculation!K8</f>
        <v>0</v>
      </c>
      <c r="Q30" s="13">
        <f>O30*Calculation!I9/Calculation!K8</f>
        <v>0</v>
      </c>
    </row>
    <row r="31" spans="4:21">
      <c r="D31" s="16">
        <v>6</v>
      </c>
      <c r="E31" s="63">
        <v>8.6666666666666661</v>
      </c>
      <c r="F31" s="13">
        <v>0</v>
      </c>
      <c r="G31" s="13">
        <v>0</v>
      </c>
      <c r="H31" s="13">
        <f>F31*Calculation!I10/Calculation!K9</f>
        <v>0</v>
      </c>
      <c r="I31" s="13">
        <f>G31*Calculation!I10/Calculation!K9</f>
        <v>0</v>
      </c>
      <c r="J31" s="13">
        <v>3.7150531532554001</v>
      </c>
      <c r="K31" s="13">
        <v>6.9346282222310651E-2</v>
      </c>
      <c r="L31" s="13">
        <f>J31*Calculation!I10/Calculation!K9</f>
        <v>3.7293606063263156</v>
      </c>
      <c r="M31" s="13">
        <f>K31*Calculation!I10/Calculation!K9</f>
        <v>6.9613349377909431E-2</v>
      </c>
      <c r="N31" s="13">
        <v>0</v>
      </c>
      <c r="O31" s="13">
        <v>0</v>
      </c>
      <c r="P31" s="13">
        <f>N31*Calculation!I10/Calculation!K9</f>
        <v>0</v>
      </c>
      <c r="Q31" s="13">
        <f>O31*Calculation!I10/Calculation!K9</f>
        <v>0</v>
      </c>
    </row>
    <row r="32" spans="4:21">
      <c r="D32" s="16">
        <v>7</v>
      </c>
      <c r="E32" s="63">
        <v>10</v>
      </c>
      <c r="F32" s="13">
        <v>0</v>
      </c>
      <c r="G32" s="13">
        <v>0</v>
      </c>
      <c r="H32" s="13">
        <f>F32*Calculation!I11/Calculation!K10</f>
        <v>0</v>
      </c>
      <c r="I32" s="13">
        <f>G32*Calculation!I11/Calculation!K10</f>
        <v>0</v>
      </c>
      <c r="J32" s="13">
        <v>6.4994514432716679</v>
      </c>
      <c r="K32" s="13">
        <v>0.1290714039967609</v>
      </c>
      <c r="L32" s="13">
        <f>J32*Calculation!I11/Calculation!K10</f>
        <v>6.552556565324962</v>
      </c>
      <c r="M32" s="13">
        <f>K32*Calculation!I11/Calculation!K10</f>
        <v>0.13012600879266775</v>
      </c>
      <c r="N32" s="13">
        <v>0</v>
      </c>
      <c r="O32" s="13">
        <v>0</v>
      </c>
      <c r="P32" s="13">
        <f>N32*Calculation!I11/Calculation!K10</f>
        <v>0</v>
      </c>
      <c r="Q32" s="13">
        <f>O32*Calculation!I11/Calculation!K10</f>
        <v>0</v>
      </c>
    </row>
    <row r="33" spans="4:17">
      <c r="D33" s="16">
        <v>8</v>
      </c>
      <c r="E33" s="63">
        <v>11.333333333333334</v>
      </c>
      <c r="F33" s="13">
        <v>0</v>
      </c>
      <c r="G33" s="13">
        <v>0</v>
      </c>
      <c r="H33" s="13">
        <f>F33*Calculation!I12/Calculation!K11</f>
        <v>0</v>
      </c>
      <c r="I33" s="13">
        <f>G33*Calculation!I12/Calculation!K11</f>
        <v>0</v>
      </c>
      <c r="J33" s="13">
        <v>10.713880376801725</v>
      </c>
      <c r="K33" s="13">
        <v>9.8942207321317574E-2</v>
      </c>
      <c r="L33" s="13">
        <f>J33*Calculation!I12/Calculation!K11</f>
        <v>10.859753871791833</v>
      </c>
      <c r="M33" s="13">
        <f>K33*Calculation!I12/Calculation!K11</f>
        <v>0.10028934253996792</v>
      </c>
      <c r="N33" s="13">
        <v>0</v>
      </c>
      <c r="O33" s="13">
        <v>0</v>
      </c>
      <c r="P33" s="13">
        <f>N33*Calculation!I12/Calculation!K11</f>
        <v>0</v>
      </c>
      <c r="Q33" s="13">
        <f>O33*Calculation!I12/Calculation!K11</f>
        <v>0</v>
      </c>
    </row>
    <row r="34" spans="4:17">
      <c r="D34" s="16">
        <v>9</v>
      </c>
      <c r="E34" s="63">
        <v>12.666666666666666</v>
      </c>
      <c r="F34" s="13">
        <v>0</v>
      </c>
      <c r="G34" s="13">
        <v>0</v>
      </c>
      <c r="H34" s="13">
        <f>F34*Calculation!I13/Calculation!K12</f>
        <v>0</v>
      </c>
      <c r="I34" s="13">
        <f>G34*Calculation!I13/Calculation!K12</f>
        <v>0</v>
      </c>
      <c r="J34" s="13">
        <v>15.63197518253698</v>
      </c>
      <c r="K34" s="13">
        <v>9.1736508553565618E-2</v>
      </c>
      <c r="L34" s="13">
        <f>J34*Calculation!I13/Calculation!K12</f>
        <v>15.948856977982683</v>
      </c>
      <c r="M34" s="13">
        <f>K34*Calculation!I13/Calculation!K12</f>
        <v>9.359613468519154E-2</v>
      </c>
      <c r="N34" s="13">
        <v>0</v>
      </c>
      <c r="O34" s="13">
        <v>0</v>
      </c>
      <c r="P34" s="13">
        <f>N34*Calculation!I13/Calculation!K12</f>
        <v>0</v>
      </c>
      <c r="Q34" s="13">
        <f>O34*Calculation!I13/Calculation!K12</f>
        <v>0</v>
      </c>
    </row>
    <row r="35" spans="4:17">
      <c r="D35" s="16">
        <v>10</v>
      </c>
      <c r="E35" s="63">
        <v>14</v>
      </c>
      <c r="F35" s="13">
        <v>0</v>
      </c>
      <c r="G35" s="13">
        <v>0</v>
      </c>
      <c r="H35" s="13">
        <f>F35*Calculation!I14/Calculation!K13</f>
        <v>0</v>
      </c>
      <c r="I35" s="13">
        <f>G35*Calculation!I14/Calculation!K13</f>
        <v>0</v>
      </c>
      <c r="J35" s="13">
        <v>18.915749252827904</v>
      </c>
      <c r="K35" s="13">
        <v>0.17336570555577666</v>
      </c>
      <c r="L35" s="13">
        <f>J35*Calculation!I14/Calculation!K13</f>
        <v>19.374291852898757</v>
      </c>
      <c r="M35" s="13">
        <f>K35*Calculation!I14/Calculation!K13</f>
        <v>0.17756831790414976</v>
      </c>
      <c r="N35" s="13">
        <v>0</v>
      </c>
      <c r="O35" s="13">
        <v>0</v>
      </c>
      <c r="P35" s="13">
        <f>N35*Calculation!I14/Calculation!K13</f>
        <v>0</v>
      </c>
      <c r="Q35" s="13">
        <f>O35*Calculation!I14/Calculation!K13</f>
        <v>0</v>
      </c>
    </row>
    <row r="36" spans="4:17">
      <c r="D36" s="16">
        <v>11</v>
      </c>
      <c r="E36" s="63">
        <v>15.333333333333334</v>
      </c>
      <c r="F36" s="13">
        <v>0</v>
      </c>
      <c r="G36" s="13">
        <v>0</v>
      </c>
      <c r="H36" s="13">
        <f>F36*Calculation!I15/Calculation!K14</f>
        <v>0</v>
      </c>
      <c r="I36" s="13">
        <f>G36*Calculation!I15/Calculation!K14</f>
        <v>0</v>
      </c>
      <c r="J36" s="13">
        <v>20.958650172133318</v>
      </c>
      <c r="K36" s="13">
        <v>0.14768827825780767</v>
      </c>
      <c r="L36" s="13">
        <f>J36*Calculation!I15/Calculation!K14</f>
        <v>21.531963748005779</v>
      </c>
      <c r="M36" s="13">
        <f>K36*Calculation!I15/Calculation!K14</f>
        <v>0.15172821853196761</v>
      </c>
      <c r="N36" s="13">
        <v>0</v>
      </c>
      <c r="O36" s="13">
        <v>0</v>
      </c>
      <c r="P36" s="13">
        <f>N36*Calculation!I15/Calculation!K14</f>
        <v>0</v>
      </c>
      <c r="Q36" s="13">
        <f>O36*Calculation!I15/Calculation!K14</f>
        <v>0</v>
      </c>
    </row>
    <row r="37" spans="4:17">
      <c r="D37" s="16">
        <v>12</v>
      </c>
      <c r="E37" s="63">
        <v>16.666666666666668</v>
      </c>
      <c r="F37" s="13">
        <v>0</v>
      </c>
      <c r="G37" s="13">
        <v>0</v>
      </c>
      <c r="H37" s="13">
        <f>F37*Calculation!I16/Calculation!K15</f>
        <v>0</v>
      </c>
      <c r="I37" s="13">
        <f>G37*Calculation!I16/Calculation!K15</f>
        <v>0</v>
      </c>
      <c r="J37" s="13">
        <v>21.669882344039646</v>
      </c>
      <c r="K37" s="13">
        <v>0.36694603421426564</v>
      </c>
      <c r="L37" s="13">
        <f>J37*Calculation!I16/Calculation!K15</f>
        <v>22.286385496315592</v>
      </c>
      <c r="M37" s="13">
        <f>K37*Calculation!I16/Calculation!K15</f>
        <v>0.37738556421339714</v>
      </c>
      <c r="N37" s="13">
        <v>0</v>
      </c>
      <c r="O37" s="13">
        <v>0</v>
      </c>
      <c r="P37" s="13">
        <f>N37*Calculation!I16/Calculation!K15</f>
        <v>0</v>
      </c>
      <c r="Q37" s="13">
        <f>O37*Calculation!I16/Calculation!K15</f>
        <v>0</v>
      </c>
    </row>
    <row r="38" spans="4:17">
      <c r="D38" s="16">
        <v>13</v>
      </c>
      <c r="E38" s="63">
        <v>18</v>
      </c>
      <c r="F38" s="13">
        <v>0</v>
      </c>
      <c r="G38" s="13">
        <v>0</v>
      </c>
      <c r="H38" s="13">
        <f>F38*Calculation!I17/Calculation!K16</f>
        <v>0</v>
      </c>
      <c r="I38" s="13">
        <f>G38*Calculation!I17/Calculation!K16</f>
        <v>0</v>
      </c>
      <c r="J38" s="13">
        <v>22.199523323118832</v>
      </c>
      <c r="K38" s="13">
        <v>0.20175222828999201</v>
      </c>
      <c r="L38" s="13">
        <f>J38*Calculation!I17/Calculation!K16</f>
        <v>22.831094639032806</v>
      </c>
      <c r="M38" s="13">
        <f>K38*Calculation!I17/Calculation!K16</f>
        <v>0.20749203262970903</v>
      </c>
      <c r="N38" s="13">
        <v>0</v>
      </c>
      <c r="O38" s="13">
        <v>0</v>
      </c>
      <c r="P38" s="13">
        <f>N38*Calculation!I17/Calculation!K16</f>
        <v>0</v>
      </c>
      <c r="Q38" s="13">
        <f>O38*Calculation!I17/Calculation!K16</f>
        <v>0</v>
      </c>
    </row>
    <row r="39" spans="4:17">
      <c r="D39" s="16">
        <v>14</v>
      </c>
      <c r="E39" s="63">
        <v>24</v>
      </c>
      <c r="F39" s="13">
        <v>0</v>
      </c>
      <c r="G39" s="13">
        <v>0</v>
      </c>
      <c r="H39" s="13">
        <f>F39*Calculation!I18/Calculation!K17</f>
        <v>0</v>
      </c>
      <c r="I39" s="13">
        <f>G39*Calculation!I18/Calculation!K17</f>
        <v>0</v>
      </c>
      <c r="J39" s="13">
        <v>21.843907237165659</v>
      </c>
      <c r="K39" s="13">
        <v>0.30141995667600513</v>
      </c>
      <c r="L39" s="13">
        <f>J39*Calculation!I18/Calculation!K17</f>
        <v>22.4653613574941</v>
      </c>
      <c r="M39" s="13">
        <f>K39*Calculation!I18/Calculation!K17</f>
        <v>0.30999528488957745</v>
      </c>
      <c r="N39" s="13">
        <v>0</v>
      </c>
      <c r="O39" s="13">
        <v>0</v>
      </c>
      <c r="P39" s="13">
        <f>N39*Calculation!I18/Calculation!K17</f>
        <v>0</v>
      </c>
      <c r="Q39" s="13">
        <f>O39*Calculation!I18/Calculation!K17</f>
        <v>0</v>
      </c>
    </row>
    <row r="40" spans="4:17">
      <c r="D40" s="16">
        <v>15</v>
      </c>
      <c r="E40" s="63">
        <v>30</v>
      </c>
      <c r="F40" s="13">
        <v>0</v>
      </c>
      <c r="G40" s="13">
        <v>0</v>
      </c>
      <c r="H40" s="13">
        <f>F40*Calculation!I19/Calculation!K18</f>
        <v>0</v>
      </c>
      <c r="I40" s="13">
        <f>G40*Calculation!I19/Calculation!K18</f>
        <v>0</v>
      </c>
      <c r="J40" s="13">
        <v>22.827526198312711</v>
      </c>
      <c r="K40" s="13">
        <v>0.31886365536572331</v>
      </c>
      <c r="L40" s="13">
        <f>J40*Calculation!I19/Calculation!K18</f>
        <v>23.476964051111779</v>
      </c>
      <c r="M40" s="13">
        <f>K40*Calculation!I19/Calculation!K18</f>
        <v>0.3279352527818149</v>
      </c>
      <c r="N40" s="13">
        <v>0</v>
      </c>
      <c r="O40" s="13">
        <v>0</v>
      </c>
      <c r="P40" s="13">
        <f>N40*Calculation!I19/Calculation!K18</f>
        <v>0</v>
      </c>
      <c r="Q40" s="13">
        <f>O40*Calculation!I19/Calculation!K18</f>
        <v>0</v>
      </c>
    </row>
    <row r="41" spans="4:17">
      <c r="D41" s="16">
        <v>16</v>
      </c>
      <c r="E41" s="63">
        <v>48</v>
      </c>
      <c r="F41" s="13">
        <v>0</v>
      </c>
      <c r="G41" s="13">
        <v>0</v>
      </c>
      <c r="H41" s="13">
        <f>F41*Calculation!I20/Calculation!K19</f>
        <v>0</v>
      </c>
      <c r="I41" s="13">
        <f>G41*Calculation!I20/Calculation!K19</f>
        <v>0</v>
      </c>
      <c r="J41" s="13">
        <v>23.4555290735066</v>
      </c>
      <c r="K41" s="13">
        <v>0.18487181512307393</v>
      </c>
      <c r="L41" s="13">
        <f>J41*Calculation!I20/Calculation!K19</f>
        <v>24.352574734268767</v>
      </c>
      <c r="M41" s="13">
        <f>K41*Calculation!I20/Calculation!K19</f>
        <v>0.19194215060916178</v>
      </c>
      <c r="N41" s="13">
        <v>0</v>
      </c>
      <c r="O41" s="13">
        <v>0</v>
      </c>
      <c r="P41" s="13">
        <f>N41*Calculation!I20/Calculation!K19</f>
        <v>0</v>
      </c>
      <c r="Q41" s="13">
        <f>O41*Calculation!I20/Calculation!K19</f>
        <v>0</v>
      </c>
    </row>
  </sheetData>
  <mergeCells count="14">
    <mergeCell ref="R1:U1"/>
    <mergeCell ref="D1:D2"/>
    <mergeCell ref="E1:E2"/>
    <mergeCell ref="F1:I1"/>
    <mergeCell ref="J1:M1"/>
    <mergeCell ref="F22:I22"/>
    <mergeCell ref="J22:M22"/>
    <mergeCell ref="N22:Q22"/>
    <mergeCell ref="N1:Q1"/>
    <mergeCell ref="A1:B1"/>
    <mergeCell ref="A2:B2"/>
    <mergeCell ref="A3:A4"/>
    <mergeCell ref="D22:D23"/>
    <mergeCell ref="E22:E2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Fermentation</vt:lpstr>
      <vt:lpstr>Calculation</vt:lpstr>
      <vt:lpstr>Plate Count</vt:lpstr>
      <vt:lpstr>Flow cytometer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2015-03-10T13:35:58Z</dcterms:modified>
</cp:coreProperties>
</file>