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80" yWindow="480" windowWidth="25040" windowHeight="1554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5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externalReferences>
    <externalReference r:id="rId22"/>
  </externalReference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6" l="1"/>
  <c r="H45" i="26"/>
  <c r="AD4" i="26"/>
  <c r="AC4" i="26"/>
  <c r="X4" i="26"/>
  <c r="AE4" i="26"/>
  <c r="AC7" i="26"/>
  <c r="AD7" i="26"/>
  <c r="AE7" i="26"/>
  <c r="X7" i="26"/>
  <c r="AC6" i="26"/>
  <c r="AD6" i="26"/>
  <c r="AE6" i="26"/>
  <c r="X6" i="26"/>
  <c r="AC5" i="26"/>
  <c r="AD5" i="26"/>
  <c r="AE5" i="26"/>
  <c r="X5" i="26"/>
  <c r="I20" i="26"/>
  <c r="J20" i="26"/>
  <c r="I21" i="26"/>
  <c r="J21" i="26"/>
  <c r="I22" i="26"/>
  <c r="J22" i="26"/>
  <c r="I23" i="26"/>
  <c r="J23" i="26"/>
  <c r="H21" i="26"/>
  <c r="H23" i="26"/>
  <c r="H20" i="26"/>
  <c r="I12" i="26"/>
  <c r="J12" i="26"/>
  <c r="I13" i="26"/>
  <c r="J13" i="26"/>
  <c r="I14" i="26"/>
  <c r="J14" i="26"/>
  <c r="I15" i="26"/>
  <c r="J15" i="26"/>
  <c r="H13" i="26"/>
  <c r="H14" i="26"/>
  <c r="H15" i="26"/>
  <c r="H12" i="26"/>
  <c r="B26" i="26"/>
  <c r="B25" i="26"/>
  <c r="K21" i="26"/>
  <c r="L21" i="26"/>
  <c r="M21" i="26"/>
  <c r="O21" i="26"/>
  <c r="S21" i="26"/>
  <c r="K22" i="26"/>
  <c r="L22" i="26"/>
  <c r="M22" i="26"/>
  <c r="O22" i="26"/>
  <c r="S22" i="26"/>
  <c r="K23" i="26"/>
  <c r="L23" i="26"/>
  <c r="M23" i="26"/>
  <c r="O23" i="26"/>
  <c r="S23" i="26"/>
  <c r="K20" i="26"/>
  <c r="L20" i="26"/>
  <c r="M20" i="26"/>
  <c r="O20" i="26"/>
  <c r="S20" i="26"/>
  <c r="Q21" i="26"/>
  <c r="Q22" i="26"/>
  <c r="Q23" i="26"/>
  <c r="Q20" i="26"/>
  <c r="P21" i="26"/>
  <c r="P22" i="26"/>
  <c r="P23" i="26"/>
  <c r="P20" i="26"/>
  <c r="K13" i="26"/>
  <c r="L13" i="26"/>
  <c r="M13" i="26"/>
  <c r="O13" i="26"/>
  <c r="S13" i="26"/>
  <c r="K14" i="26"/>
  <c r="L14" i="26"/>
  <c r="M14" i="26"/>
  <c r="O14" i="26"/>
  <c r="S14" i="26"/>
  <c r="K15" i="26"/>
  <c r="L15" i="26"/>
  <c r="M15" i="26"/>
  <c r="O15" i="26"/>
  <c r="S15" i="26"/>
  <c r="K12" i="26"/>
  <c r="M12" i="26"/>
  <c r="O12" i="26"/>
  <c r="S12" i="26"/>
  <c r="Q13" i="26"/>
  <c r="Q14" i="26"/>
  <c r="Q15" i="26"/>
  <c r="Q12" i="26"/>
  <c r="P13" i="26"/>
  <c r="P14" i="26"/>
  <c r="P15" i="26"/>
  <c r="P12" i="26"/>
  <c r="N12" i="26"/>
  <c r="I4" i="26"/>
  <c r="J4" i="26"/>
  <c r="I5" i="26"/>
  <c r="J5" i="26"/>
  <c r="I6" i="26"/>
  <c r="J6" i="26"/>
  <c r="I7" i="26"/>
  <c r="J7" i="26"/>
  <c r="H5" i="26"/>
  <c r="H6" i="26"/>
  <c r="H7" i="26"/>
  <c r="H4" i="26"/>
  <c r="R23" i="26"/>
  <c r="N23" i="26"/>
  <c r="C20" i="26"/>
  <c r="C21" i="26"/>
  <c r="C22" i="26"/>
  <c r="C23" i="26"/>
  <c r="D23" i="26"/>
  <c r="R22" i="26"/>
  <c r="N22" i="26"/>
  <c r="D22" i="26"/>
  <c r="R21" i="26"/>
  <c r="N21" i="26"/>
  <c r="D21" i="26"/>
  <c r="R20" i="26"/>
  <c r="N20" i="26"/>
  <c r="D20" i="26"/>
  <c r="R15" i="26"/>
  <c r="N15" i="26"/>
  <c r="C12" i="26"/>
  <c r="C13" i="26"/>
  <c r="C14" i="26"/>
  <c r="C15" i="26"/>
  <c r="D15" i="26"/>
  <c r="R14" i="26"/>
  <c r="N14" i="26"/>
  <c r="D14" i="26"/>
  <c r="R13" i="26"/>
  <c r="N13" i="26"/>
  <c r="D13" i="26"/>
  <c r="L12" i="26"/>
  <c r="R12" i="26"/>
  <c r="D12" i="26"/>
  <c r="K5" i="26"/>
  <c r="L5" i="26"/>
  <c r="M5" i="26"/>
  <c r="O5" i="26"/>
  <c r="S5" i="26"/>
  <c r="K6" i="26"/>
  <c r="L6" i="26"/>
  <c r="M6" i="26"/>
  <c r="O6" i="26"/>
  <c r="S6" i="26"/>
  <c r="K7" i="26"/>
  <c r="L7" i="26"/>
  <c r="M7" i="26"/>
  <c r="O7" i="26"/>
  <c r="S7" i="26"/>
  <c r="K4" i="26"/>
  <c r="L4" i="26"/>
  <c r="M4" i="26"/>
  <c r="O4" i="26"/>
  <c r="S4" i="26"/>
  <c r="P4" i="26"/>
  <c r="R4" i="26"/>
  <c r="Q5" i="26"/>
  <c r="Q6" i="26"/>
  <c r="Q7" i="26"/>
  <c r="Q4" i="26"/>
  <c r="P5" i="26"/>
  <c r="P6" i="26"/>
  <c r="P7" i="26"/>
  <c r="C4" i="26"/>
  <c r="C5" i="26"/>
  <c r="C6" i="26"/>
  <c r="C7" i="26"/>
  <c r="D7" i="26"/>
  <c r="D6" i="26"/>
  <c r="D5" i="26"/>
  <c r="D4" i="26"/>
  <c r="R7" i="26"/>
  <c r="N7" i="26"/>
  <c r="R6" i="26"/>
  <c r="N6" i="26"/>
  <c r="R5" i="26"/>
  <c r="N5" i="26"/>
  <c r="N4" i="26"/>
  <c r="D48" i="25"/>
  <c r="F40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K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L8" i="25"/>
  <c r="O8" i="25"/>
  <c r="H8" i="25"/>
  <c r="K8" i="25"/>
  <c r="D8" i="25"/>
  <c r="G8" i="25"/>
  <c r="P8" i="25"/>
  <c r="R8" i="25"/>
  <c r="Q8" i="25"/>
  <c r="L7" i="25"/>
  <c r="O7" i="25"/>
  <c r="H7" i="25"/>
  <c r="K7" i="25"/>
  <c r="D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G8" i="18"/>
  <c r="I3" i="4"/>
  <c r="F3" i="2"/>
  <c r="F4" i="2"/>
  <c r="F5" i="2"/>
  <c r="F6" i="2"/>
  <c r="I7" i="2"/>
  <c r="I3" i="2"/>
  <c r="J3" i="2"/>
  <c r="K3" i="2"/>
  <c r="I4" i="2"/>
  <c r="J4" i="2"/>
  <c r="K4" i="2"/>
  <c r="I5" i="2"/>
  <c r="J5" i="2"/>
  <c r="K5" i="2"/>
  <c r="I6" i="2"/>
  <c r="J6" i="2"/>
  <c r="K6" i="2"/>
  <c r="L15" i="8"/>
  <c r="L12" i="8"/>
  <c r="B6" i="23"/>
  <c r="L7" i="8"/>
  <c r="L4" i="8"/>
  <c r="B5" i="23"/>
  <c r="M15" i="8"/>
  <c r="M12" i="8"/>
  <c r="C6" i="23"/>
  <c r="M7" i="8"/>
  <c r="M4" i="8"/>
  <c r="C5" i="23"/>
  <c r="U4" i="8"/>
  <c r="U7" i="8"/>
  <c r="C4" i="23"/>
  <c r="T7" i="8"/>
  <c r="T4" i="8"/>
  <c r="B4" i="23"/>
  <c r="P4" i="8"/>
  <c r="P7" i="8"/>
  <c r="B3" i="23"/>
  <c r="Q4" i="8"/>
  <c r="Q7" i="8"/>
  <c r="C3" i="23"/>
  <c r="I4" i="8"/>
  <c r="I7" i="8"/>
  <c r="C2" i="23"/>
  <c r="H4" i="8"/>
  <c r="H7" i="8"/>
  <c r="B2" i="23"/>
  <c r="J7" i="2"/>
  <c r="K7" i="2"/>
  <c r="C101" i="7"/>
  <c r="D101" i="7"/>
  <c r="E101" i="7"/>
  <c r="F101" i="7"/>
  <c r="C100" i="7"/>
  <c r="D100" i="7"/>
  <c r="E100" i="7"/>
  <c r="F100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58" i="7"/>
  <c r="D58" i="7"/>
  <c r="E58" i="7"/>
  <c r="F58" i="7"/>
  <c r="C59" i="7"/>
  <c r="D59" i="7"/>
  <c r="E59" i="7"/>
  <c r="F59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2" i="7"/>
  <c r="D72" i="7"/>
  <c r="E72" i="7"/>
  <c r="F72" i="7"/>
  <c r="C73" i="7"/>
  <c r="D73" i="7"/>
  <c r="E73" i="7"/>
  <c r="F73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F85" i="7"/>
  <c r="C86" i="7"/>
  <c r="D86" i="7"/>
  <c r="E86" i="7"/>
  <c r="F86" i="7"/>
  <c r="C87" i="7"/>
  <c r="D87" i="7"/>
  <c r="E87" i="7"/>
  <c r="F87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53" i="7"/>
  <c r="D53" i="7"/>
  <c r="E53" i="7"/>
  <c r="F53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4" i="7"/>
  <c r="D44" i="7"/>
  <c r="E44" i="7"/>
  <c r="F44" i="7"/>
  <c r="C45" i="7"/>
  <c r="D45" i="7"/>
  <c r="E45" i="7"/>
  <c r="F45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29" i="7"/>
  <c r="D29" i="7"/>
  <c r="E29" i="7"/>
  <c r="F29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6" i="17"/>
  <c r="D6" i="17"/>
  <c r="E6" i="17"/>
  <c r="F6" i="17"/>
  <c r="G6" i="17"/>
  <c r="C7" i="17"/>
  <c r="D7" i="17"/>
  <c r="E7" i="17"/>
  <c r="F7" i="17"/>
  <c r="G7" i="17"/>
  <c r="C8" i="17"/>
  <c r="D8" i="17"/>
  <c r="E8" i="17"/>
  <c r="F8" i="17"/>
  <c r="G8" i="17"/>
  <c r="C9" i="17"/>
  <c r="D9" i="17"/>
  <c r="E9" i="17"/>
  <c r="F9" i="17"/>
  <c r="G9" i="17"/>
  <c r="C10" i="17"/>
  <c r="D10" i="17"/>
  <c r="E10" i="17"/>
  <c r="F10" i="17"/>
  <c r="G10" i="17"/>
  <c r="C11" i="17"/>
  <c r="D11" i="17"/>
  <c r="E11" i="17"/>
  <c r="F11" i="17"/>
  <c r="G11" i="17"/>
  <c r="C12" i="17"/>
  <c r="D12" i="17"/>
  <c r="E12" i="17"/>
  <c r="F12" i="17"/>
  <c r="G12" i="17"/>
  <c r="C13" i="17"/>
  <c r="D13" i="17"/>
  <c r="E13" i="17"/>
  <c r="F13" i="17"/>
  <c r="G13" i="17"/>
  <c r="C14" i="17"/>
  <c r="D14" i="17"/>
  <c r="E14" i="17"/>
  <c r="F14" i="17"/>
  <c r="G14" i="17"/>
  <c r="C15" i="17"/>
  <c r="D15" i="17"/>
  <c r="E15" i="17"/>
  <c r="F15" i="17"/>
  <c r="G15" i="17"/>
  <c r="C16" i="17"/>
  <c r="D16" i="17"/>
  <c r="E16" i="17"/>
  <c r="F16" i="17"/>
  <c r="G16" i="17"/>
  <c r="C17" i="17"/>
  <c r="D17" i="17"/>
  <c r="E17" i="17"/>
  <c r="F17" i="17"/>
  <c r="G17" i="17"/>
  <c r="C18" i="17"/>
  <c r="D18" i="17"/>
  <c r="E18" i="17"/>
  <c r="F18" i="17"/>
  <c r="G18" i="17"/>
  <c r="C19" i="17"/>
  <c r="D19" i="17"/>
  <c r="E19" i="17"/>
  <c r="F19" i="17"/>
  <c r="G19" i="17"/>
  <c r="C20" i="17"/>
  <c r="D20" i="17"/>
  <c r="E20" i="17"/>
  <c r="F20" i="17"/>
  <c r="G20" i="17"/>
  <c r="C21" i="17"/>
  <c r="D21" i="17"/>
  <c r="E21" i="17"/>
  <c r="F21" i="17"/>
  <c r="G21" i="17"/>
  <c r="C22" i="17"/>
  <c r="D22" i="17"/>
  <c r="E22" i="17"/>
  <c r="F22" i="17"/>
  <c r="G22" i="17"/>
  <c r="C23" i="17"/>
  <c r="D23" i="17"/>
  <c r="E23" i="17"/>
  <c r="F23" i="17"/>
  <c r="G23" i="17"/>
  <c r="C24" i="17"/>
  <c r="D24" i="17"/>
  <c r="E24" i="17"/>
  <c r="F24" i="17"/>
  <c r="G24" i="17"/>
  <c r="C25" i="17"/>
  <c r="D25" i="17"/>
  <c r="E25" i="17"/>
  <c r="F25" i="17"/>
  <c r="G25" i="17"/>
  <c r="C26" i="17"/>
  <c r="D26" i="17"/>
  <c r="E26" i="17"/>
  <c r="F26" i="17"/>
  <c r="G26" i="17"/>
  <c r="C27" i="17"/>
  <c r="D27" i="17"/>
  <c r="E27" i="17"/>
  <c r="F27" i="17"/>
  <c r="G27" i="17"/>
  <c r="C28" i="17"/>
  <c r="D28" i="17"/>
  <c r="E28" i="17"/>
  <c r="F28" i="17"/>
  <c r="G28" i="17"/>
  <c r="C29" i="17"/>
  <c r="D29" i="17"/>
  <c r="E29" i="17"/>
  <c r="F29" i="17"/>
  <c r="G29" i="17"/>
  <c r="C30" i="17"/>
  <c r="D30" i="17"/>
  <c r="E30" i="17"/>
  <c r="F30" i="17"/>
  <c r="G30" i="17"/>
  <c r="C31" i="17"/>
  <c r="D31" i="17"/>
  <c r="E31" i="17"/>
  <c r="F31" i="17"/>
  <c r="G31" i="17"/>
  <c r="C32" i="17"/>
  <c r="D32" i="17"/>
  <c r="E32" i="17"/>
  <c r="F32" i="17"/>
  <c r="G32" i="17"/>
  <c r="C33" i="17"/>
  <c r="D33" i="17"/>
  <c r="E33" i="17"/>
  <c r="F33" i="17"/>
  <c r="G33" i="17"/>
  <c r="C34" i="17"/>
  <c r="D34" i="17"/>
  <c r="E34" i="17"/>
  <c r="F34" i="17"/>
  <c r="G34" i="17"/>
  <c r="C35" i="17"/>
  <c r="D35" i="17"/>
  <c r="E35" i="17"/>
  <c r="F35" i="17"/>
  <c r="G35" i="17"/>
  <c r="C36" i="17"/>
  <c r="D36" i="17"/>
  <c r="E36" i="17"/>
  <c r="F36" i="17"/>
  <c r="G36" i="17"/>
  <c r="C37" i="17"/>
  <c r="D37" i="17"/>
  <c r="E37" i="17"/>
  <c r="F37" i="17"/>
  <c r="G37" i="17"/>
  <c r="C38" i="17"/>
  <c r="D38" i="17"/>
  <c r="E38" i="17"/>
  <c r="F38" i="17"/>
  <c r="G38" i="17"/>
  <c r="C39" i="17"/>
  <c r="D39" i="17"/>
  <c r="E39" i="17"/>
  <c r="F39" i="17"/>
  <c r="G39" i="17"/>
  <c r="C40" i="17"/>
  <c r="D40" i="17"/>
  <c r="E40" i="17"/>
  <c r="F40" i="17"/>
  <c r="G40" i="17"/>
  <c r="C41" i="17"/>
  <c r="D41" i="17"/>
  <c r="E41" i="17"/>
  <c r="F41" i="17"/>
  <c r="G41" i="17"/>
  <c r="C42" i="17"/>
  <c r="D42" i="17"/>
  <c r="E42" i="17"/>
  <c r="F42" i="17"/>
  <c r="G42" i="17"/>
  <c r="C43" i="17"/>
  <c r="D43" i="17"/>
  <c r="E43" i="17"/>
  <c r="F43" i="17"/>
  <c r="G43" i="17"/>
  <c r="C44" i="17"/>
  <c r="D44" i="17"/>
  <c r="E44" i="17"/>
  <c r="F44" i="17"/>
  <c r="G44" i="17"/>
  <c r="C45" i="17"/>
  <c r="D45" i="17"/>
  <c r="E45" i="17"/>
  <c r="F45" i="17"/>
  <c r="G45" i="17"/>
  <c r="C46" i="17"/>
  <c r="D46" i="17"/>
  <c r="E46" i="17"/>
  <c r="F46" i="17"/>
  <c r="G46" i="17"/>
  <c r="C47" i="17"/>
  <c r="D47" i="17"/>
  <c r="E47" i="17"/>
  <c r="F47" i="17"/>
  <c r="G47" i="17"/>
  <c r="C48" i="17"/>
  <c r="D48" i="17"/>
  <c r="E48" i="17"/>
  <c r="F48" i="17"/>
  <c r="G48" i="17"/>
  <c r="C49" i="17"/>
  <c r="D49" i="17"/>
  <c r="E49" i="17"/>
  <c r="F49" i="17"/>
  <c r="G49" i="17"/>
  <c r="C50" i="17"/>
  <c r="D50" i="17"/>
  <c r="E50" i="17"/>
  <c r="F50" i="17"/>
  <c r="G50" i="17"/>
  <c r="C51" i="17"/>
  <c r="D51" i="17"/>
  <c r="E51" i="17"/>
  <c r="F51" i="17"/>
  <c r="G51" i="17"/>
  <c r="C52" i="17"/>
  <c r="D52" i="17"/>
  <c r="E52" i="17"/>
  <c r="F52" i="17"/>
  <c r="G52" i="17"/>
  <c r="C53" i="17"/>
  <c r="D53" i="17"/>
  <c r="E53" i="17"/>
  <c r="F53" i="17"/>
  <c r="G53" i="17"/>
  <c r="C54" i="17"/>
  <c r="D54" i="17"/>
  <c r="E54" i="17"/>
  <c r="F54" i="17"/>
  <c r="G54" i="17"/>
  <c r="C55" i="17"/>
  <c r="D55" i="17"/>
  <c r="E55" i="17"/>
  <c r="F55" i="17"/>
  <c r="G55" i="17"/>
  <c r="C56" i="17"/>
  <c r="D56" i="17"/>
  <c r="E56" i="17"/>
  <c r="F56" i="17"/>
  <c r="G56" i="17"/>
  <c r="C57" i="17"/>
  <c r="D57" i="17"/>
  <c r="E57" i="17"/>
  <c r="F57" i="17"/>
  <c r="G57" i="17"/>
  <c r="C58" i="17"/>
  <c r="D58" i="17"/>
  <c r="E58" i="17"/>
  <c r="F58" i="17"/>
  <c r="G58" i="17"/>
  <c r="C59" i="17"/>
  <c r="D59" i="17"/>
  <c r="E59" i="17"/>
  <c r="F59" i="17"/>
  <c r="G59" i="17"/>
  <c r="C60" i="17"/>
  <c r="D60" i="17"/>
  <c r="E60" i="17"/>
  <c r="F60" i="17"/>
  <c r="G60" i="17"/>
  <c r="C61" i="17"/>
  <c r="D61" i="17"/>
  <c r="E61" i="17"/>
  <c r="F61" i="17"/>
  <c r="G61" i="17"/>
  <c r="C62" i="17"/>
  <c r="D62" i="17"/>
  <c r="E62" i="17"/>
  <c r="F62" i="17"/>
  <c r="G62" i="17"/>
  <c r="C63" i="17"/>
  <c r="D63" i="17"/>
  <c r="E63" i="17"/>
  <c r="F63" i="17"/>
  <c r="G63" i="17"/>
  <c r="C64" i="17"/>
  <c r="D64" i="17"/>
  <c r="E64" i="17"/>
  <c r="F64" i="17"/>
  <c r="G64" i="17"/>
  <c r="C65" i="17"/>
  <c r="D65" i="17"/>
  <c r="E65" i="17"/>
  <c r="F65" i="17"/>
  <c r="G65" i="17"/>
  <c r="C66" i="17"/>
  <c r="D66" i="17"/>
  <c r="E66" i="17"/>
  <c r="F66" i="17"/>
  <c r="G66" i="17"/>
  <c r="C67" i="17"/>
  <c r="D67" i="17"/>
  <c r="E67" i="17"/>
  <c r="F67" i="17"/>
  <c r="G67" i="17"/>
  <c r="C68" i="17"/>
  <c r="D68" i="17"/>
  <c r="E68" i="17"/>
  <c r="F68" i="17"/>
  <c r="G68" i="17"/>
  <c r="C69" i="17"/>
  <c r="D69" i="17"/>
  <c r="E69" i="17"/>
  <c r="F69" i="17"/>
  <c r="G69" i="17"/>
  <c r="C70" i="17"/>
  <c r="D70" i="17"/>
  <c r="E70" i="17"/>
  <c r="F70" i="17"/>
  <c r="G70" i="17"/>
  <c r="C71" i="17"/>
  <c r="D71" i="17"/>
  <c r="E71" i="17"/>
  <c r="F71" i="17"/>
  <c r="G71" i="17"/>
  <c r="C72" i="17"/>
  <c r="D72" i="17"/>
  <c r="E72" i="17"/>
  <c r="F72" i="17"/>
  <c r="G72" i="17"/>
  <c r="C73" i="17"/>
  <c r="D73" i="17"/>
  <c r="E73" i="17"/>
  <c r="F73" i="17"/>
  <c r="G73" i="17"/>
  <c r="C74" i="17"/>
  <c r="D74" i="17"/>
  <c r="E74" i="17"/>
  <c r="F74" i="17"/>
  <c r="G74" i="17"/>
  <c r="C75" i="17"/>
  <c r="D75" i="17"/>
  <c r="E75" i="17"/>
  <c r="F75" i="17"/>
  <c r="G75" i="17"/>
  <c r="C76" i="17"/>
  <c r="D76" i="17"/>
  <c r="E76" i="17"/>
  <c r="F76" i="17"/>
  <c r="G76" i="17"/>
  <c r="C77" i="17"/>
  <c r="D77" i="17"/>
  <c r="E77" i="17"/>
  <c r="F77" i="17"/>
  <c r="G77" i="17"/>
  <c r="C78" i="17"/>
  <c r="D78" i="17"/>
  <c r="E78" i="17"/>
  <c r="F78" i="17"/>
  <c r="G78" i="17"/>
  <c r="C79" i="17"/>
  <c r="D79" i="17"/>
  <c r="E79" i="17"/>
  <c r="F79" i="17"/>
  <c r="G79" i="17"/>
  <c r="C80" i="17"/>
  <c r="D80" i="17"/>
  <c r="E80" i="17"/>
  <c r="F80" i="17"/>
  <c r="G80" i="17"/>
  <c r="C81" i="17"/>
  <c r="D81" i="17"/>
  <c r="E81" i="17"/>
  <c r="F81" i="17"/>
  <c r="G81" i="17"/>
  <c r="C82" i="17"/>
  <c r="D82" i="17"/>
  <c r="E82" i="17"/>
  <c r="F82" i="17"/>
  <c r="G82" i="17"/>
  <c r="C83" i="17"/>
  <c r="D83" i="17"/>
  <c r="E83" i="17"/>
  <c r="F83" i="17"/>
  <c r="G83" i="17"/>
  <c r="C84" i="17"/>
  <c r="D84" i="17"/>
  <c r="E84" i="17"/>
  <c r="F84" i="17"/>
  <c r="G84" i="17"/>
  <c r="C85" i="17"/>
  <c r="D85" i="17"/>
  <c r="E85" i="17"/>
  <c r="F85" i="17"/>
  <c r="G85" i="17"/>
  <c r="C86" i="17"/>
  <c r="D86" i="17"/>
  <c r="E86" i="17"/>
  <c r="F86" i="17"/>
  <c r="G86" i="17"/>
  <c r="C87" i="17"/>
  <c r="D87" i="17"/>
  <c r="E87" i="17"/>
  <c r="F87" i="17"/>
  <c r="G87" i="17"/>
  <c r="C88" i="17"/>
  <c r="D88" i="17"/>
  <c r="E88" i="17"/>
  <c r="F88" i="17"/>
  <c r="G88" i="17"/>
  <c r="C89" i="17"/>
  <c r="D89" i="17"/>
  <c r="E89" i="17"/>
  <c r="F89" i="17"/>
  <c r="G89" i="17"/>
  <c r="C90" i="17"/>
  <c r="D90" i="17"/>
  <c r="E90" i="17"/>
  <c r="F90" i="17"/>
  <c r="G90" i="17"/>
  <c r="C91" i="17"/>
  <c r="D91" i="17"/>
  <c r="E91" i="17"/>
  <c r="F91" i="17"/>
  <c r="G91" i="17"/>
  <c r="C92" i="17"/>
  <c r="D92" i="17"/>
  <c r="E92" i="17"/>
  <c r="F92" i="17"/>
  <c r="G92" i="17"/>
  <c r="C93" i="17"/>
  <c r="D93" i="17"/>
  <c r="E93" i="17"/>
  <c r="F93" i="17"/>
  <c r="G93" i="17"/>
  <c r="C94" i="17"/>
  <c r="D94" i="17"/>
  <c r="E94" i="17"/>
  <c r="F94" i="17"/>
  <c r="G94" i="17"/>
  <c r="C95" i="17"/>
  <c r="D95" i="17"/>
  <c r="E95" i="17"/>
  <c r="F95" i="17"/>
  <c r="G95" i="17"/>
  <c r="C96" i="17"/>
  <c r="D96" i="17"/>
  <c r="E96" i="17"/>
  <c r="F96" i="17"/>
  <c r="G96" i="17"/>
  <c r="C97" i="17"/>
  <c r="D97" i="17"/>
  <c r="E97" i="17"/>
  <c r="F97" i="17"/>
  <c r="G97" i="17"/>
  <c r="C98" i="17"/>
  <c r="D98" i="17"/>
  <c r="E98" i="17"/>
  <c r="F98" i="17"/>
  <c r="G98" i="17"/>
  <c r="C99" i="17"/>
  <c r="D99" i="17"/>
  <c r="E99" i="17"/>
  <c r="F99" i="17"/>
  <c r="G99" i="17"/>
  <c r="C100" i="17"/>
  <c r="D100" i="17"/>
  <c r="E100" i="17"/>
  <c r="F100" i="17"/>
  <c r="G100" i="17"/>
  <c r="C101" i="17"/>
  <c r="D101" i="17"/>
  <c r="E101" i="17"/>
  <c r="F101" i="17"/>
  <c r="G101" i="17"/>
  <c r="C4" i="4"/>
  <c r="C5" i="4"/>
  <c r="C6" i="4"/>
  <c r="C7" i="4"/>
  <c r="D7" i="4"/>
  <c r="D6" i="4"/>
  <c r="D5" i="4"/>
  <c r="D4" i="4"/>
  <c r="C3" i="4"/>
  <c r="D3" i="4"/>
  <c r="D4" i="22"/>
  <c r="D3" i="22"/>
  <c r="C4" i="22"/>
  <c r="C5" i="22"/>
  <c r="C6" i="22"/>
  <c r="C7" i="22"/>
  <c r="D7" i="22"/>
  <c r="D6" i="22"/>
  <c r="D5" i="22"/>
  <c r="C3" i="22"/>
  <c r="C4" i="3"/>
  <c r="C5" i="3"/>
  <c r="C6" i="3"/>
  <c r="C7" i="3"/>
  <c r="D7" i="3"/>
  <c r="D6" i="3"/>
  <c r="D5" i="3"/>
  <c r="D4" i="3"/>
  <c r="C3" i="3"/>
  <c r="D3" i="3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H5" i="22"/>
  <c r="U5" i="22"/>
  <c r="L5" i="22"/>
  <c r="V5" i="22"/>
  <c r="P5" i="22"/>
  <c r="W5" i="22"/>
  <c r="H6" i="22"/>
  <c r="U6" i="22"/>
  <c r="L6" i="22"/>
  <c r="V6" i="22"/>
  <c r="P6" i="22"/>
  <c r="W6" i="22"/>
  <c r="H7" i="22"/>
  <c r="U7" i="22"/>
  <c r="L7" i="22"/>
  <c r="V7" i="22"/>
  <c r="P7" i="22"/>
  <c r="W7" i="22"/>
  <c r="X5" i="22"/>
  <c r="X6" i="22"/>
  <c r="X7" i="22"/>
  <c r="H4" i="22"/>
  <c r="U4" i="22"/>
  <c r="L4" i="22"/>
  <c r="V4" i="22"/>
  <c r="P4" i="22"/>
  <c r="W4" i="22"/>
  <c r="X4" i="22"/>
  <c r="R4" i="22"/>
  <c r="Q7" i="22"/>
  <c r="S7" i="22"/>
  <c r="Q6" i="22"/>
  <c r="S6" i="22"/>
  <c r="Q5" i="22"/>
  <c r="S5" i="22"/>
  <c r="F7" i="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C17" i="23"/>
  <c r="C18" i="23"/>
  <c r="B10" i="23"/>
  <c r="B9" i="23"/>
  <c r="I11" i="8"/>
  <c r="C4" i="2"/>
  <c r="C5" i="2"/>
  <c r="C6" i="2"/>
  <c r="C7" i="2"/>
  <c r="C3" i="2"/>
  <c r="D21" i="23"/>
  <c r="Q4" i="22"/>
  <c r="T5" i="22"/>
  <c r="T6" i="22"/>
  <c r="T7" i="22"/>
  <c r="T4" i="22"/>
  <c r="S4" i="22"/>
  <c r="R5" i="22"/>
  <c r="R6" i="22"/>
  <c r="R7" i="22"/>
  <c r="G10" i="18"/>
  <c r="H10" i="18"/>
  <c r="G11" i="18"/>
  <c r="H11" i="18"/>
  <c r="G7" i="18"/>
  <c r="H7" i="18"/>
  <c r="H8" i="18"/>
  <c r="G9" i="18"/>
  <c r="H9" i="18"/>
  <c r="D22" i="23"/>
  <c r="C5" i="17"/>
  <c r="D5" i="17"/>
  <c r="E5" i="17"/>
  <c r="F5" i="17"/>
  <c r="G5" i="17"/>
  <c r="B7" i="23"/>
  <c r="D19" i="23"/>
  <c r="D18" i="23"/>
  <c r="D17" i="23"/>
  <c r="G8" i="14"/>
  <c r="H8" i="14"/>
  <c r="G9" i="14"/>
  <c r="H9" i="14"/>
  <c r="G10" i="14"/>
  <c r="H10" i="14"/>
  <c r="G11" i="14"/>
  <c r="H11" i="14"/>
  <c r="H7" i="14"/>
  <c r="G7" i="14"/>
  <c r="J4" i="4"/>
  <c r="J5" i="4"/>
  <c r="J6" i="4"/>
  <c r="J7" i="4"/>
  <c r="J3" i="4"/>
  <c r="L11" i="8"/>
  <c r="L13" i="8"/>
  <c r="L14" i="8"/>
  <c r="H7" i="21"/>
  <c r="G7" i="21"/>
  <c r="G8" i="21"/>
  <c r="I4" i="4"/>
  <c r="I5" i="4"/>
  <c r="I6" i="4"/>
  <c r="I7" i="4"/>
  <c r="Q7" i="3"/>
  <c r="S7" i="3"/>
  <c r="R7" i="3"/>
  <c r="Q6" i="3"/>
  <c r="S6" i="3"/>
  <c r="R6" i="3"/>
  <c r="Q5" i="3"/>
  <c r="S5" i="3"/>
  <c r="R5" i="3"/>
  <c r="Q4" i="3"/>
  <c r="S4" i="3"/>
  <c r="R4" i="3"/>
  <c r="D4" i="2"/>
  <c r="D5" i="2"/>
  <c r="D6" i="2"/>
  <c r="D7" i="2"/>
  <c r="D3" i="2"/>
  <c r="H7" i="19"/>
  <c r="G7" i="19"/>
  <c r="I3" i="8"/>
  <c r="H3" i="8"/>
  <c r="H11" i="21"/>
  <c r="G11" i="21"/>
  <c r="H10" i="21"/>
  <c r="G10" i="21"/>
  <c r="H9" i="21"/>
  <c r="G9" i="21"/>
  <c r="H8" i="21"/>
  <c r="H11" i="20"/>
  <c r="G11" i="20"/>
  <c r="H10" i="20"/>
  <c r="G10" i="20"/>
  <c r="H9" i="20"/>
  <c r="G9" i="20"/>
  <c r="H8" i="20"/>
  <c r="G8" i="20"/>
  <c r="H7" i="20"/>
  <c r="G7" i="20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7" i="16"/>
  <c r="G8" i="16"/>
  <c r="G9" i="16"/>
  <c r="G10" i="16"/>
  <c r="G11" i="16"/>
  <c r="G7" i="16"/>
  <c r="H8" i="15"/>
  <c r="H9" i="15"/>
  <c r="H10" i="15"/>
  <c r="H11" i="15"/>
  <c r="H7" i="15"/>
  <c r="G8" i="15"/>
  <c r="G9" i="15"/>
  <c r="G10" i="15"/>
  <c r="G11" i="15"/>
  <c r="G7" i="15"/>
  <c r="P11" i="8"/>
  <c r="H11" i="8"/>
  <c r="U3" i="8"/>
  <c r="Q3" i="8"/>
  <c r="M3" i="8"/>
  <c r="Q11" i="8"/>
  <c r="M11" i="8"/>
  <c r="T3" i="8"/>
  <c r="P3" i="8"/>
  <c r="L3" i="8"/>
  <c r="G3" i="5"/>
  <c r="P12" i="8"/>
  <c r="I12" i="8"/>
  <c r="Q12" i="8"/>
  <c r="H12" i="8"/>
  <c r="G4" i="5"/>
  <c r="P5" i="8"/>
  <c r="I5" i="8"/>
  <c r="H5" i="8"/>
  <c r="T5" i="8"/>
  <c r="Q13" i="8"/>
  <c r="Q5" i="8"/>
  <c r="P13" i="8"/>
  <c r="H13" i="8"/>
  <c r="L5" i="8"/>
  <c r="M13" i="8"/>
  <c r="U5" i="8"/>
  <c r="I13" i="8"/>
  <c r="M5" i="8"/>
  <c r="G5" i="5"/>
  <c r="I6" i="8"/>
  <c r="M14" i="8"/>
  <c r="I14" i="8"/>
  <c r="Q14" i="8"/>
  <c r="P6" i="8"/>
  <c r="P14" i="8"/>
  <c r="H14" i="8"/>
  <c r="H6" i="8"/>
  <c r="L6" i="8"/>
  <c r="U6" i="8"/>
  <c r="Q6" i="8"/>
  <c r="T6" i="8"/>
  <c r="M6" i="8"/>
  <c r="P15" i="8"/>
  <c r="Q15" i="8"/>
  <c r="I15" i="8"/>
  <c r="H15" i="8"/>
  <c r="G6" i="5"/>
  <c r="G7" i="5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<sst xmlns="http://schemas.openxmlformats.org/spreadsheetml/2006/main" count="572" uniqueCount="238">
  <si>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</si>
  <si>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</si>
  <si>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</si>
  <si>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</si>
  <si>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</si>
  <si>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</si>
  <si>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</si>
  <si>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</si>
  <si>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</si>
  <si>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</si>
  <si>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</si>
  <si>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</si>
  <si>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</si>
  <si>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</si>
  <si>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</si>
  <si>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</si>
  <si>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</si>
  <si>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</si>
  <si>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</si>
  <si>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</si>
  <si>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</si>
  <si>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</si>
  <si>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</si>
  <si>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</si>
  <si>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</si>
  <si>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</si>
  <si>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</si>
  <si>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</si>
  <si>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</si>
  <si>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</si>
  <si>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</si>
  <si>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</si>
  <si>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</si>
  <si>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</si>
  <si>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</si>
  <si>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</si>
  <si>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</si>
  <si>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</si>
  <si>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</si>
  <si>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</si>
  <si>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</si>
  <si>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</si>
  <si>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</si>
  <si>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</si>
  <si>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</si>
  <si>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</si>
  <si>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</si>
  <si>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</si>
  <si>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</si>
  <si>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</si>
  <si>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</si>
  <si>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</si>
  <si>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</si>
  <si>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</si>
  <si>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</si>
  <si>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</si>
  <si>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</si>
  <si>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</si>
  <si>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</si>
  <si>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</si>
  <si>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</si>
  <si>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</si>
  <si>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</si>
  <si>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</si>
  <si>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</si>
  <si>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</si>
  <si>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</si>
  <si>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</si>
  <si>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</si>
  <si>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</si>
  <si>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</si>
  <si>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</si>
  <si>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</si>
  <si>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</si>
  <si>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</si>
  <si>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</si>
  <si>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</si>
  <si>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</si>
  <si>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</si>
  <si>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</si>
  <si>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</si>
  <si>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</si>
  <si>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</si>
  <si>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</si>
  <si>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</si>
  <si>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</si>
  <si>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</si>
  <si>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</si>
  <si>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</si>
  <si>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</si>
  <si>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</si>
  <si>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</si>
  <si>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</si>
  <si>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</si>
  <si>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</si>
  <si>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</si>
  <si>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</si>
  <si>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</si>
  <si>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</si>
  <si>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</si>
  <si>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</si>
  <si>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</si>
  <si>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</si>
  <si>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</si>
  <si>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</si>
  <si>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</si>
  <si>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</si>
  <si>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</si>
  <si>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</si>
  <si>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</si>
  <si>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</si>
  <si>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</si>
  <si>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</si>
  <si>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</si>
  <si>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</si>
  <si>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</si>
  <si>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</si>
  <si>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</si>
  <si>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</si>
  <si>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</si>
  <si>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</si>
  <si>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</si>
  <si>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</si>
  <si>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</si>
  <si>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</si>
  <si>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</si>
  <si>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</si>
  <si>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</si>
  <si>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</si>
  <si>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</si>
  <si>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</si>
  <si>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</si>
  <si>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</si>
  <si>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</si>
  <si>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</si>
  <si>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</si>
  <si>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</si>
  <si>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</si>
  <si>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</si>
  <si>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</si>
  <si>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</si>
  <si>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</si>
  <si>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</si>
  <si>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</si>
  <si>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</si>
  <si>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</si>
  <si>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</si>
  <si>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</si>
  <si>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</si>
  <si>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</si>
  <si>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</si>
  <si>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</si>
  <si>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</si>
  <si>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</si>
  <si>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</si>
  <si>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</si>
  <si>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</si>
  <si>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</si>
  <si>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</si>
  <si>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</si>
  <si>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</si>
  <si>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</si>
  <si>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</si>
  <si>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</si>
  <si>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</si>
  <si>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</si>
  <si>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</si>
  <si>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>x moles D-fructose consumed</t>
  </si>
  <si>
    <t>Initial Volume Fermentor after inoculation (mL)</t>
  </si>
  <si>
    <t>pH 5.80</t>
  </si>
  <si>
    <t xml:space="preserve">Volume (ul) </t>
  </si>
  <si>
    <t>Outliers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</si>
  <si>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</si>
  <si>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</si>
  <si>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</si>
  <si>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</si>
  <si>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</si>
  <si>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</si>
  <si>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</si>
  <si>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</si>
  <si>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</si>
  <si>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</si>
  <si>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</si>
  <si>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</si>
  <si>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</si>
  <si>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</si>
  <si>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</si>
  <si>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</si>
  <si>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</si>
  <si>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</si>
  <si>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</si>
  <si>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</si>
  <si>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</si>
  <si>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</si>
  <si>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 per mL</t>
  </si>
  <si>
    <t>CT2 normalized per mL</t>
  </si>
  <si>
    <t>CT3 normalized per mL</t>
  </si>
  <si>
    <t>Average CT normalized per mL</t>
  </si>
  <si>
    <t>outliers</t>
  </si>
  <si>
    <t>IPC FP10 epp</t>
  </si>
  <si>
    <t>Threshold</t>
  </si>
  <si>
    <t>AUTO</t>
  </si>
  <si>
    <t>Ct Threshold</t>
  </si>
  <si>
    <t>baseline</t>
  </si>
  <si>
    <t>Rico</t>
  </si>
  <si>
    <t>intercept</t>
  </si>
  <si>
    <t>Efficiency E (%)</t>
  </si>
  <si>
    <t>F. prausnitzii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</si>
  <si>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</si>
  <si>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</si>
  <si>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</si>
  <si>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</si>
  <si>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</si>
  <si>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</si>
  <si>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</si>
  <si>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</si>
  <si>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</si>
  <si>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</si>
  <si>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</si>
  <si>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</si>
  <si>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 (cells/ml medium)</t>
  </si>
  <si>
    <t>Log (cells/ml medium)</t>
  </si>
  <si>
    <t>STDV Log (cells/ml medium)</t>
  </si>
  <si>
    <t>Dilution log (10x)</t>
  </si>
  <si>
    <t xml:space="preserve">Dilution </t>
  </si>
  <si>
    <t>IPC value epp 10 plate 20150707</t>
  </si>
  <si>
    <t>IPC value  epp 10 plate 20150702</t>
  </si>
  <si>
    <t>IPC value epp 10 plate 20150708</t>
  </si>
  <si>
    <t>IPC value epp 10 plate 20150709</t>
  </si>
  <si>
    <t>Total Average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</si>
  <si>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</si>
  <si>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</si>
  <si>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</si>
  <si>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</si>
  <si>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</si>
  <si>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/>
  </si>
  <si>
    <t>IPC value epp 8 plate 20150729</t>
  </si>
  <si>
    <t>IPC value epp 7 plate 20150730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</si>
</sst>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8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5" fontId="0" fillId="0" borderId="16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7" fillId="0" borderId="0" xfId="353"/>
    <xf numFmtId="0" fontId="27" fillId="2" borderId="4" xfId="353" applyFill="1" applyBorder="1" applyAlignment="1">
      <alignment horizontal="center" vertical="center"/>
    </xf>
    <xf numFmtId="0" fontId="27" fillId="2" borderId="16" xfId="353" applyFill="1" applyBorder="1" applyAlignment="1">
      <alignment horizontal="center" vertical="center"/>
    </xf>
    <xf numFmtId="0" fontId="27" fillId="2" borderId="3" xfId="353" applyFill="1" applyBorder="1" applyAlignment="1">
      <alignment horizontal="center" vertical="center"/>
    </xf>
    <xf numFmtId="0" fontId="27" fillId="0" borderId="3" xfId="353" applyFill="1" applyBorder="1" applyAlignment="1">
      <alignment horizontal="center" vertical="center"/>
    </xf>
    <xf numFmtId="0" fontId="27" fillId="0" borderId="16" xfId="353" applyFill="1" applyBorder="1" applyAlignment="1">
      <alignment horizontal="center" vertical="center"/>
    </xf>
    <xf numFmtId="11" fontId="27" fillId="0" borderId="16" xfId="353" applyNumberFormat="1" applyFill="1" applyBorder="1" applyAlignment="1">
      <alignment horizontal="center" vertical="center"/>
    </xf>
    <xf numFmtId="0" fontId="0" fillId="0" borderId="16" xfId="353" applyFont="1" applyBorder="1" applyAlignment="1">
      <alignment horizontal="center" vertical="center"/>
    </xf>
    <xf numFmtId="0" fontId="27" fillId="0" borderId="16" xfId="353" applyBorder="1" applyAlignment="1">
      <alignment horizontal="center" vertical="center"/>
    </xf>
    <xf numFmtId="11" fontId="27" fillId="0" borderId="16" xfId="353" applyNumberFormat="1" applyBorder="1" applyAlignment="1">
      <alignment horizontal="center" vertical="center"/>
    </xf>
    <xf numFmtId="2" fontId="27" fillId="0" borderId="16" xfId="353" applyNumberFormat="1" applyBorder="1" applyAlignment="1">
      <alignment horizontal="center" vertical="center"/>
    </xf>
    <xf numFmtId="0" fontId="0" fillId="0" borderId="0" xfId="353" applyFont="1"/>
    <xf numFmtId="0" fontId="27" fillId="2" borderId="22" xfId="353" applyFill="1" applyBorder="1" applyAlignment="1">
      <alignment wrapText="1"/>
    </xf>
    <xf numFmtId="0" fontId="0" fillId="2" borderId="22" xfId="353" applyFont="1" applyFill="1" applyBorder="1" applyAlignment="1">
      <alignment wrapText="1"/>
    </xf>
    <xf numFmtId="0" fontId="0" fillId="2" borderId="22" xfId="353" applyFont="1" applyFill="1" applyBorder="1" applyAlignment="1">
      <alignment horizontal="center" vertical="center" wrapText="1"/>
    </xf>
    <xf numFmtId="165" fontId="27" fillId="0" borderId="16" xfId="353" applyNumberFormat="1" applyBorder="1" applyAlignment="1">
      <alignment horizontal="center" vertical="center"/>
    </xf>
    <xf numFmtId="165" fontId="27" fillId="0" borderId="16" xfId="353" applyNumberFormat="1" applyBorder="1"/>
    <xf numFmtId="165" fontId="27" fillId="0" borderId="0" xfId="353" applyNumberFormat="1"/>
    <xf numFmtId="0" fontId="27" fillId="2" borderId="16" xfId="353" applyFill="1" applyBorder="1"/>
    <xf numFmtId="0" fontId="28" fillId="0" borderId="16" xfId="353" applyFont="1" applyBorder="1"/>
    <xf numFmtId="0" fontId="27" fillId="0" borderId="16" xfId="353" applyBorder="1"/>
    <xf numFmtId="0" fontId="29" fillId="12" borderId="0" xfId="353" applyFont="1" applyFill="1"/>
    <xf numFmtId="165" fontId="25" fillId="0" borderId="18" xfId="0" applyNumberFormat="1" applyFont="1" applyBorder="1" applyAlignment="1">
      <alignment horizontal="center" vertical="center"/>
    </xf>
    <xf numFmtId="2" fontId="27" fillId="0" borderId="16" xfId="353" applyNumberFormat="1" applyBorder="1"/>
    <xf numFmtId="1" fontId="27" fillId="0" borderId="16" xfId="353" applyNumberFormat="1" applyBorder="1"/>
    <xf numFmtId="0" fontId="0" fillId="0" borderId="16" xfId="353" applyFont="1" applyBorder="1"/>
    <xf numFmtId="165" fontId="25" fillId="0" borderId="16" xfId="0" applyNumberFormat="1" applyFont="1" applyBorder="1" applyAlignment="1">
      <alignment horizontal="center" vertical="center"/>
    </xf>
    <xf numFmtId="0" fontId="0" fillId="0" borderId="0" xfId="353" applyFont="1" applyFill="1" applyBorder="1"/>
    <xf numFmtId="1" fontId="0" fillId="0" borderId="0" xfId="0" applyNumberFormat="1" applyBorder="1" applyAlignment="1">
      <alignment horizontal="center" vertical="center"/>
    </xf>
    <xf numFmtId="165" fontId="27" fillId="0" borderId="0" xfId="353" applyNumberFormat="1" applyBorder="1" applyAlignment="1">
      <alignment horizontal="center" vertical="center"/>
    </xf>
    <xf numFmtId="165" fontId="27" fillId="0" borderId="0" xfId="353" applyNumberFormat="1" applyBorder="1"/>
    <xf numFmtId="165" fontId="25" fillId="0" borderId="0" xfId="0" applyNumberFormat="1" applyFont="1" applyBorder="1" applyAlignment="1">
      <alignment horizontal="center" vertical="center"/>
    </xf>
    <xf numFmtId="2" fontId="27" fillId="0" borderId="0" xfId="353" applyNumberFormat="1" applyBorder="1"/>
    <xf numFmtId="1" fontId="27" fillId="0" borderId="0" xfId="353" applyNumberForma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1" xfId="353" applyFont="1" applyBorder="1" applyAlignment="1">
      <alignment horizontal="center"/>
    </xf>
    <xf numFmtId="0" fontId="27" fillId="0" borderId="21" xfId="353" applyBorder="1" applyAlignment="1">
      <alignment horizontal="center"/>
    </xf>
    <xf numFmtId="0" fontId="27" fillId="0" borderId="17" xfId="353" applyNumberFormat="1" applyFill="1" applyBorder="1" applyAlignment="1">
      <alignment horizontal="center" vertical="center"/>
    </xf>
    <xf numFmtId="0" fontId="27" fillId="0" borderId="5" xfId="353" applyNumberFormat="1" applyFill="1" applyBorder="1" applyAlignment="1">
      <alignment horizontal="center" vertical="center"/>
    </xf>
    <xf numFmtId="0" fontId="27" fillId="0" borderId="18" xfId="353" applyNumberFormat="1" applyFill="1" applyBorder="1" applyAlignment="1">
      <alignment horizontal="center" vertical="center"/>
    </xf>
    <xf numFmtId="0" fontId="27" fillId="2" borderId="4" xfId="353" applyFill="1" applyBorder="1" applyAlignment="1">
      <alignment horizontal="center" vertical="center"/>
    </xf>
    <xf numFmtId="0" fontId="27" fillId="2" borderId="3" xfId="353" applyFill="1" applyBorder="1" applyAlignment="1">
      <alignment horizontal="center" vertical="center"/>
    </xf>
    <xf numFmtId="0" fontId="0" fillId="2" borderId="4" xfId="353" applyFont="1" applyFill="1" applyBorder="1" applyAlignment="1">
      <alignment horizontal="center" vertical="center"/>
    </xf>
    <xf numFmtId="0" fontId="27" fillId="2" borderId="16" xfId="353" applyFill="1" applyBorder="1" applyAlignment="1">
      <alignment horizontal="center" vertical="center"/>
    </xf>
    <xf numFmtId="0" fontId="0" fillId="2" borderId="21" xfId="353" applyFont="1" applyFill="1" applyBorder="1" applyAlignment="1">
      <alignment horizontal="center" vertical="center"/>
    </xf>
    <xf numFmtId="0" fontId="0" fillId="2" borderId="0" xfId="353" applyFont="1" applyFill="1" applyBorder="1" applyAlignment="1">
      <alignment horizontal="center" vertical="center"/>
    </xf>
    <xf numFmtId="0" fontId="0" fillId="2" borderId="23" xfId="353" applyFont="1" applyFill="1" applyBorder="1" applyAlignment="1">
      <alignment horizontal="center" vertical="center"/>
    </xf>
    <xf numFmtId="0" fontId="0" fillId="2" borderId="24" xfId="353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</cellXfs>
  <cellStyles count="398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Input" xfId="10"/>
    <cellStyle name="Linked Cell" xfId="11"/>
    <cellStyle name="Neutral" xfId="12"/>
    <cellStyle name="Normal" xfId="0" builtinId="0"/>
    <cellStyle name="Normal 2" xfId="353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235160"/>
        <c:axId val="-2119616296"/>
      </c:scatterChart>
      <c:valAx>
        <c:axId val="-212223516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9616296"/>
        <c:crosses val="autoZero"/>
        <c:crossBetween val="midCat"/>
        <c:majorUnit val="2.0"/>
      </c:valAx>
      <c:valAx>
        <c:axId val="-21196162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12223516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Metabolites!$M$4:$M$7</c:f>
                <c:numCache>
                  <c:formatCode>General</c:formatCode>
                  <c:ptCount val="4"/>
                  <c:pt idx="0">
                    <c:v>0.0128348570743662</c:v>
                  </c:pt>
                  <c:pt idx="1">
                    <c:v>0.0341439102876218</c:v>
                  </c:pt>
                  <c:pt idx="2">
                    <c:v>0.0342645601472953</c:v>
                  </c:pt>
                  <c:pt idx="3">
                    <c:v>0.0224314200756212</c:v>
                  </c:pt>
                </c:numCache>
              </c:numRef>
            </c:plus>
            <c:minus>
              <c:numRef>
                <c:f>Metabolites!$M$4:$M$7</c:f>
                <c:numCache>
                  <c:formatCode>General</c:formatCode>
                  <c:ptCount val="4"/>
                  <c:pt idx="0">
                    <c:v>0.0128348570743662</c:v>
                  </c:pt>
                  <c:pt idx="1">
                    <c:v>0.0341439102876218</c:v>
                  </c:pt>
                  <c:pt idx="2">
                    <c:v>0.0342645601472953</c:v>
                  </c:pt>
                  <c:pt idx="3">
                    <c:v>0.0224314200756212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Metabolites!$L$4:$L$7</c:f>
              <c:numCache>
                <c:formatCode>0</c:formatCode>
                <c:ptCount val="4"/>
                <c:pt idx="0">
                  <c:v>0.148204163737914</c:v>
                </c:pt>
                <c:pt idx="1">
                  <c:v>0.320384918896989</c:v>
                </c:pt>
                <c:pt idx="2">
                  <c:v>1.129048143806267</c:v>
                </c:pt>
                <c:pt idx="3">
                  <c:v>0.986982483327333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Metabolites!$Q$4:$Q$7</c:f>
                <c:numCache>
                  <c:formatCode>General</c:formatCode>
                  <c:ptCount val="4"/>
                  <c:pt idx="0">
                    <c:v>0.606098528826196</c:v>
                  </c:pt>
                  <c:pt idx="1">
                    <c:v>0.38717704248288</c:v>
                  </c:pt>
                  <c:pt idx="2">
                    <c:v>0.375202672255274</c:v>
                  </c:pt>
                  <c:pt idx="3">
                    <c:v>0.236342793595849</c:v>
                  </c:pt>
                </c:numCache>
              </c:numRef>
            </c:plus>
            <c:minus>
              <c:numRef>
                <c:f>Metabolites!$Q$4:$Q$7</c:f>
                <c:numCache>
                  <c:formatCode>General</c:formatCode>
                  <c:ptCount val="4"/>
                  <c:pt idx="0">
                    <c:v>0.606098528826196</c:v>
                  </c:pt>
                  <c:pt idx="1">
                    <c:v>0.38717704248288</c:v>
                  </c:pt>
                  <c:pt idx="2">
                    <c:v>0.375202672255274</c:v>
                  </c:pt>
                  <c:pt idx="3">
                    <c:v>0.236342793595849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Metabolites!$P$4:$P$7</c:f>
              <c:numCache>
                <c:formatCode>0</c:formatCode>
                <c:ptCount val="4"/>
                <c:pt idx="0">
                  <c:v>49.64374018021427</c:v>
                </c:pt>
                <c:pt idx="1">
                  <c:v>38.70539167382054</c:v>
                </c:pt>
                <c:pt idx="2">
                  <c:v>31.08045767339181</c:v>
                </c:pt>
                <c:pt idx="3">
                  <c:v>31.41694765181179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0.0505104962005147</c:v>
                  </c:pt>
                  <c:pt idx="2">
                    <c:v>0.0760334677788667</c:v>
                  </c:pt>
                  <c:pt idx="3">
                    <c:v>0.182761711152029</c:v>
                  </c:pt>
                </c:numCache>
              </c:numRef>
            </c:plus>
            <c:min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0.0505104962005147</c:v>
                  </c:pt>
                  <c:pt idx="2">
                    <c:v>0.0760334677788667</c:v>
                  </c:pt>
                  <c:pt idx="3">
                    <c:v>0.182761711152029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Metabolites!$T$4:$T$7</c:f>
              <c:numCache>
                <c:formatCode>0</c:formatCode>
                <c:ptCount val="4"/>
                <c:pt idx="0">
                  <c:v>0.0</c:v>
                </c:pt>
                <c:pt idx="1">
                  <c:v>0.583244971565374</c:v>
                </c:pt>
                <c:pt idx="2">
                  <c:v>1.712019780492425</c:v>
                </c:pt>
                <c:pt idx="3">
                  <c:v>5.45797759080064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0.0142362340705794</c:v>
                </c:pt>
                <c:pt idx="1">
                  <c:v>0.0410791782080402</c:v>
                </c:pt>
                <c:pt idx="2">
                  <c:v>0.0632486127842933</c:v>
                </c:pt>
                <c:pt idx="3">
                  <c:v>0.0817539489991043</c:v>
                </c:pt>
                <c:pt idx="4">
                  <c:v>0.10033611619377</c:v>
                </c:pt>
                <c:pt idx="5">
                  <c:v>0.121836933703042</c:v>
                </c:pt>
                <c:pt idx="6">
                  <c:v>0.150456376349639</c:v>
                </c:pt>
                <c:pt idx="7">
                  <c:v>0.194387794938797</c:v>
                </c:pt>
                <c:pt idx="8">
                  <c:v>0.260619123769975</c:v>
                </c:pt>
                <c:pt idx="9">
                  <c:v>0.347861535362357</c:v>
                </c:pt>
                <c:pt idx="10">
                  <c:v>0.456783828090747</c:v>
                </c:pt>
                <c:pt idx="11">
                  <c:v>0.592191318016808</c:v>
                </c:pt>
                <c:pt idx="12">
                  <c:v>0.752960718061482</c:v>
                </c:pt>
                <c:pt idx="13">
                  <c:v>0.947611844789273</c:v>
                </c:pt>
                <c:pt idx="14">
                  <c:v>1.200715273759797</c:v>
                </c:pt>
                <c:pt idx="15">
                  <c:v>1.533753461290102</c:v>
                </c:pt>
                <c:pt idx="16">
                  <c:v>1.953675592700359</c:v>
                </c:pt>
                <c:pt idx="17">
                  <c:v>2.498947406971352</c:v>
                </c:pt>
                <c:pt idx="18">
                  <c:v>3.203162522764617</c:v>
                </c:pt>
                <c:pt idx="19">
                  <c:v>4.063922353208966</c:v>
                </c:pt>
                <c:pt idx="20">
                  <c:v>5.113187021292322</c:v>
                </c:pt>
                <c:pt idx="21">
                  <c:v>6.362700143591806</c:v>
                </c:pt>
                <c:pt idx="22">
                  <c:v>7.786562964132077</c:v>
                </c:pt>
                <c:pt idx="23">
                  <c:v>9.33042657475919</c:v>
                </c:pt>
                <c:pt idx="24">
                  <c:v>10.88561519339355</c:v>
                </c:pt>
                <c:pt idx="25">
                  <c:v>12.44496343378089</c:v>
                </c:pt>
                <c:pt idx="26">
                  <c:v>14.03846036925489</c:v>
                </c:pt>
                <c:pt idx="27">
                  <c:v>15.61215818533953</c:v>
                </c:pt>
                <c:pt idx="28">
                  <c:v>17.10160852391478</c:v>
                </c:pt>
                <c:pt idx="29">
                  <c:v>18.45892443693766</c:v>
                </c:pt>
                <c:pt idx="30">
                  <c:v>19.64966507508197</c:v>
                </c:pt>
                <c:pt idx="31">
                  <c:v>20.63018606345692</c:v>
                </c:pt>
                <c:pt idx="32">
                  <c:v>21.39126786804641</c:v>
                </c:pt>
                <c:pt idx="33">
                  <c:v>21.96005215131962</c:v>
                </c:pt>
                <c:pt idx="34">
                  <c:v>22.36650373286642</c:v>
                </c:pt>
                <c:pt idx="35">
                  <c:v>22.6499813917121</c:v>
                </c:pt>
                <c:pt idx="36">
                  <c:v>22.85083309577976</c:v>
                </c:pt>
                <c:pt idx="37">
                  <c:v>22.99359012941875</c:v>
                </c:pt>
                <c:pt idx="38">
                  <c:v>23.09669589628351</c:v>
                </c:pt>
                <c:pt idx="39">
                  <c:v>23.17438257676048</c:v>
                </c:pt>
                <c:pt idx="40">
                  <c:v>23.23502392501244</c:v>
                </c:pt>
                <c:pt idx="41">
                  <c:v>23.28402746254629</c:v>
                </c:pt>
                <c:pt idx="42">
                  <c:v>23.32517318496825</c:v>
                </c:pt>
                <c:pt idx="43">
                  <c:v>23.3602523712973</c:v>
                </c:pt>
                <c:pt idx="44">
                  <c:v>23.39071111831731</c:v>
                </c:pt>
                <c:pt idx="45">
                  <c:v>23.41793749217555</c:v>
                </c:pt>
                <c:pt idx="46">
                  <c:v>23.4423780619665</c:v>
                </c:pt>
                <c:pt idx="47">
                  <c:v>23.46430397083713</c:v>
                </c:pt>
                <c:pt idx="48">
                  <c:v>23.48437361540014</c:v>
                </c:pt>
                <c:pt idx="49">
                  <c:v>23.50262607511063</c:v>
                </c:pt>
                <c:pt idx="50">
                  <c:v>23.5187247752189</c:v>
                </c:pt>
                <c:pt idx="51">
                  <c:v>23.53338566232839</c:v>
                </c:pt>
                <c:pt idx="52">
                  <c:v>23.54679190176661</c:v>
                </c:pt>
                <c:pt idx="53">
                  <c:v>23.5591378019989</c:v>
                </c:pt>
                <c:pt idx="54">
                  <c:v>23.56522195523573</c:v>
                </c:pt>
                <c:pt idx="55">
                  <c:v>23.56522195523573</c:v>
                </c:pt>
                <c:pt idx="56">
                  <c:v>23.56522195523573</c:v>
                </c:pt>
                <c:pt idx="57">
                  <c:v>23.56522195523573</c:v>
                </c:pt>
                <c:pt idx="58">
                  <c:v>23.56522195523573</c:v>
                </c:pt>
                <c:pt idx="59">
                  <c:v>23.56522195523573</c:v>
                </c:pt>
                <c:pt idx="60">
                  <c:v>23.56522195523573</c:v>
                </c:pt>
                <c:pt idx="61">
                  <c:v>23.56522195523573</c:v>
                </c:pt>
                <c:pt idx="62">
                  <c:v>23.56522195523573</c:v>
                </c:pt>
                <c:pt idx="63">
                  <c:v>23.56522195523573</c:v>
                </c:pt>
                <c:pt idx="64">
                  <c:v>23.56522195523573</c:v>
                </c:pt>
                <c:pt idx="65">
                  <c:v>23.56522195523573</c:v>
                </c:pt>
                <c:pt idx="66">
                  <c:v>23.56522195523573</c:v>
                </c:pt>
                <c:pt idx="67">
                  <c:v>23.56522195523573</c:v>
                </c:pt>
                <c:pt idx="68">
                  <c:v>23.56522195523573</c:v>
                </c:pt>
                <c:pt idx="69">
                  <c:v>23.56522195523573</c:v>
                </c:pt>
                <c:pt idx="70">
                  <c:v>23.56522195523573</c:v>
                </c:pt>
                <c:pt idx="71">
                  <c:v>23.56522195523573</c:v>
                </c:pt>
                <c:pt idx="72">
                  <c:v>23.56522195523573</c:v>
                </c:pt>
                <c:pt idx="73">
                  <c:v>23.56522195523573</c:v>
                </c:pt>
                <c:pt idx="74">
                  <c:v>23.56522195523573</c:v>
                </c:pt>
                <c:pt idx="75">
                  <c:v>23.56522195523573</c:v>
                </c:pt>
                <c:pt idx="76">
                  <c:v>23.56522195523573</c:v>
                </c:pt>
                <c:pt idx="77">
                  <c:v>23.56522195523573</c:v>
                </c:pt>
                <c:pt idx="78">
                  <c:v>23.56522195523573</c:v>
                </c:pt>
                <c:pt idx="79">
                  <c:v>23.56522195523573</c:v>
                </c:pt>
                <c:pt idx="80">
                  <c:v>23.56522195523573</c:v>
                </c:pt>
                <c:pt idx="81">
                  <c:v>23.56522195523573</c:v>
                </c:pt>
                <c:pt idx="82">
                  <c:v>23.56522195523573</c:v>
                </c:pt>
                <c:pt idx="83">
                  <c:v>23.56522195523573</c:v>
                </c:pt>
                <c:pt idx="84">
                  <c:v>23.56522195523573</c:v>
                </c:pt>
                <c:pt idx="85">
                  <c:v>23.56522195523573</c:v>
                </c:pt>
                <c:pt idx="86">
                  <c:v>23.56522195523573</c:v>
                </c:pt>
                <c:pt idx="87">
                  <c:v>23.56522195523573</c:v>
                </c:pt>
                <c:pt idx="88">
                  <c:v>23.56522195523573</c:v>
                </c:pt>
                <c:pt idx="89">
                  <c:v>23.56522195523573</c:v>
                </c:pt>
                <c:pt idx="90">
                  <c:v>23.56522195523573</c:v>
                </c:pt>
                <c:pt idx="91">
                  <c:v>23.56522195523573</c:v>
                </c:pt>
                <c:pt idx="92">
                  <c:v>23.56522195523573</c:v>
                </c:pt>
                <c:pt idx="93">
                  <c:v>23.56522195523573</c:v>
                </c:pt>
                <c:pt idx="94">
                  <c:v>23.56522195523573</c:v>
                </c:pt>
                <c:pt idx="95">
                  <c:v>23.56522195523573</c:v>
                </c:pt>
                <c:pt idx="96">
                  <c:v>23.56522195523573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Metabolites!$I$4:$I$7</c:f>
                <c:numCache>
                  <c:formatCode>General</c:formatCode>
                  <c:ptCount val="4"/>
                  <c:pt idx="0">
                    <c:v>0.386486936404422</c:v>
                  </c:pt>
                  <c:pt idx="1">
                    <c:v>0.364956716833046</c:v>
                  </c:pt>
                  <c:pt idx="2">
                    <c:v>0.388901140398453</c:v>
                  </c:pt>
                  <c:pt idx="3">
                    <c:v>0.246830573707765</c:v>
                  </c:pt>
                </c:numCache>
              </c:numRef>
            </c:plus>
            <c:minus>
              <c:numRef>
                <c:f>Metabolites!$I$4:$I$7</c:f>
                <c:numCache>
                  <c:formatCode>General</c:formatCode>
                  <c:ptCount val="4"/>
                  <c:pt idx="0">
                    <c:v>0.386486936404422</c:v>
                  </c:pt>
                  <c:pt idx="1">
                    <c:v>0.364956716833046</c:v>
                  </c:pt>
                  <c:pt idx="2">
                    <c:v>0.388901140398453</c:v>
                  </c:pt>
                  <c:pt idx="3">
                    <c:v>0.246830573707765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Metabolites!$H$4:$H$7</c:f>
              <c:numCache>
                <c:formatCode>0</c:formatCode>
                <c:ptCount val="4"/>
                <c:pt idx="0">
                  <c:v>47.60688249671136</c:v>
                </c:pt>
                <c:pt idx="1">
                  <c:v>37.68248203073303</c:v>
                </c:pt>
                <c:pt idx="2">
                  <c:v>30.70487551351282</c:v>
                </c:pt>
                <c:pt idx="3">
                  <c:v>30.81329404387833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Metabolites!$M$12:$M$15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0.242204586751203</c:v>
                  </c:pt>
                  <c:pt idx="2">
                    <c:v>0.451726748493308</c:v>
                  </c:pt>
                  <c:pt idx="3">
                    <c:v>0.138233265139812</c:v>
                  </c:pt>
                </c:numCache>
              </c:numRef>
            </c:plus>
            <c:minus>
              <c:numRef>
                <c:f>Metabolites!$M$12:$M$15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0.242204586751203</c:v>
                  </c:pt>
                  <c:pt idx="2">
                    <c:v>0.451726748493308</c:v>
                  </c:pt>
                  <c:pt idx="3">
                    <c:v>0.138233265139812</c:v>
                  </c:pt>
                </c:numCache>
              </c:numRef>
            </c:minus>
          </c:errBars>
          <c:xVal>
            <c:numRef>
              <c:f>Metabolites!$E$12:$E$15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Metabolites!$L$12:$L$15</c:f>
              <c:numCache>
                <c:formatCode>0</c:formatCode>
                <c:ptCount val="4"/>
                <c:pt idx="0">
                  <c:v>0.0</c:v>
                </c:pt>
                <c:pt idx="1">
                  <c:v>14.63302620731392</c:v>
                </c:pt>
                <c:pt idx="2">
                  <c:v>24.56119061583483</c:v>
                </c:pt>
                <c:pt idx="3">
                  <c:v>25.21095756334369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8.10100708092133E-5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2.70033569364044E-5</c:v>
                </c:pt>
                <c:pt idx="5">
                  <c:v>0.000270033569364044</c:v>
                </c:pt>
                <c:pt idx="6">
                  <c:v>0.000405050354046066</c:v>
                </c:pt>
                <c:pt idx="7">
                  <c:v>0.000162020141618427</c:v>
                </c:pt>
                <c:pt idx="8">
                  <c:v>0.000567070495664493</c:v>
                </c:pt>
                <c:pt idx="9">
                  <c:v>0.000648080566473706</c:v>
                </c:pt>
                <c:pt idx="10">
                  <c:v>0.00024303021242764</c:v>
                </c:pt>
                <c:pt idx="11">
                  <c:v>0.000162020141618427</c:v>
                </c:pt>
                <c:pt idx="12">
                  <c:v>0.000270033569364044</c:v>
                </c:pt>
                <c:pt idx="13">
                  <c:v>0.00024303021242764</c:v>
                </c:pt>
                <c:pt idx="14">
                  <c:v>0.00024303021242764</c:v>
                </c:pt>
                <c:pt idx="15">
                  <c:v>0.000432053710982471</c:v>
                </c:pt>
                <c:pt idx="16">
                  <c:v>5.40067138728089E-5</c:v>
                </c:pt>
                <c:pt idx="17">
                  <c:v>0.0</c:v>
                </c:pt>
                <c:pt idx="18">
                  <c:v>2.70033569364044E-5</c:v>
                </c:pt>
                <c:pt idx="19">
                  <c:v>2.70033569364044E-5</c:v>
                </c:pt>
                <c:pt idx="20">
                  <c:v>0.000675083923410111</c:v>
                </c:pt>
                <c:pt idx="21">
                  <c:v>0.000459057067918875</c:v>
                </c:pt>
                <c:pt idx="22">
                  <c:v>5.40067138728089E-5</c:v>
                </c:pt>
                <c:pt idx="23">
                  <c:v>0.000108013427745618</c:v>
                </c:pt>
                <c:pt idx="24">
                  <c:v>0.000252133110843657</c:v>
                </c:pt>
                <c:pt idx="25">
                  <c:v>0.0</c:v>
                </c:pt>
                <c:pt idx="26">
                  <c:v>5.60295801874795E-5</c:v>
                </c:pt>
                <c:pt idx="27">
                  <c:v>0.00137272471459325</c:v>
                </c:pt>
                <c:pt idx="28">
                  <c:v>5.60295801874795E-5</c:v>
                </c:pt>
                <c:pt idx="29">
                  <c:v>0.000140073950468699</c:v>
                </c:pt>
                <c:pt idx="30">
                  <c:v>5.60295801874795E-5</c:v>
                </c:pt>
                <c:pt idx="31">
                  <c:v>2.80147900937397E-5</c:v>
                </c:pt>
                <c:pt idx="32">
                  <c:v>2.80147900937397E-5</c:v>
                </c:pt>
                <c:pt idx="33">
                  <c:v>0.000196103530656178</c:v>
                </c:pt>
                <c:pt idx="34">
                  <c:v>0.000280147900937397</c:v>
                </c:pt>
                <c:pt idx="35">
                  <c:v>0.000252133110843657</c:v>
                </c:pt>
                <c:pt idx="36">
                  <c:v>0.0</c:v>
                </c:pt>
                <c:pt idx="37">
                  <c:v>0.0</c:v>
                </c:pt>
                <c:pt idx="38">
                  <c:v>0.000336177481124877</c:v>
                </c:pt>
                <c:pt idx="39">
                  <c:v>0.0</c:v>
                </c:pt>
                <c:pt idx="40">
                  <c:v>0.000112059160374959</c:v>
                </c:pt>
                <c:pt idx="41">
                  <c:v>0.0</c:v>
                </c:pt>
                <c:pt idx="42">
                  <c:v>8.40443702812192E-5</c:v>
                </c:pt>
                <c:pt idx="43">
                  <c:v>0.000560295801874795</c:v>
                </c:pt>
                <c:pt idx="44">
                  <c:v>0.000420221851406096</c:v>
                </c:pt>
                <c:pt idx="45">
                  <c:v>0.000448236641499836</c:v>
                </c:pt>
                <c:pt idx="46">
                  <c:v>0.000140073950468699</c:v>
                </c:pt>
                <c:pt idx="47">
                  <c:v>5.60295801874795E-5</c:v>
                </c:pt>
                <c:pt idx="48">
                  <c:v>0.000234005893724179</c:v>
                </c:pt>
                <c:pt idx="49">
                  <c:v>5.85014734310447E-5</c:v>
                </c:pt>
                <c:pt idx="50">
                  <c:v>2.92507367155224E-5</c:v>
                </c:pt>
                <c:pt idx="51">
                  <c:v>5.85014734310447E-5</c:v>
                </c:pt>
                <c:pt idx="52">
                  <c:v>0.00111152799518985</c:v>
                </c:pt>
                <c:pt idx="53">
                  <c:v>8.77522101465671E-5</c:v>
                </c:pt>
                <c:pt idx="54">
                  <c:v>0.0</c:v>
                </c:pt>
                <c:pt idx="55">
                  <c:v>2.92507367155224E-5</c:v>
                </c:pt>
                <c:pt idx="56">
                  <c:v>0.000117002946862089</c:v>
                </c:pt>
                <c:pt idx="57">
                  <c:v>0.00163804125606925</c:v>
                </c:pt>
                <c:pt idx="58">
                  <c:v>2.92507367155224E-5</c:v>
                </c:pt>
                <c:pt idx="59">
                  <c:v>2.92507367155224E-5</c:v>
                </c:pt>
                <c:pt idx="60">
                  <c:v>0.000760519154603581</c:v>
                </c:pt>
                <c:pt idx="61">
                  <c:v>0.000351008840586268</c:v>
                </c:pt>
                <c:pt idx="62">
                  <c:v>0.000146253683577612</c:v>
                </c:pt>
                <c:pt idx="63">
                  <c:v>2.92507367155224E-5</c:v>
                </c:pt>
                <c:pt idx="64">
                  <c:v>0.0</c:v>
                </c:pt>
                <c:pt idx="65">
                  <c:v>0.000263256630439701</c:v>
                </c:pt>
                <c:pt idx="66">
                  <c:v>0.000321758103870746</c:v>
                </c:pt>
                <c:pt idx="67">
                  <c:v>8.77522101465671E-5</c:v>
                </c:pt>
                <c:pt idx="68">
                  <c:v>0.0</c:v>
                </c:pt>
                <c:pt idx="69">
                  <c:v>0.000526513260879402</c:v>
                </c:pt>
                <c:pt idx="70">
                  <c:v>0.000263256630439701</c:v>
                </c:pt>
                <c:pt idx="71">
                  <c:v>0.000672766944457014</c:v>
                </c:pt>
                <c:pt idx="72">
                  <c:v>0.000438761050732835</c:v>
                </c:pt>
                <c:pt idx="73">
                  <c:v>0.0</c:v>
                </c:pt>
                <c:pt idx="74">
                  <c:v>0.000731268417888059</c:v>
                </c:pt>
                <c:pt idx="75">
                  <c:v>5.85014734310447E-5</c:v>
                </c:pt>
                <c:pt idx="76">
                  <c:v>0.000438761050732835</c:v>
                </c:pt>
                <c:pt idx="77">
                  <c:v>0.0</c:v>
                </c:pt>
                <c:pt idx="78">
                  <c:v>0.000468011787448358</c:v>
                </c:pt>
                <c:pt idx="79">
                  <c:v>2.92507367155224E-5</c:v>
                </c:pt>
                <c:pt idx="80">
                  <c:v>2.92507367155224E-5</c:v>
                </c:pt>
                <c:pt idx="81">
                  <c:v>5.85014734310447E-5</c:v>
                </c:pt>
                <c:pt idx="82">
                  <c:v>0.000965274311612238</c:v>
                </c:pt>
                <c:pt idx="83">
                  <c:v>0.0</c:v>
                </c:pt>
                <c:pt idx="84">
                  <c:v>0.0</c:v>
                </c:pt>
                <c:pt idx="85">
                  <c:v>0.000146253683577612</c:v>
                </c:pt>
                <c:pt idx="86">
                  <c:v>2.92507367155224E-5</c:v>
                </c:pt>
                <c:pt idx="87">
                  <c:v>0.000204755157008657</c:v>
                </c:pt>
                <c:pt idx="88">
                  <c:v>2.92507367155224E-5</c:v>
                </c:pt>
                <c:pt idx="89">
                  <c:v>2.92507367155224E-5</c:v>
                </c:pt>
                <c:pt idx="90">
                  <c:v>0.0</c:v>
                </c:pt>
                <c:pt idx="91">
                  <c:v>0.000760519154603581</c:v>
                </c:pt>
                <c:pt idx="92">
                  <c:v>5.85014734310447E-5</c:v>
                </c:pt>
                <c:pt idx="93">
                  <c:v>0.000351008840586268</c:v>
                </c:pt>
                <c:pt idx="94">
                  <c:v>0.000175504420293134</c:v>
                </c:pt>
                <c:pt idx="95">
                  <c:v>5.85014734310447E-5</c:v>
                </c:pt>
                <c:pt idx="96">
                  <c:v>9.13805557422138E-5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959864"/>
        <c:axId val="-212001690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cytometer'!$N$4:$N$7</c:f>
              <c:numCache>
                <c:formatCode>General</c:formatCode>
                <c:ptCount val="4"/>
                <c:pt idx="0">
                  <c:v>10009.0</c:v>
                </c:pt>
                <c:pt idx="1">
                  <c:v>35631.0</c:v>
                </c:pt>
                <c:pt idx="2">
                  <c:v>4505.0</c:v>
                </c:pt>
                <c:pt idx="3">
                  <c:v>5745.0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cytometer'!$X$4:$X$7</c:f>
                <c:numCache>
                  <c:formatCode>General</c:formatCode>
                  <c:ptCount val="4"/>
                  <c:pt idx="0">
                    <c:v>0.0117393058741939</c:v>
                  </c:pt>
                  <c:pt idx="1">
                    <c:v>0.0139719117932995</c:v>
                  </c:pt>
                  <c:pt idx="2">
                    <c:v>0.0227047435533377</c:v>
                  </c:pt>
                  <c:pt idx="3">
                    <c:v>0.017911811698014</c:v>
                  </c:pt>
                </c:numCache>
              </c:numRef>
            </c:plus>
            <c:minus>
              <c:numRef>
                <c:f>'Flow cytometer'!$X$4:$X$7</c:f>
                <c:numCache>
                  <c:formatCode>General</c:formatCode>
                  <c:ptCount val="4"/>
                  <c:pt idx="0">
                    <c:v>0.0117393058741939</c:v>
                  </c:pt>
                  <c:pt idx="1">
                    <c:v>0.0139719117932995</c:v>
                  </c:pt>
                  <c:pt idx="2">
                    <c:v>0.0227047435533377</c:v>
                  </c:pt>
                  <c:pt idx="3">
                    <c:v>0.017911811698014</c:v>
                  </c:pt>
                </c:numCache>
              </c:numRef>
            </c:minus>
          </c:errBars>
          <c:xVal>
            <c:numRef>
              <c:f>'Flow cytometer'!$D$4:$D$7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'Flow cytometer'!$S$4:$S$7</c:f>
              <c:numCache>
                <c:formatCode>0.00</c:formatCode>
                <c:ptCount val="4"/>
                <c:pt idx="0">
                  <c:v>7.151718442720927</c:v>
                </c:pt>
                <c:pt idx="1">
                  <c:v>8.71943408331763</c:v>
                </c:pt>
                <c:pt idx="2">
                  <c:v>8.844132476748656</c:v>
                </c:pt>
                <c:pt idx="3">
                  <c:v>8.942498577383146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count'!$AD$4:$AD$7</c:f>
                <c:numCache>
                  <c:formatCode>General</c:formatCode>
                  <c:ptCount val="4"/>
                  <c:pt idx="0">
                    <c:v>0.108667984842543</c:v>
                  </c:pt>
                  <c:pt idx="1">
                    <c:v>0.183070987601176</c:v>
                  </c:pt>
                  <c:pt idx="2">
                    <c:v>0.242426910136912</c:v>
                  </c:pt>
                  <c:pt idx="3">
                    <c:v>0.0231219605194549</c:v>
                  </c:pt>
                </c:numCache>
              </c:numRef>
            </c:plus>
            <c:minus>
              <c:numRef>
                <c:f>'Determination cell count'!$AD$4:$AD$7</c:f>
                <c:numCache>
                  <c:formatCode>General</c:formatCode>
                  <c:ptCount val="4"/>
                  <c:pt idx="0">
                    <c:v>0.108667984842543</c:v>
                  </c:pt>
                  <c:pt idx="1">
                    <c:v>0.183070987601176</c:v>
                  </c:pt>
                  <c:pt idx="2">
                    <c:v>0.242426910136912</c:v>
                  </c:pt>
                  <c:pt idx="3">
                    <c:v>0.0231219605194549</c:v>
                  </c:pt>
                </c:numCache>
              </c:numRef>
            </c:minus>
          </c:errBars>
          <c:xVal>
            <c:numRef>
              <c:f>'Determination cell count'!$D$4:$D$7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'Determination cell count'!$X$4:$X$7</c:f>
              <c:numCache>
                <c:formatCode>0.00</c:formatCode>
                <c:ptCount val="4"/>
                <c:pt idx="0">
                  <c:v>5.992156411702503</c:v>
                </c:pt>
                <c:pt idx="1">
                  <c:v>8.213375464774847</c:v>
                </c:pt>
                <c:pt idx="2">
                  <c:v>8.717620531980579</c:v>
                </c:pt>
                <c:pt idx="3">
                  <c:v>8.24773129749921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45160"/>
        <c:axId val="-2120044216"/>
      </c:scatterChart>
      <c:valAx>
        <c:axId val="-21199598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0016904"/>
        <c:crosses val="autoZero"/>
        <c:crossBetween val="midCat"/>
        <c:majorUnit val="6.0"/>
      </c:valAx>
      <c:valAx>
        <c:axId val="-2120016904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9959864"/>
        <c:crosses val="autoZero"/>
        <c:crossBetween val="midCat"/>
      </c:valAx>
      <c:valAx>
        <c:axId val="-2120044216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1345160"/>
        <c:crosses val="max"/>
        <c:crossBetween val="midCat"/>
        <c:majorUnit val="1.0"/>
        <c:minorUnit val="0.2"/>
      </c:valAx>
      <c:valAx>
        <c:axId val="-212134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00442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Metabolites!$M$4:$M$7</c:f>
                <c:numCache>
                  <c:formatCode>General</c:formatCode>
                  <c:ptCount val="4"/>
                  <c:pt idx="0">
                    <c:v>0.0128348570743662</c:v>
                  </c:pt>
                  <c:pt idx="1">
                    <c:v>0.0341439102876218</c:v>
                  </c:pt>
                  <c:pt idx="2">
                    <c:v>0.0342645601472953</c:v>
                  </c:pt>
                  <c:pt idx="3">
                    <c:v>0.0224314200756212</c:v>
                  </c:pt>
                </c:numCache>
              </c:numRef>
            </c:plus>
            <c:minus>
              <c:numRef>
                <c:f>Metabolites!$M$4:$M$7</c:f>
                <c:numCache>
                  <c:formatCode>General</c:formatCode>
                  <c:ptCount val="4"/>
                  <c:pt idx="0">
                    <c:v>0.0128348570743662</c:v>
                  </c:pt>
                  <c:pt idx="1">
                    <c:v>0.0341439102876218</c:v>
                  </c:pt>
                  <c:pt idx="2">
                    <c:v>0.0342645601472953</c:v>
                  </c:pt>
                  <c:pt idx="3">
                    <c:v>0.0224314200756212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Metabolites!$L$4:$L$7</c:f>
              <c:numCache>
                <c:formatCode>0</c:formatCode>
                <c:ptCount val="4"/>
                <c:pt idx="0">
                  <c:v>0.148204163737914</c:v>
                </c:pt>
                <c:pt idx="1">
                  <c:v>0.320384918896989</c:v>
                </c:pt>
                <c:pt idx="2">
                  <c:v>1.129048143806267</c:v>
                </c:pt>
                <c:pt idx="3">
                  <c:v>0.986982483327333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Metabolites!$Q$4:$Q$7</c:f>
                <c:numCache>
                  <c:formatCode>General</c:formatCode>
                  <c:ptCount val="4"/>
                  <c:pt idx="0">
                    <c:v>0.606098528826196</c:v>
                  </c:pt>
                  <c:pt idx="1">
                    <c:v>0.38717704248288</c:v>
                  </c:pt>
                  <c:pt idx="2">
                    <c:v>0.375202672255274</c:v>
                  </c:pt>
                  <c:pt idx="3">
                    <c:v>0.236342793595849</c:v>
                  </c:pt>
                </c:numCache>
              </c:numRef>
            </c:plus>
            <c:minus>
              <c:numRef>
                <c:f>Metabolites!$Q$4:$Q$7</c:f>
                <c:numCache>
                  <c:formatCode>General</c:formatCode>
                  <c:ptCount val="4"/>
                  <c:pt idx="0">
                    <c:v>0.606098528826196</c:v>
                  </c:pt>
                  <c:pt idx="1">
                    <c:v>0.38717704248288</c:v>
                  </c:pt>
                  <c:pt idx="2">
                    <c:v>0.375202672255274</c:v>
                  </c:pt>
                  <c:pt idx="3">
                    <c:v>0.236342793595849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Metabolites!$P$4:$P$7</c:f>
              <c:numCache>
                <c:formatCode>0</c:formatCode>
                <c:ptCount val="4"/>
                <c:pt idx="0">
                  <c:v>49.64374018021427</c:v>
                </c:pt>
                <c:pt idx="1">
                  <c:v>38.70539167382054</c:v>
                </c:pt>
                <c:pt idx="2">
                  <c:v>31.08045767339181</c:v>
                </c:pt>
                <c:pt idx="3">
                  <c:v>31.41694765181179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0.0505104962005147</c:v>
                  </c:pt>
                  <c:pt idx="2">
                    <c:v>0.0760334677788667</c:v>
                  </c:pt>
                  <c:pt idx="3">
                    <c:v>0.182761711152029</c:v>
                  </c:pt>
                </c:numCache>
              </c:numRef>
            </c:plus>
            <c:minus>
              <c:numRef>
                <c:f>Metabolites!$U$4:$U$7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0.0505104962005147</c:v>
                  </c:pt>
                  <c:pt idx="2">
                    <c:v>0.0760334677788667</c:v>
                  </c:pt>
                  <c:pt idx="3">
                    <c:v>0.182761711152029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Metabolites!$T$4:$T$7</c:f>
              <c:numCache>
                <c:formatCode>0</c:formatCode>
                <c:ptCount val="4"/>
                <c:pt idx="0">
                  <c:v>0.0</c:v>
                </c:pt>
                <c:pt idx="1">
                  <c:v>0.583244971565374</c:v>
                </c:pt>
                <c:pt idx="2">
                  <c:v>1.712019780492425</c:v>
                </c:pt>
                <c:pt idx="3">
                  <c:v>5.45797759080064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0.0142362340705794</c:v>
                </c:pt>
                <c:pt idx="1">
                  <c:v>0.0410791782080402</c:v>
                </c:pt>
                <c:pt idx="2">
                  <c:v>0.0632486127842933</c:v>
                </c:pt>
                <c:pt idx="3">
                  <c:v>0.0817539489991043</c:v>
                </c:pt>
                <c:pt idx="4">
                  <c:v>0.10033611619377</c:v>
                </c:pt>
                <c:pt idx="5">
                  <c:v>0.121836933703042</c:v>
                </c:pt>
                <c:pt idx="6">
                  <c:v>0.150456376349639</c:v>
                </c:pt>
                <c:pt idx="7">
                  <c:v>0.194387794938797</c:v>
                </c:pt>
                <c:pt idx="8">
                  <c:v>0.260619123769975</c:v>
                </c:pt>
                <c:pt idx="9">
                  <c:v>0.347861535362357</c:v>
                </c:pt>
                <c:pt idx="10">
                  <c:v>0.456783828090747</c:v>
                </c:pt>
                <c:pt idx="11">
                  <c:v>0.592191318016808</c:v>
                </c:pt>
                <c:pt idx="12">
                  <c:v>0.752960718061482</c:v>
                </c:pt>
                <c:pt idx="13">
                  <c:v>0.947611844789273</c:v>
                </c:pt>
                <c:pt idx="14">
                  <c:v>1.200715273759797</c:v>
                </c:pt>
                <c:pt idx="15">
                  <c:v>1.533753461290102</c:v>
                </c:pt>
                <c:pt idx="16">
                  <c:v>1.953675592700359</c:v>
                </c:pt>
                <c:pt idx="17">
                  <c:v>2.498947406971352</c:v>
                </c:pt>
                <c:pt idx="18">
                  <c:v>3.203162522764617</c:v>
                </c:pt>
                <c:pt idx="19">
                  <c:v>4.063922353208966</c:v>
                </c:pt>
                <c:pt idx="20">
                  <c:v>5.113187021292322</c:v>
                </c:pt>
                <c:pt idx="21">
                  <c:v>6.362700143591806</c:v>
                </c:pt>
                <c:pt idx="22">
                  <c:v>7.786562964132077</c:v>
                </c:pt>
                <c:pt idx="23">
                  <c:v>9.33042657475919</c:v>
                </c:pt>
                <c:pt idx="24">
                  <c:v>10.88561519339355</c:v>
                </c:pt>
                <c:pt idx="25">
                  <c:v>12.44496343378089</c:v>
                </c:pt>
                <c:pt idx="26">
                  <c:v>14.03846036925489</c:v>
                </c:pt>
                <c:pt idx="27">
                  <c:v>15.61215818533953</c:v>
                </c:pt>
                <c:pt idx="28">
                  <c:v>17.10160852391478</c:v>
                </c:pt>
                <c:pt idx="29">
                  <c:v>18.45892443693766</c:v>
                </c:pt>
                <c:pt idx="30">
                  <c:v>19.64966507508197</c:v>
                </c:pt>
                <c:pt idx="31">
                  <c:v>20.63018606345692</c:v>
                </c:pt>
                <c:pt idx="32">
                  <c:v>21.39126786804641</c:v>
                </c:pt>
                <c:pt idx="33">
                  <c:v>21.96005215131962</c:v>
                </c:pt>
                <c:pt idx="34">
                  <c:v>22.36650373286642</c:v>
                </c:pt>
                <c:pt idx="35">
                  <c:v>22.6499813917121</c:v>
                </c:pt>
                <c:pt idx="36">
                  <c:v>22.85083309577976</c:v>
                </c:pt>
                <c:pt idx="37">
                  <c:v>22.99359012941875</c:v>
                </c:pt>
                <c:pt idx="38">
                  <c:v>23.09669589628351</c:v>
                </c:pt>
                <c:pt idx="39">
                  <c:v>23.17438257676048</c:v>
                </c:pt>
                <c:pt idx="40">
                  <c:v>23.23502392501244</c:v>
                </c:pt>
                <c:pt idx="41">
                  <c:v>23.28402746254629</c:v>
                </c:pt>
                <c:pt idx="42">
                  <c:v>23.32517318496825</c:v>
                </c:pt>
                <c:pt idx="43">
                  <c:v>23.3602523712973</c:v>
                </c:pt>
                <c:pt idx="44">
                  <c:v>23.39071111831731</c:v>
                </c:pt>
                <c:pt idx="45">
                  <c:v>23.41793749217555</c:v>
                </c:pt>
                <c:pt idx="46">
                  <c:v>23.4423780619665</c:v>
                </c:pt>
                <c:pt idx="47">
                  <c:v>23.46430397083713</c:v>
                </c:pt>
                <c:pt idx="48">
                  <c:v>23.48437361540014</c:v>
                </c:pt>
                <c:pt idx="49">
                  <c:v>23.50262607511063</c:v>
                </c:pt>
                <c:pt idx="50">
                  <c:v>23.5187247752189</c:v>
                </c:pt>
                <c:pt idx="51">
                  <c:v>23.53338566232839</c:v>
                </c:pt>
                <c:pt idx="52">
                  <c:v>23.54679190176661</c:v>
                </c:pt>
                <c:pt idx="53">
                  <c:v>23.5591378019989</c:v>
                </c:pt>
                <c:pt idx="54">
                  <c:v>23.56522195523573</c:v>
                </c:pt>
                <c:pt idx="55">
                  <c:v>23.56522195523573</c:v>
                </c:pt>
                <c:pt idx="56">
                  <c:v>23.56522195523573</c:v>
                </c:pt>
                <c:pt idx="57">
                  <c:v>23.56522195523573</c:v>
                </c:pt>
                <c:pt idx="58">
                  <c:v>23.56522195523573</c:v>
                </c:pt>
                <c:pt idx="59">
                  <c:v>23.56522195523573</c:v>
                </c:pt>
                <c:pt idx="60">
                  <c:v>23.56522195523573</c:v>
                </c:pt>
                <c:pt idx="61">
                  <c:v>23.56522195523573</c:v>
                </c:pt>
                <c:pt idx="62">
                  <c:v>23.56522195523573</c:v>
                </c:pt>
                <c:pt idx="63">
                  <c:v>23.56522195523573</c:v>
                </c:pt>
                <c:pt idx="64">
                  <c:v>23.56522195523573</c:v>
                </c:pt>
                <c:pt idx="65">
                  <c:v>23.56522195523573</c:v>
                </c:pt>
                <c:pt idx="66">
                  <c:v>23.56522195523573</c:v>
                </c:pt>
                <c:pt idx="67">
                  <c:v>23.56522195523573</c:v>
                </c:pt>
                <c:pt idx="68">
                  <c:v>23.56522195523573</c:v>
                </c:pt>
                <c:pt idx="69">
                  <c:v>23.56522195523573</c:v>
                </c:pt>
                <c:pt idx="70">
                  <c:v>23.56522195523573</c:v>
                </c:pt>
                <c:pt idx="71">
                  <c:v>23.56522195523573</c:v>
                </c:pt>
                <c:pt idx="72">
                  <c:v>23.56522195523573</c:v>
                </c:pt>
                <c:pt idx="73">
                  <c:v>23.56522195523573</c:v>
                </c:pt>
                <c:pt idx="74">
                  <c:v>23.56522195523573</c:v>
                </c:pt>
                <c:pt idx="75">
                  <c:v>23.56522195523573</c:v>
                </c:pt>
                <c:pt idx="76">
                  <c:v>23.56522195523573</c:v>
                </c:pt>
                <c:pt idx="77">
                  <c:v>23.56522195523573</c:v>
                </c:pt>
                <c:pt idx="78">
                  <c:v>23.56522195523573</c:v>
                </c:pt>
                <c:pt idx="79">
                  <c:v>23.56522195523573</c:v>
                </c:pt>
                <c:pt idx="80">
                  <c:v>23.56522195523573</c:v>
                </c:pt>
                <c:pt idx="81">
                  <c:v>23.56522195523573</c:v>
                </c:pt>
                <c:pt idx="82">
                  <c:v>23.56522195523573</c:v>
                </c:pt>
                <c:pt idx="83">
                  <c:v>23.56522195523573</c:v>
                </c:pt>
                <c:pt idx="84">
                  <c:v>23.56522195523573</c:v>
                </c:pt>
                <c:pt idx="85">
                  <c:v>23.56522195523573</c:v>
                </c:pt>
                <c:pt idx="86">
                  <c:v>23.56522195523573</c:v>
                </c:pt>
                <c:pt idx="87">
                  <c:v>23.56522195523573</c:v>
                </c:pt>
                <c:pt idx="88">
                  <c:v>23.56522195523573</c:v>
                </c:pt>
                <c:pt idx="89">
                  <c:v>23.56522195523573</c:v>
                </c:pt>
                <c:pt idx="90">
                  <c:v>23.56522195523573</c:v>
                </c:pt>
                <c:pt idx="91">
                  <c:v>23.56522195523573</c:v>
                </c:pt>
                <c:pt idx="92">
                  <c:v>23.56522195523573</c:v>
                </c:pt>
                <c:pt idx="93">
                  <c:v>23.56522195523573</c:v>
                </c:pt>
                <c:pt idx="94">
                  <c:v>23.56522195523573</c:v>
                </c:pt>
                <c:pt idx="95">
                  <c:v>23.56522195523573</c:v>
                </c:pt>
                <c:pt idx="96">
                  <c:v>23.56522195523573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Metabolites!$I$4:$I$7</c:f>
                <c:numCache>
                  <c:formatCode>General</c:formatCode>
                  <c:ptCount val="4"/>
                  <c:pt idx="0">
                    <c:v>0.386486936404422</c:v>
                  </c:pt>
                  <c:pt idx="1">
                    <c:v>0.364956716833046</c:v>
                  </c:pt>
                  <c:pt idx="2">
                    <c:v>0.388901140398453</c:v>
                  </c:pt>
                  <c:pt idx="3">
                    <c:v>0.246830573707765</c:v>
                  </c:pt>
                </c:numCache>
              </c:numRef>
            </c:plus>
            <c:minus>
              <c:numRef>
                <c:f>Metabolites!$I$4:$I$7</c:f>
                <c:numCache>
                  <c:formatCode>General</c:formatCode>
                  <c:ptCount val="4"/>
                  <c:pt idx="0">
                    <c:v>0.386486936404422</c:v>
                  </c:pt>
                  <c:pt idx="1">
                    <c:v>0.364956716833046</c:v>
                  </c:pt>
                  <c:pt idx="2">
                    <c:v>0.388901140398453</c:v>
                  </c:pt>
                  <c:pt idx="3">
                    <c:v>0.246830573707765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Metabolites!$H$4:$H$7</c:f>
              <c:numCache>
                <c:formatCode>0</c:formatCode>
                <c:ptCount val="4"/>
                <c:pt idx="0">
                  <c:v>47.60688249671136</c:v>
                </c:pt>
                <c:pt idx="1">
                  <c:v>37.68248203073303</c:v>
                </c:pt>
                <c:pt idx="2">
                  <c:v>30.70487551351282</c:v>
                </c:pt>
                <c:pt idx="3">
                  <c:v>30.81329404387833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Metabolites!$J$9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Metabolites!$M$12:$M$15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0.242204586751203</c:v>
                  </c:pt>
                  <c:pt idx="2">
                    <c:v>0.451726748493308</c:v>
                  </c:pt>
                  <c:pt idx="3">
                    <c:v>0.138233265139812</c:v>
                  </c:pt>
                </c:numCache>
              </c:numRef>
            </c:plus>
            <c:minus>
              <c:numRef>
                <c:f>Metabolites!$M$12:$M$15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0.242204586751203</c:v>
                  </c:pt>
                  <c:pt idx="2">
                    <c:v>0.451726748493308</c:v>
                  </c:pt>
                  <c:pt idx="3">
                    <c:v>0.138233265139812</c:v>
                  </c:pt>
                </c:numCache>
              </c:numRef>
            </c:minus>
          </c:errBars>
          <c:xVal>
            <c:numRef>
              <c:f>Metabolites!$E$4:$E$7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Metabolites!$L$12:$L$15</c:f>
              <c:numCache>
                <c:formatCode>0</c:formatCode>
                <c:ptCount val="4"/>
                <c:pt idx="0">
                  <c:v>0.0</c:v>
                </c:pt>
                <c:pt idx="1">
                  <c:v>14.63302620731392</c:v>
                </c:pt>
                <c:pt idx="2">
                  <c:v>24.56119061583483</c:v>
                </c:pt>
                <c:pt idx="3">
                  <c:v>25.21095756334369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8.10100708092133E-5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2.70033569364044E-5</c:v>
                </c:pt>
                <c:pt idx="5">
                  <c:v>0.000270033569364044</c:v>
                </c:pt>
                <c:pt idx="6">
                  <c:v>0.000405050354046066</c:v>
                </c:pt>
                <c:pt idx="7">
                  <c:v>0.000162020141618427</c:v>
                </c:pt>
                <c:pt idx="8">
                  <c:v>0.000567070495664493</c:v>
                </c:pt>
                <c:pt idx="9">
                  <c:v>0.000648080566473706</c:v>
                </c:pt>
                <c:pt idx="10">
                  <c:v>0.00024303021242764</c:v>
                </c:pt>
                <c:pt idx="11">
                  <c:v>0.000162020141618427</c:v>
                </c:pt>
                <c:pt idx="12">
                  <c:v>0.000270033569364044</c:v>
                </c:pt>
                <c:pt idx="13">
                  <c:v>0.00024303021242764</c:v>
                </c:pt>
                <c:pt idx="14">
                  <c:v>0.00024303021242764</c:v>
                </c:pt>
                <c:pt idx="15">
                  <c:v>0.000432053710982471</c:v>
                </c:pt>
                <c:pt idx="16">
                  <c:v>5.40067138728089E-5</c:v>
                </c:pt>
                <c:pt idx="17">
                  <c:v>0.0</c:v>
                </c:pt>
                <c:pt idx="18">
                  <c:v>2.70033569364044E-5</c:v>
                </c:pt>
                <c:pt idx="19">
                  <c:v>2.70033569364044E-5</c:v>
                </c:pt>
                <c:pt idx="20">
                  <c:v>0.000675083923410111</c:v>
                </c:pt>
                <c:pt idx="21">
                  <c:v>0.000459057067918875</c:v>
                </c:pt>
                <c:pt idx="22">
                  <c:v>5.40067138728089E-5</c:v>
                </c:pt>
                <c:pt idx="23">
                  <c:v>0.000108013427745618</c:v>
                </c:pt>
                <c:pt idx="24">
                  <c:v>0.000252133110843657</c:v>
                </c:pt>
                <c:pt idx="25">
                  <c:v>0.0</c:v>
                </c:pt>
                <c:pt idx="26">
                  <c:v>5.60295801874795E-5</c:v>
                </c:pt>
                <c:pt idx="27">
                  <c:v>0.00137272471459325</c:v>
                </c:pt>
                <c:pt idx="28">
                  <c:v>5.60295801874795E-5</c:v>
                </c:pt>
                <c:pt idx="29">
                  <c:v>0.000140073950468699</c:v>
                </c:pt>
                <c:pt idx="30">
                  <c:v>5.60295801874795E-5</c:v>
                </c:pt>
                <c:pt idx="31">
                  <c:v>2.80147900937397E-5</c:v>
                </c:pt>
                <c:pt idx="32">
                  <c:v>2.80147900937397E-5</c:v>
                </c:pt>
                <c:pt idx="33">
                  <c:v>0.000196103530656178</c:v>
                </c:pt>
                <c:pt idx="34">
                  <c:v>0.000280147900937397</c:v>
                </c:pt>
                <c:pt idx="35">
                  <c:v>0.000252133110843657</c:v>
                </c:pt>
                <c:pt idx="36">
                  <c:v>0.0</c:v>
                </c:pt>
                <c:pt idx="37">
                  <c:v>0.0</c:v>
                </c:pt>
                <c:pt idx="38">
                  <c:v>0.000336177481124877</c:v>
                </c:pt>
                <c:pt idx="39">
                  <c:v>0.0</c:v>
                </c:pt>
                <c:pt idx="40">
                  <c:v>0.000112059160374959</c:v>
                </c:pt>
                <c:pt idx="41">
                  <c:v>0.0</c:v>
                </c:pt>
                <c:pt idx="42">
                  <c:v>8.40443702812192E-5</c:v>
                </c:pt>
                <c:pt idx="43">
                  <c:v>0.000560295801874795</c:v>
                </c:pt>
                <c:pt idx="44">
                  <c:v>0.000420221851406096</c:v>
                </c:pt>
                <c:pt idx="45">
                  <c:v>0.000448236641499836</c:v>
                </c:pt>
                <c:pt idx="46">
                  <c:v>0.000140073950468699</c:v>
                </c:pt>
                <c:pt idx="47">
                  <c:v>5.60295801874795E-5</c:v>
                </c:pt>
                <c:pt idx="48">
                  <c:v>0.000234005893724179</c:v>
                </c:pt>
                <c:pt idx="49">
                  <c:v>5.85014734310447E-5</c:v>
                </c:pt>
                <c:pt idx="50">
                  <c:v>2.92507367155224E-5</c:v>
                </c:pt>
                <c:pt idx="51">
                  <c:v>5.85014734310447E-5</c:v>
                </c:pt>
                <c:pt idx="52">
                  <c:v>0.00111152799518985</c:v>
                </c:pt>
                <c:pt idx="53">
                  <c:v>8.77522101465671E-5</c:v>
                </c:pt>
                <c:pt idx="54">
                  <c:v>0.0</c:v>
                </c:pt>
                <c:pt idx="55">
                  <c:v>2.92507367155224E-5</c:v>
                </c:pt>
                <c:pt idx="56">
                  <c:v>0.000117002946862089</c:v>
                </c:pt>
                <c:pt idx="57">
                  <c:v>0.00163804125606925</c:v>
                </c:pt>
                <c:pt idx="58">
                  <c:v>2.92507367155224E-5</c:v>
                </c:pt>
                <c:pt idx="59">
                  <c:v>2.92507367155224E-5</c:v>
                </c:pt>
                <c:pt idx="60">
                  <c:v>0.000760519154603581</c:v>
                </c:pt>
                <c:pt idx="61">
                  <c:v>0.000351008840586268</c:v>
                </c:pt>
                <c:pt idx="62">
                  <c:v>0.000146253683577612</c:v>
                </c:pt>
                <c:pt idx="63">
                  <c:v>2.92507367155224E-5</c:v>
                </c:pt>
                <c:pt idx="64">
                  <c:v>0.0</c:v>
                </c:pt>
                <c:pt idx="65">
                  <c:v>0.000263256630439701</c:v>
                </c:pt>
                <c:pt idx="66">
                  <c:v>0.000321758103870746</c:v>
                </c:pt>
                <c:pt idx="67">
                  <c:v>8.77522101465671E-5</c:v>
                </c:pt>
                <c:pt idx="68">
                  <c:v>0.0</c:v>
                </c:pt>
                <c:pt idx="69">
                  <c:v>0.000526513260879402</c:v>
                </c:pt>
                <c:pt idx="70">
                  <c:v>0.000263256630439701</c:v>
                </c:pt>
                <c:pt idx="71">
                  <c:v>0.000672766944457014</c:v>
                </c:pt>
                <c:pt idx="72">
                  <c:v>0.000438761050732835</c:v>
                </c:pt>
                <c:pt idx="73">
                  <c:v>0.0</c:v>
                </c:pt>
                <c:pt idx="74">
                  <c:v>0.000731268417888059</c:v>
                </c:pt>
                <c:pt idx="75">
                  <c:v>5.85014734310447E-5</c:v>
                </c:pt>
                <c:pt idx="76">
                  <c:v>0.000438761050732835</c:v>
                </c:pt>
                <c:pt idx="77">
                  <c:v>0.0</c:v>
                </c:pt>
                <c:pt idx="78">
                  <c:v>0.000468011787448358</c:v>
                </c:pt>
                <c:pt idx="79">
                  <c:v>2.92507367155224E-5</c:v>
                </c:pt>
                <c:pt idx="80">
                  <c:v>2.92507367155224E-5</c:v>
                </c:pt>
                <c:pt idx="81">
                  <c:v>5.85014734310447E-5</c:v>
                </c:pt>
                <c:pt idx="82">
                  <c:v>0.000965274311612238</c:v>
                </c:pt>
                <c:pt idx="83">
                  <c:v>0.0</c:v>
                </c:pt>
                <c:pt idx="84">
                  <c:v>0.0</c:v>
                </c:pt>
                <c:pt idx="85">
                  <c:v>0.000146253683577612</c:v>
                </c:pt>
                <c:pt idx="86">
                  <c:v>2.92507367155224E-5</c:v>
                </c:pt>
                <c:pt idx="87">
                  <c:v>0.000204755157008657</c:v>
                </c:pt>
                <c:pt idx="88">
                  <c:v>2.92507367155224E-5</c:v>
                </c:pt>
                <c:pt idx="89">
                  <c:v>2.92507367155224E-5</c:v>
                </c:pt>
                <c:pt idx="90">
                  <c:v>0.0</c:v>
                </c:pt>
                <c:pt idx="91">
                  <c:v>0.000760519154603581</c:v>
                </c:pt>
                <c:pt idx="92">
                  <c:v>5.85014734310447E-5</c:v>
                </c:pt>
                <c:pt idx="93">
                  <c:v>0.000351008840586268</c:v>
                </c:pt>
                <c:pt idx="94">
                  <c:v>0.000175504420293134</c:v>
                </c:pt>
                <c:pt idx="95">
                  <c:v>5.85014734310447E-5</c:v>
                </c:pt>
                <c:pt idx="96">
                  <c:v>9.13805557422138E-5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54040"/>
        <c:axId val="-214054204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cytometer'!$N$4:$N$7</c:f>
              <c:numCache>
                <c:formatCode>General</c:formatCode>
                <c:ptCount val="4"/>
                <c:pt idx="0">
                  <c:v>10009.0</c:v>
                </c:pt>
                <c:pt idx="1">
                  <c:v>35631.0</c:v>
                </c:pt>
                <c:pt idx="2">
                  <c:v>4505.0</c:v>
                </c:pt>
                <c:pt idx="3">
                  <c:v>5745.0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0.104148058428054</c:v>
                  </c:pt>
                  <c:pt idx="2">
                    <c:v>0.112429473081276</c:v>
                  </c:pt>
                  <c:pt idx="3">
                    <c:v>0.0514553059104048</c:v>
                  </c:pt>
                </c:numCache>
              </c:numRef>
            </c:plus>
            <c:minus>
              <c:numRef>
                <c:f>OD600nm!$J$4:$J$7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0.104148058428054</c:v>
                  </c:pt>
                  <c:pt idx="2">
                    <c:v>0.112429473081276</c:v>
                  </c:pt>
                  <c:pt idx="3">
                    <c:v>0.0514553059104048</c:v>
                  </c:pt>
                </c:numCache>
              </c:numRef>
            </c:minus>
          </c:errBars>
          <c:xVal>
            <c:numRef>
              <c:f>OD600nm!$D$4:$D$7</c:f>
              <c:numCache>
                <c:formatCode>0</c:formatCode>
                <c:ptCount val="4"/>
                <c:pt idx="0">
                  <c:v>0.166666666666667</c:v>
                </c:pt>
                <c:pt idx="1">
                  <c:v>12.0</c:v>
                </c:pt>
                <c:pt idx="2">
                  <c:v>24.0</c:v>
                </c:pt>
                <c:pt idx="3">
                  <c:v>48.0</c:v>
                </c:pt>
              </c:numCache>
            </c:numRef>
          </c:xVal>
          <c:yVal>
            <c:numRef>
              <c:f>OD600nm!$I$4:$I$7</c:f>
              <c:numCache>
                <c:formatCode>0.000</c:formatCode>
                <c:ptCount val="4"/>
                <c:pt idx="0">
                  <c:v>0.1706798</c:v>
                </c:pt>
                <c:pt idx="1">
                  <c:v>2.469798333333333</c:v>
                </c:pt>
                <c:pt idx="2">
                  <c:v>3.008700666666667</c:v>
                </c:pt>
                <c:pt idx="3">
                  <c:v>2.469798333333333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29768"/>
        <c:axId val="-2140600936"/>
      </c:scatterChart>
      <c:valAx>
        <c:axId val="-21407540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0542040"/>
        <c:crosses val="autoZero"/>
        <c:crossBetween val="midCat"/>
        <c:majorUnit val="6.0"/>
      </c:valAx>
      <c:valAx>
        <c:axId val="-214054204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40754040"/>
        <c:crosses val="autoZero"/>
        <c:crossBetween val="midCat"/>
      </c:valAx>
      <c:valAx>
        <c:axId val="-214060093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21229768"/>
        <c:crosses val="max"/>
        <c:crossBetween val="midCat"/>
        <c:majorUnit val="1.0"/>
        <c:minorUnit val="0.2"/>
      </c:valAx>
      <c:valAx>
        <c:axId val="-2121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406009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  <row r="44">
          <cell r="D44">
            <v>-3.2483</v>
          </cell>
        </row>
        <row r="45">
          <cell r="D45">
            <v>36.023000000000003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1" sqref="A31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4" t="s">
        <v>0</v>
      </c>
      <c r="B1" s="115"/>
      <c r="C1" s="34">
        <v>42179</v>
      </c>
    </row>
    <row r="2" spans="1:3" ht="16">
      <c r="A2" s="114" t="s">
        <v>1</v>
      </c>
      <c r="B2" s="116"/>
      <c r="C2" s="32" t="s">
        <v>130</v>
      </c>
    </row>
    <row r="3" spans="1:3">
      <c r="A3" s="11"/>
      <c r="B3" s="11"/>
      <c r="C3" s="10"/>
    </row>
    <row r="4" spans="1:3">
      <c r="A4" s="117" t="s">
        <v>49</v>
      </c>
      <c r="B4" s="117"/>
      <c r="C4" s="7" t="s">
        <v>108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7" t="s">
        <v>85</v>
      </c>
      <c r="B7" s="37" t="s">
        <v>86</v>
      </c>
      <c r="C7" s="37" t="s">
        <v>102</v>
      </c>
    </row>
    <row r="8" spans="1:3">
      <c r="A8" s="37" t="s">
        <v>87</v>
      </c>
      <c r="B8" s="37" t="s">
        <v>88</v>
      </c>
      <c r="C8" s="37" t="s">
        <v>102</v>
      </c>
    </row>
    <row r="9" spans="1:3">
      <c r="A9" s="37" t="s">
        <v>89</v>
      </c>
      <c r="B9" s="37" t="s">
        <v>90</v>
      </c>
      <c r="C9" s="37" t="s">
        <v>102</v>
      </c>
    </row>
    <row r="10" spans="1:3">
      <c r="A10" s="37" t="s">
        <v>91</v>
      </c>
      <c r="B10" s="37" t="s">
        <v>92</v>
      </c>
      <c r="C10" s="37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7" t="s">
        <v>73</v>
      </c>
      <c r="B12" s="37" t="s">
        <v>94</v>
      </c>
      <c r="C12" s="37" t="s">
        <v>102</v>
      </c>
    </row>
    <row r="13" spans="1:3" ht="16">
      <c r="A13" s="40" t="s">
        <v>77</v>
      </c>
      <c r="B13" s="37" t="s">
        <v>95</v>
      </c>
      <c r="C13" s="37" t="s">
        <v>102</v>
      </c>
    </row>
    <row r="14" spans="1:3" ht="16">
      <c r="A14" s="10" t="s">
        <v>76</v>
      </c>
      <c r="B14" s="37" t="s">
        <v>95</v>
      </c>
      <c r="C14" s="37" t="s">
        <v>102</v>
      </c>
    </row>
    <row r="15" spans="1:3" ht="16">
      <c r="A15" s="37" t="s">
        <v>110</v>
      </c>
      <c r="B15" s="37" t="s">
        <v>96</v>
      </c>
      <c r="C15" s="37" t="s">
        <v>102</v>
      </c>
    </row>
    <row r="16" spans="1:3" ht="16">
      <c r="A16" s="37" t="s">
        <v>109</v>
      </c>
      <c r="B16" s="37" t="s">
        <v>95</v>
      </c>
      <c r="C16" s="37" t="s">
        <v>102</v>
      </c>
    </row>
    <row r="17" spans="1:3" ht="16">
      <c r="A17" s="37" t="s">
        <v>111</v>
      </c>
      <c r="B17" s="37" t="s">
        <v>95</v>
      </c>
      <c r="C17" s="37" t="s">
        <v>102</v>
      </c>
    </row>
    <row r="18" spans="1:3" ht="16">
      <c r="A18" s="37" t="s">
        <v>112</v>
      </c>
      <c r="B18" s="37" t="s">
        <v>152</v>
      </c>
      <c r="C18" s="37" t="s">
        <v>102</v>
      </c>
    </row>
    <row r="19" spans="1:3" ht="16">
      <c r="A19" s="37" t="s">
        <v>75</v>
      </c>
      <c r="B19" s="37" t="s">
        <v>153</v>
      </c>
      <c r="C19" s="37" t="s">
        <v>102</v>
      </c>
    </row>
    <row r="20" spans="1:3" ht="16">
      <c r="A20" s="37" t="s">
        <v>113</v>
      </c>
      <c r="B20" s="37" t="s">
        <v>97</v>
      </c>
      <c r="C20" s="37" t="s">
        <v>102</v>
      </c>
    </row>
    <row r="21" spans="1:3" ht="16">
      <c r="A21" s="37" t="s">
        <v>114</v>
      </c>
      <c r="B21" s="37" t="s">
        <v>98</v>
      </c>
      <c r="C21" s="37" t="s">
        <v>102</v>
      </c>
    </row>
    <row r="22" spans="1:3" ht="16">
      <c r="A22" s="37" t="s">
        <v>115</v>
      </c>
      <c r="B22" s="37" t="s">
        <v>99</v>
      </c>
      <c r="C22" s="37" t="s">
        <v>102</v>
      </c>
    </row>
    <row r="23" spans="1:3" ht="16">
      <c r="A23" s="37" t="s">
        <v>116</v>
      </c>
      <c r="B23" s="37" t="s">
        <v>99</v>
      </c>
      <c r="C23" s="37" t="s">
        <v>102</v>
      </c>
    </row>
    <row r="24" spans="1:3">
      <c r="A24" s="37" t="s">
        <v>100</v>
      </c>
      <c r="B24" s="37" t="s">
        <v>99</v>
      </c>
      <c r="C24" s="37" t="s">
        <v>102</v>
      </c>
    </row>
    <row r="25" spans="1:3">
      <c r="A25" s="37" t="s">
        <v>101</v>
      </c>
      <c r="B25" s="37" t="s">
        <v>99</v>
      </c>
      <c r="C25" s="37" t="s">
        <v>102</v>
      </c>
    </row>
    <row r="26" spans="1:3">
      <c r="A26" s="37" t="s">
        <v>74</v>
      </c>
      <c r="B26" s="37" t="s">
        <v>103</v>
      </c>
      <c r="C26" s="37" t="s">
        <v>104</v>
      </c>
    </row>
    <row r="27" spans="1:3">
      <c r="A27" s="37" t="s">
        <v>105</v>
      </c>
      <c r="B27" s="37" t="s">
        <v>102</v>
      </c>
      <c r="C27" s="37" t="s">
        <v>107</v>
      </c>
    </row>
    <row r="28" spans="1:3">
      <c r="A28" s="37" t="s">
        <v>106</v>
      </c>
      <c r="B28" s="37" t="s">
        <v>102</v>
      </c>
      <c r="C28" s="37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  <row r="31" spans="1:3">
      <c r="A31" s="2" t="s">
        <v>169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67" zoomScale="98" zoomScaleNormal="98" zoomScalePageLayoutView="98" workbookViewId="0">
      <selection activeCell="B5" sqref="B5:B108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</v>
      </c>
      <c r="C1" s="9" t="s">
        <v>51</v>
      </c>
    </row>
    <row r="3" spans="1:12">
      <c r="A3" s="117" t="s">
        <v>5</v>
      </c>
      <c r="B3" s="117" t="s">
        <v>36</v>
      </c>
      <c r="C3" s="117"/>
      <c r="D3" s="117" t="s">
        <v>52</v>
      </c>
      <c r="E3" s="117"/>
      <c r="F3" s="117"/>
      <c r="G3" s="8" t="s">
        <v>53</v>
      </c>
    </row>
    <row r="4" spans="1:12">
      <c r="A4" s="117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7">
        <v>442.85</v>
      </c>
      <c r="C5" s="36">
        <f>B5/1000</f>
        <v>0.44285000000000002</v>
      </c>
      <c r="D5" s="12">
        <f>C5/1000*$B$1</f>
        <v>3.0999499999999999E-2</v>
      </c>
      <c r="E5" s="12">
        <f>D5/22.4</f>
        <v>1.3839062500000002E-3</v>
      </c>
      <c r="F5" s="12">
        <f>E5/Calculation!K$4*1000</f>
        <v>9.49082271371961E-4</v>
      </c>
      <c r="G5" s="12">
        <f>(0+F5)/2*30</f>
        <v>1.4236234070579414E-2</v>
      </c>
      <c r="I5" s="74">
        <v>-0.16666666666666666</v>
      </c>
      <c r="J5" t="s">
        <v>154</v>
      </c>
    </row>
    <row r="6" spans="1:12">
      <c r="A6" s="35">
        <v>0.5</v>
      </c>
      <c r="B6" s="77">
        <v>392.16</v>
      </c>
      <c r="C6" s="36">
        <f>B6/1000</f>
        <v>0.39216000000000001</v>
      </c>
      <c r="D6" s="12">
        <f>C6/1000*$B$1</f>
        <v>2.7451200000000002E-2</v>
      </c>
      <c r="E6" s="12">
        <f t="shared" ref="E6:E69" si="0">D6/22.4</f>
        <v>1.2255000000000002E-3</v>
      </c>
      <c r="F6" s="12">
        <f>E6/Calculation!K$4*1000</f>
        <v>8.4044733779209272E-4</v>
      </c>
      <c r="G6" s="12">
        <f>G5+(F6+F5)/2*30</f>
        <v>4.1079178208040218E-2</v>
      </c>
      <c r="I6" s="74">
        <v>0.16666666666666666</v>
      </c>
      <c r="J6" t="s">
        <v>155</v>
      </c>
    </row>
    <row r="7" spans="1:12">
      <c r="A7" s="35">
        <v>1</v>
      </c>
      <c r="B7" s="77">
        <v>297.47000000000003</v>
      </c>
      <c r="C7" s="36">
        <f t="shared" ref="C7:C69" si="1">B7/1000</f>
        <v>0.29747000000000001</v>
      </c>
      <c r="D7" s="12">
        <f t="shared" ref="D7:D69" si="2">C7/1000*$B$1</f>
        <v>2.0822900000000002E-2</v>
      </c>
      <c r="E7" s="12">
        <f t="shared" si="0"/>
        <v>9.2959375000000019E-4</v>
      </c>
      <c r="F7" s="12">
        <f>E7/Calculation!K$4*1000</f>
        <v>6.3751496729144686E-4</v>
      </c>
      <c r="G7" s="12">
        <f>G6+(F7+F6)/2*30</f>
        <v>6.3248612784293307E-2</v>
      </c>
      <c r="I7" s="74">
        <v>12</v>
      </c>
      <c r="J7" t="s">
        <v>156</v>
      </c>
    </row>
    <row r="8" spans="1:12">
      <c r="A8" s="35">
        <v>1.5</v>
      </c>
      <c r="B8" s="77">
        <v>278.18</v>
      </c>
      <c r="C8" s="36">
        <f t="shared" si="1"/>
        <v>0.27817999999999998</v>
      </c>
      <c r="D8" s="12">
        <f t="shared" si="2"/>
        <v>1.94726E-2</v>
      </c>
      <c r="E8" s="12">
        <f t="shared" si="0"/>
        <v>8.6931250000000008E-4</v>
      </c>
      <c r="F8" s="12">
        <f>E8/Calculation!K$4*1000</f>
        <v>5.961741136959514E-4</v>
      </c>
      <c r="G8" s="12">
        <f t="shared" ref="G8:G70" si="3">G7+(F8+F7)/2*30</f>
        <v>8.1753948999104278E-2</v>
      </c>
      <c r="I8" s="74">
        <v>24</v>
      </c>
      <c r="J8" t="s">
        <v>157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7">
        <v>299.86</v>
      </c>
      <c r="C9" s="36">
        <f t="shared" si="1"/>
        <v>0.29986000000000002</v>
      </c>
      <c r="D9" s="12">
        <f t="shared" si="2"/>
        <v>2.0990200000000001E-2</v>
      </c>
      <c r="E9" s="12">
        <f t="shared" si="0"/>
        <v>9.3706250000000007E-4</v>
      </c>
      <c r="F9" s="12">
        <f>E9/Calculation!K$4*1000</f>
        <v>6.4263703261509817E-4</v>
      </c>
      <c r="G9" s="12">
        <f t="shared" si="3"/>
        <v>0.10033611619377002</v>
      </c>
    </row>
    <row r="10" spans="1:12">
      <c r="A10" s="35">
        <v>2.5</v>
      </c>
      <c r="B10" s="77">
        <v>355.65</v>
      </c>
      <c r="C10" s="36">
        <f t="shared" si="1"/>
        <v>0.35564999999999997</v>
      </c>
      <c r="D10" s="12">
        <f t="shared" si="2"/>
        <v>2.4895499999999997E-2</v>
      </c>
      <c r="E10" s="12">
        <f t="shared" si="0"/>
        <v>1.11140625E-3</v>
      </c>
      <c r="F10" s="12">
        <f>E10/Calculation!K$5*1000</f>
        <v>7.9075080133639167E-4</v>
      </c>
      <c r="G10" s="12">
        <f t="shared" si="3"/>
        <v>0.12183693370304237</v>
      </c>
    </row>
    <row r="11" spans="1:12">
      <c r="A11" s="35">
        <v>3</v>
      </c>
      <c r="B11" s="77">
        <v>502.48</v>
      </c>
      <c r="C11" s="36">
        <f t="shared" si="1"/>
        <v>0.50248000000000004</v>
      </c>
      <c r="D11" s="12">
        <f t="shared" si="2"/>
        <v>3.5173599999999999E-2</v>
      </c>
      <c r="E11" s="12">
        <f t="shared" si="0"/>
        <v>1.57025E-3</v>
      </c>
      <c r="F11" s="12">
        <f>E11/Calculation!K$5*1000</f>
        <v>1.1172120417700269E-3</v>
      </c>
      <c r="G11" s="12">
        <f t="shared" si="3"/>
        <v>0.15045637634963865</v>
      </c>
    </row>
    <row r="12" spans="1:12">
      <c r="A12" s="35">
        <v>3.5</v>
      </c>
      <c r="B12" s="77">
        <v>780.34</v>
      </c>
      <c r="C12" s="36">
        <f t="shared" si="1"/>
        <v>0.78034000000000003</v>
      </c>
      <c r="D12" s="12">
        <f t="shared" si="2"/>
        <v>5.46238E-2</v>
      </c>
      <c r="E12" s="12">
        <f t="shared" si="0"/>
        <v>2.4385625000000002E-3</v>
      </c>
      <c r="F12" s="12">
        <f>E12/Calculation!K$6*1000</f>
        <v>1.8115491975072005E-3</v>
      </c>
      <c r="G12" s="12">
        <f t="shared" si="3"/>
        <v>0.19438779493879707</v>
      </c>
    </row>
    <row r="13" spans="1:12">
      <c r="A13" s="35">
        <v>4</v>
      </c>
      <c r="B13" s="77">
        <v>1121.6400000000001</v>
      </c>
      <c r="C13" s="36">
        <f t="shared" si="1"/>
        <v>1.1216400000000002</v>
      </c>
      <c r="D13" s="12">
        <f t="shared" si="2"/>
        <v>7.851480000000001E-2</v>
      </c>
      <c r="E13" s="12">
        <f t="shared" si="0"/>
        <v>3.5051250000000009E-3</v>
      </c>
      <c r="F13" s="12">
        <f>E13/Calculation!K$6*1000</f>
        <v>2.6038727245713111E-3</v>
      </c>
      <c r="G13" s="12">
        <f t="shared" si="3"/>
        <v>0.26061912376997476</v>
      </c>
    </row>
    <row r="14" spans="1:12">
      <c r="A14" s="35">
        <v>4.5</v>
      </c>
      <c r="B14" s="77">
        <v>1383.72</v>
      </c>
      <c r="C14" s="36">
        <f t="shared" si="1"/>
        <v>1.3837200000000001</v>
      </c>
      <c r="D14" s="12">
        <f t="shared" si="2"/>
        <v>9.6860399999999999E-2</v>
      </c>
      <c r="E14" s="12">
        <f t="shared" si="0"/>
        <v>4.3241249999999998E-3</v>
      </c>
      <c r="F14" s="12">
        <f>E14/Calculation!K$6*1000</f>
        <v>3.2122880482541752E-3</v>
      </c>
      <c r="G14" s="12">
        <f t="shared" si="3"/>
        <v>0.34786153536235709</v>
      </c>
    </row>
    <row r="15" spans="1:12">
      <c r="A15" s="35">
        <v>5</v>
      </c>
      <c r="B15" s="77">
        <v>1674.97</v>
      </c>
      <c r="C15" s="36">
        <f t="shared" si="1"/>
        <v>1.6749700000000001</v>
      </c>
      <c r="D15" s="12">
        <f t="shared" si="2"/>
        <v>0.1172479</v>
      </c>
      <c r="E15" s="12">
        <f t="shared" si="0"/>
        <v>5.2342812500000002E-3</v>
      </c>
      <c r="F15" s="12">
        <f>E15/Calculation!K$7*1000</f>
        <v>4.0491981336385156E-3</v>
      </c>
      <c r="G15" s="12">
        <f t="shared" si="3"/>
        <v>0.45678382809074747</v>
      </c>
    </row>
    <row r="16" spans="1:12">
      <c r="A16" s="35">
        <v>5.5</v>
      </c>
      <c r="B16" s="77">
        <v>2059.16</v>
      </c>
      <c r="C16" s="36">
        <f t="shared" si="1"/>
        <v>2.0591599999999999</v>
      </c>
      <c r="D16" s="12">
        <f t="shared" si="2"/>
        <v>0.1441412</v>
      </c>
      <c r="E16" s="12">
        <f t="shared" si="0"/>
        <v>6.4348750000000005E-3</v>
      </c>
      <c r="F16" s="12">
        <f>E16/Calculation!K$7*1000</f>
        <v>4.9779678614321971E-3</v>
      </c>
      <c r="G16" s="12">
        <f t="shared" si="3"/>
        <v>0.59219131801680813</v>
      </c>
    </row>
    <row r="17" spans="1:7">
      <c r="A17" s="35">
        <v>6</v>
      </c>
      <c r="B17" s="77">
        <v>2678.33</v>
      </c>
      <c r="C17" s="36">
        <f t="shared" si="1"/>
        <v>2.6783299999999999</v>
      </c>
      <c r="D17" s="12">
        <f t="shared" si="2"/>
        <v>0.18748310000000001</v>
      </c>
      <c r="E17" s="12">
        <f t="shared" si="0"/>
        <v>8.3697812500000014E-3</v>
      </c>
      <c r="F17" s="12">
        <f>E17/Calculation!K$4*1000</f>
        <v>5.7399921415460407E-3</v>
      </c>
      <c r="G17" s="12">
        <f t="shared" si="3"/>
        <v>0.75296071806148168</v>
      </c>
    </row>
    <row r="18" spans="1:7">
      <c r="A18" s="35">
        <v>6.5</v>
      </c>
      <c r="B18" s="77">
        <v>3376.73</v>
      </c>
      <c r="C18" s="36">
        <f t="shared" si="1"/>
        <v>3.3767300000000002</v>
      </c>
      <c r="D18" s="12">
        <f t="shared" si="2"/>
        <v>0.2363711</v>
      </c>
      <c r="E18" s="12">
        <f t="shared" si="0"/>
        <v>1.055228125E-2</v>
      </c>
      <c r="F18" s="12">
        <f>E18/Calculation!K$4*1000</f>
        <v>7.236749640306744E-3</v>
      </c>
      <c r="G18" s="12">
        <f t="shared" si="3"/>
        <v>0.94761184478927341</v>
      </c>
    </row>
    <row r="19" spans="1:7">
      <c r="A19" s="35">
        <v>7</v>
      </c>
      <c r="B19" s="77">
        <v>4496.62</v>
      </c>
      <c r="C19" s="36">
        <f t="shared" si="1"/>
        <v>4.4966200000000001</v>
      </c>
      <c r="D19" s="12">
        <f t="shared" si="2"/>
        <v>0.31476339999999997</v>
      </c>
      <c r="E19" s="12">
        <f t="shared" si="0"/>
        <v>1.40519375E-2</v>
      </c>
      <c r="F19" s="12">
        <f>E19/Calculation!K$4*1000</f>
        <v>9.6368122910615028E-3</v>
      </c>
      <c r="G19" s="12">
        <f t="shared" si="3"/>
        <v>1.2007152737597973</v>
      </c>
    </row>
    <row r="20" spans="1:7">
      <c r="A20" s="35">
        <v>7.5</v>
      </c>
      <c r="B20" s="77">
        <v>5863.28</v>
      </c>
      <c r="C20" s="36">
        <f t="shared" si="1"/>
        <v>5.8632799999999996</v>
      </c>
      <c r="D20" s="12">
        <f t="shared" si="2"/>
        <v>0.41042959999999995</v>
      </c>
      <c r="E20" s="12">
        <f t="shared" si="0"/>
        <v>1.8322749999999999E-2</v>
      </c>
      <c r="F20" s="12">
        <f>E20/Calculation!K$4*1000</f>
        <v>1.2565733544292176E-2</v>
      </c>
      <c r="G20" s="12">
        <f t="shared" si="3"/>
        <v>1.5337534612901025</v>
      </c>
    </row>
    <row r="21" spans="1:7">
      <c r="A21" s="35">
        <v>8</v>
      </c>
      <c r="B21" s="77">
        <v>7199.34</v>
      </c>
      <c r="C21" s="36">
        <f t="shared" si="1"/>
        <v>7.1993400000000003</v>
      </c>
      <c r="D21" s="12">
        <f t="shared" si="2"/>
        <v>0.50395380000000001</v>
      </c>
      <c r="E21" s="12">
        <f t="shared" si="0"/>
        <v>2.2497937500000002E-2</v>
      </c>
      <c r="F21" s="12">
        <f>E21/Calculation!K$4*1000</f>
        <v>1.5429075216391584E-2</v>
      </c>
      <c r="G21" s="12">
        <f t="shared" si="3"/>
        <v>1.9536755927003588</v>
      </c>
    </row>
    <row r="22" spans="1:7">
      <c r="A22" s="35">
        <v>8.5</v>
      </c>
      <c r="B22" s="77">
        <v>9410.1</v>
      </c>
      <c r="C22" s="36">
        <f t="shared" si="1"/>
        <v>9.4100999999999999</v>
      </c>
      <c r="D22" s="12">
        <f t="shared" si="2"/>
        <v>0.65870699999999993</v>
      </c>
      <c r="E22" s="12">
        <f t="shared" si="0"/>
        <v>2.94065625E-2</v>
      </c>
      <c r="F22" s="12">
        <f>E22/Calculation!K$5*1000</f>
        <v>2.0922379068341289E-2</v>
      </c>
      <c r="G22" s="12">
        <f t="shared" si="3"/>
        <v>2.498947406971352</v>
      </c>
    </row>
    <row r="23" spans="1:7">
      <c r="A23" s="35">
        <v>9</v>
      </c>
      <c r="B23" s="77">
        <v>11705.2</v>
      </c>
      <c r="C23" s="36">
        <f t="shared" si="1"/>
        <v>11.705200000000001</v>
      </c>
      <c r="D23" s="12">
        <f t="shared" si="2"/>
        <v>0.81936400000000009</v>
      </c>
      <c r="E23" s="12">
        <f t="shared" si="0"/>
        <v>3.6578750000000007E-2</v>
      </c>
      <c r="F23" s="12">
        <f>E23/Calculation!K$5*1000</f>
        <v>2.6025295317876378E-2</v>
      </c>
      <c r="G23" s="12">
        <f t="shared" si="3"/>
        <v>3.2031625227646172</v>
      </c>
    </row>
    <row r="24" spans="1:7">
      <c r="A24" s="35">
        <v>9.5</v>
      </c>
      <c r="B24" s="77">
        <v>13508.02</v>
      </c>
      <c r="C24" s="36">
        <f t="shared" si="1"/>
        <v>13.50802</v>
      </c>
      <c r="D24" s="12">
        <f t="shared" si="2"/>
        <v>0.94556140000000011</v>
      </c>
      <c r="E24" s="12">
        <f t="shared" si="0"/>
        <v>4.2212562500000009E-2</v>
      </c>
      <c r="F24" s="12">
        <f>E24/Calculation!K$6*1000</f>
        <v>3.1358693378413537E-2</v>
      </c>
      <c r="G24" s="12">
        <f t="shared" si="3"/>
        <v>4.0639223532089659</v>
      </c>
    </row>
    <row r="25" spans="1:7">
      <c r="A25" s="35">
        <v>10</v>
      </c>
      <c r="B25" s="77">
        <v>16623.95</v>
      </c>
      <c r="C25" s="36">
        <f t="shared" si="1"/>
        <v>16.623950000000001</v>
      </c>
      <c r="D25" s="12">
        <f t="shared" si="2"/>
        <v>1.1636765000000002</v>
      </c>
      <c r="E25" s="12">
        <f t="shared" si="0"/>
        <v>5.1949843750000016E-2</v>
      </c>
      <c r="F25" s="12">
        <f>E25/Calculation!K$6*1000</f>
        <v>3.8592284493810178E-2</v>
      </c>
      <c r="G25" s="12">
        <f t="shared" si="3"/>
        <v>5.1131870212923216</v>
      </c>
    </row>
    <row r="26" spans="1:7">
      <c r="A26" s="35">
        <v>10.5</v>
      </c>
      <c r="B26" s="77">
        <v>19258.599999999999</v>
      </c>
      <c r="C26" s="36">
        <f t="shared" si="1"/>
        <v>19.258599999999998</v>
      </c>
      <c r="D26" s="12">
        <f t="shared" si="2"/>
        <v>1.3481019999999999</v>
      </c>
      <c r="E26" s="12">
        <f t="shared" si="0"/>
        <v>6.0183124999999997E-2</v>
      </c>
      <c r="F26" s="12">
        <f>E26/Calculation!K$6*1000</f>
        <v>4.4708590326155477E-2</v>
      </c>
      <c r="G26" s="12">
        <f t="shared" si="3"/>
        <v>6.3627001435918062</v>
      </c>
    </row>
    <row r="27" spans="1:7">
      <c r="A27" s="35">
        <v>11</v>
      </c>
      <c r="B27" s="77">
        <v>20771.919999999998</v>
      </c>
      <c r="C27" s="36">
        <f t="shared" si="1"/>
        <v>20.771919999999998</v>
      </c>
      <c r="D27" s="12">
        <f t="shared" si="2"/>
        <v>1.4540343999999998</v>
      </c>
      <c r="E27" s="12">
        <f t="shared" si="0"/>
        <v>6.4912249999999991E-2</v>
      </c>
      <c r="F27" s="12">
        <f>E27/Calculation!K$7*1000</f>
        <v>5.0215597709862586E-2</v>
      </c>
      <c r="G27" s="12">
        <f t="shared" si="3"/>
        <v>7.7865629641320773</v>
      </c>
    </row>
    <row r="28" spans="1:7">
      <c r="A28" s="35">
        <v>11.5</v>
      </c>
      <c r="B28" s="77">
        <v>21803.18</v>
      </c>
      <c r="C28" s="36">
        <f t="shared" si="1"/>
        <v>21.803180000000001</v>
      </c>
      <c r="D28" s="12">
        <f t="shared" si="2"/>
        <v>1.5262226000000001</v>
      </c>
      <c r="E28" s="12">
        <f t="shared" si="0"/>
        <v>6.8134937500000006E-2</v>
      </c>
      <c r="F28" s="12">
        <f>E28/Calculation!K$7*1000</f>
        <v>5.2708642998611679E-2</v>
      </c>
      <c r="G28" s="12">
        <f t="shared" si="3"/>
        <v>9.3304265747591906</v>
      </c>
    </row>
    <row r="29" spans="1:7">
      <c r="A29" s="35">
        <v>12</v>
      </c>
      <c r="B29" s="77">
        <v>22924.66</v>
      </c>
      <c r="C29" s="36">
        <f t="shared" si="1"/>
        <v>22.924659999999999</v>
      </c>
      <c r="D29" s="12">
        <f t="shared" si="2"/>
        <v>1.6047262</v>
      </c>
      <c r="E29" s="12">
        <f t="shared" si="0"/>
        <v>7.1639562500000004E-2</v>
      </c>
      <c r="F29" s="12">
        <f>E29/Calculation!K$5*1000</f>
        <v>5.0970598243678694E-2</v>
      </c>
      <c r="G29" s="12">
        <f t="shared" si="3"/>
        <v>10.885615193393546</v>
      </c>
    </row>
    <row r="30" spans="1:7">
      <c r="A30" s="35">
        <v>12.5</v>
      </c>
      <c r="B30" s="77">
        <v>23831.09</v>
      </c>
      <c r="C30" s="36">
        <f t="shared" si="1"/>
        <v>23.83109</v>
      </c>
      <c r="D30" s="12">
        <f t="shared" si="2"/>
        <v>1.6681762999999998</v>
      </c>
      <c r="E30" s="12">
        <f t="shared" si="0"/>
        <v>7.4472156249999991E-2</v>
      </c>
      <c r="F30" s="12">
        <f>E30/Calculation!K$5*1000</f>
        <v>5.298595111547777E-2</v>
      </c>
      <c r="G30" s="12">
        <f t="shared" si="3"/>
        <v>12.444963433780893</v>
      </c>
    </row>
    <row r="31" spans="1:7">
      <c r="A31" s="35">
        <v>13</v>
      </c>
      <c r="B31" s="77">
        <v>23948.58</v>
      </c>
      <c r="C31" s="36">
        <f t="shared" si="1"/>
        <v>23.948580000000003</v>
      </c>
      <c r="D31" s="12">
        <f t="shared" si="2"/>
        <v>1.6764006000000002</v>
      </c>
      <c r="E31" s="12">
        <f t="shared" si="0"/>
        <v>7.4839312500000019E-2</v>
      </c>
      <c r="F31" s="12">
        <f>E31/Calculation!K$5*1000</f>
        <v>5.3247177916121713E-2</v>
      </c>
      <c r="G31" s="12">
        <f t="shared" si="3"/>
        <v>14.038460369254885</v>
      </c>
    </row>
    <row r="32" spans="1:7">
      <c r="A32" s="35">
        <v>13.5</v>
      </c>
      <c r="B32" s="77">
        <v>23237.43</v>
      </c>
      <c r="C32" s="36">
        <f t="shared" si="1"/>
        <v>23.23743</v>
      </c>
      <c r="D32" s="12">
        <f t="shared" si="2"/>
        <v>1.6266201</v>
      </c>
      <c r="E32" s="12">
        <f t="shared" si="0"/>
        <v>7.2616968750000011E-2</v>
      </c>
      <c r="F32" s="12">
        <f>E32/Calculation!K$5*1000</f>
        <v>5.1666009822854804E-2</v>
      </c>
      <c r="G32" s="12">
        <f t="shared" si="3"/>
        <v>15.612158185339533</v>
      </c>
    </row>
    <row r="33" spans="1:7">
      <c r="A33" s="35">
        <v>14</v>
      </c>
      <c r="B33" s="77">
        <v>21422.49</v>
      </c>
      <c r="C33" s="36">
        <f t="shared" si="1"/>
        <v>21.422490000000003</v>
      </c>
      <c r="D33" s="12">
        <f t="shared" si="2"/>
        <v>1.4995743000000001</v>
      </c>
      <c r="E33" s="12">
        <f t="shared" si="0"/>
        <v>6.6945281250000016E-2</v>
      </c>
      <c r="F33" s="12">
        <f>E33/Calculation!K$5*1000</f>
        <v>4.7630679415495127E-2</v>
      </c>
      <c r="G33" s="12">
        <f t="shared" si="3"/>
        <v>17.101608523914781</v>
      </c>
    </row>
    <row r="34" spans="1:7">
      <c r="A34" s="35">
        <v>14.5</v>
      </c>
      <c r="B34" s="77">
        <v>19275.490000000002</v>
      </c>
      <c r="C34" s="36">
        <f t="shared" si="1"/>
        <v>19.275490000000001</v>
      </c>
      <c r="D34" s="12">
        <f t="shared" si="2"/>
        <v>1.3492843000000001</v>
      </c>
      <c r="E34" s="12">
        <f t="shared" si="0"/>
        <v>6.0235906250000006E-2</v>
      </c>
      <c r="F34" s="12">
        <f>E34/Calculation!K$5*1000</f>
        <v>4.2857048119363431E-2</v>
      </c>
      <c r="G34" s="12">
        <f t="shared" si="3"/>
        <v>18.458924436937657</v>
      </c>
    </row>
    <row r="35" spans="1:7">
      <c r="A35" s="35">
        <v>15</v>
      </c>
      <c r="B35" s="77">
        <v>16427.87</v>
      </c>
      <c r="C35" s="36">
        <f t="shared" si="1"/>
        <v>16.427869999999999</v>
      </c>
      <c r="D35" s="12">
        <f t="shared" si="2"/>
        <v>1.1499508999999999</v>
      </c>
      <c r="E35" s="12">
        <f t="shared" si="0"/>
        <v>5.133709375E-2</v>
      </c>
      <c r="F35" s="12">
        <f>E35/Calculation!K$5*1000</f>
        <v>3.6525661090257469E-2</v>
      </c>
      <c r="G35" s="12">
        <f t="shared" si="3"/>
        <v>19.64966507508197</v>
      </c>
    </row>
    <row r="36" spans="1:7">
      <c r="A36" s="35">
        <v>15.5</v>
      </c>
      <c r="B36" s="77">
        <v>12972.23</v>
      </c>
      <c r="C36" s="36">
        <f t="shared" si="1"/>
        <v>12.97223</v>
      </c>
      <c r="D36" s="12">
        <f t="shared" si="2"/>
        <v>0.90805609999999992</v>
      </c>
      <c r="E36" s="12">
        <f t="shared" si="0"/>
        <v>4.053821875E-2</v>
      </c>
      <c r="F36" s="12">
        <f>E36/Calculation!K$5*1000</f>
        <v>2.8842404801405822E-2</v>
      </c>
      <c r="G36" s="12">
        <f t="shared" si="3"/>
        <v>20.630186063456918</v>
      </c>
    </row>
    <row r="37" spans="1:7">
      <c r="A37" s="35">
        <v>16</v>
      </c>
      <c r="B37" s="77">
        <v>9848.17</v>
      </c>
      <c r="C37" s="36">
        <f t="shared" si="1"/>
        <v>9.8481699999999996</v>
      </c>
      <c r="D37" s="12">
        <f t="shared" si="2"/>
        <v>0.68937190000000004</v>
      </c>
      <c r="E37" s="12">
        <f t="shared" si="0"/>
        <v>3.0775531250000005E-2</v>
      </c>
      <c r="F37" s="12">
        <f>E37/Calculation!K$5*1000</f>
        <v>2.1896382171227368E-2</v>
      </c>
      <c r="G37" s="12">
        <f t="shared" si="3"/>
        <v>21.391267868046416</v>
      </c>
    </row>
    <row r="38" spans="1:7">
      <c r="A38" s="35">
        <v>16.5</v>
      </c>
      <c r="B38" s="77">
        <v>7206.35</v>
      </c>
      <c r="C38" s="36">
        <f t="shared" si="1"/>
        <v>7.2063500000000005</v>
      </c>
      <c r="D38" s="12">
        <f t="shared" si="2"/>
        <v>0.50444449999999996</v>
      </c>
      <c r="E38" s="12">
        <f t="shared" si="0"/>
        <v>2.2519843750000001E-2</v>
      </c>
      <c r="F38" s="12">
        <f>E38/Calculation!K$5*1000</f>
        <v>1.6022570046985818E-2</v>
      </c>
      <c r="G38" s="12">
        <f t="shared" si="3"/>
        <v>21.960052151319616</v>
      </c>
    </row>
    <row r="39" spans="1:7">
      <c r="A39" s="35">
        <v>17</v>
      </c>
      <c r="B39" s="77">
        <v>4980.76</v>
      </c>
      <c r="C39" s="36">
        <f t="shared" si="1"/>
        <v>4.9807600000000001</v>
      </c>
      <c r="D39" s="12">
        <f t="shared" si="2"/>
        <v>0.3486532</v>
      </c>
      <c r="E39" s="12">
        <f t="shared" si="0"/>
        <v>1.5564875000000001E-2</v>
      </c>
      <c r="F39" s="12">
        <f>E39/Calculation!K$5*1000</f>
        <v>1.1074202056134533E-2</v>
      </c>
      <c r="G39" s="12">
        <f>G38+(F39+F38)/2*30</f>
        <v>22.36650373286642</v>
      </c>
    </row>
    <row r="40" spans="1:7">
      <c r="A40" s="35">
        <v>17.5</v>
      </c>
      <c r="B40" s="77">
        <v>3519.08</v>
      </c>
      <c r="C40" s="36">
        <f t="shared" si="1"/>
        <v>3.5190799999999998</v>
      </c>
      <c r="D40" s="12">
        <f t="shared" si="2"/>
        <v>0.24633559999999999</v>
      </c>
      <c r="E40" s="12">
        <f t="shared" si="0"/>
        <v>1.0997125E-2</v>
      </c>
      <c r="F40" s="12">
        <f>E40/Calculation!K$5*1000</f>
        <v>7.8243085335775869E-3</v>
      </c>
      <c r="G40" s="12">
        <f t="shared" si="3"/>
        <v>22.649981391712103</v>
      </c>
    </row>
    <row r="41" spans="1:7">
      <c r="A41" s="35">
        <v>18</v>
      </c>
      <c r="B41" s="77">
        <v>2503.29</v>
      </c>
      <c r="C41" s="36">
        <f t="shared" si="1"/>
        <v>2.5032899999999998</v>
      </c>
      <c r="D41" s="12">
        <f t="shared" si="2"/>
        <v>0.17523029999999998</v>
      </c>
      <c r="E41" s="12">
        <f t="shared" si="0"/>
        <v>7.822781249999999E-3</v>
      </c>
      <c r="F41" s="12">
        <f>E41/Calculation!K$5*1000</f>
        <v>5.5658050709331526E-3</v>
      </c>
      <c r="G41" s="12">
        <f t="shared" si="3"/>
        <v>22.850833095779763</v>
      </c>
    </row>
    <row r="42" spans="1:7">
      <c r="A42" s="35">
        <v>18.5</v>
      </c>
      <c r="B42" s="77">
        <v>1777.16</v>
      </c>
      <c r="C42" s="36">
        <f t="shared" si="1"/>
        <v>1.7771600000000001</v>
      </c>
      <c r="D42" s="12">
        <f t="shared" si="2"/>
        <v>0.1244012</v>
      </c>
      <c r="E42" s="12">
        <f t="shared" si="0"/>
        <v>5.5536250000000004E-3</v>
      </c>
      <c r="F42" s="12">
        <f>E42/Calculation!K$5*1000</f>
        <v>3.9513305049992458E-3</v>
      </c>
      <c r="G42" s="12">
        <f t="shared" si="3"/>
        <v>22.993590129418749</v>
      </c>
    </row>
    <row r="43" spans="1:7">
      <c r="A43" s="35">
        <v>19</v>
      </c>
      <c r="B43" s="77">
        <v>1314.38</v>
      </c>
      <c r="C43" s="36">
        <f t="shared" si="1"/>
        <v>1.3143800000000001</v>
      </c>
      <c r="D43" s="12">
        <f t="shared" si="2"/>
        <v>9.2006600000000008E-2</v>
      </c>
      <c r="E43" s="12">
        <f t="shared" si="0"/>
        <v>4.1074375000000008E-3</v>
      </c>
      <c r="F43" s="12">
        <f>E43/Calculation!K$5*1000</f>
        <v>2.9223872859848914E-3</v>
      </c>
      <c r="G43" s="12">
        <f t="shared" si="3"/>
        <v>23.09669589628351</v>
      </c>
    </row>
    <row r="44" spans="1:7">
      <c r="A44" s="35">
        <v>19.5</v>
      </c>
      <c r="B44" s="77">
        <v>1014.99</v>
      </c>
      <c r="C44" s="36">
        <f t="shared" si="1"/>
        <v>1.0149900000000001</v>
      </c>
      <c r="D44" s="12">
        <f t="shared" si="2"/>
        <v>7.104930000000001E-2</v>
      </c>
      <c r="E44" s="12">
        <f t="shared" si="0"/>
        <v>3.1718437500000006E-3</v>
      </c>
      <c r="F44" s="12">
        <f>E44/Calculation!K$5*1000</f>
        <v>2.256724745813087E-3</v>
      </c>
      <c r="G44" s="12">
        <f t="shared" si="3"/>
        <v>23.174382576760479</v>
      </c>
    </row>
    <row r="45" spans="1:7">
      <c r="A45" s="35">
        <v>20</v>
      </c>
      <c r="B45" s="77">
        <v>803.29</v>
      </c>
      <c r="C45" s="36">
        <f t="shared" si="1"/>
        <v>0.80328999999999995</v>
      </c>
      <c r="D45" s="12">
        <f t="shared" si="2"/>
        <v>5.6230299999999997E-2</v>
      </c>
      <c r="E45" s="12">
        <f t="shared" si="0"/>
        <v>2.5102812499999999E-3</v>
      </c>
      <c r="F45" s="12">
        <f>E45/Calculation!K$5*1000</f>
        <v>1.7860318043174752E-3</v>
      </c>
      <c r="G45" s="12">
        <f t="shared" si="3"/>
        <v>23.235023925012438</v>
      </c>
    </row>
    <row r="46" spans="1:7">
      <c r="A46" s="35">
        <v>20.5</v>
      </c>
      <c r="B46" s="77">
        <v>666.04</v>
      </c>
      <c r="C46" s="36">
        <f t="shared" si="1"/>
        <v>0.66603999999999997</v>
      </c>
      <c r="D46" s="12">
        <f t="shared" si="2"/>
        <v>4.6622799999999999E-2</v>
      </c>
      <c r="E46" s="12">
        <f t="shared" si="0"/>
        <v>2.0813749999999999E-3</v>
      </c>
      <c r="F46" s="12">
        <f>E46/Calculation!K$5*1000</f>
        <v>1.4808706979392388E-3</v>
      </c>
      <c r="G46" s="12">
        <f t="shared" si="3"/>
        <v>23.284027462546288</v>
      </c>
    </row>
    <row r="47" spans="1:7">
      <c r="A47" s="35">
        <v>21</v>
      </c>
      <c r="B47" s="77">
        <v>567.67999999999995</v>
      </c>
      <c r="C47" s="36">
        <f t="shared" si="1"/>
        <v>0.56767999999999996</v>
      </c>
      <c r="D47" s="12">
        <f t="shared" si="2"/>
        <v>3.9737599999999998E-2</v>
      </c>
      <c r="E47" s="12">
        <f t="shared" si="0"/>
        <v>1.774E-3</v>
      </c>
      <c r="F47" s="12">
        <f>E47/Calculation!K$5*1000</f>
        <v>1.2621774635249341E-3</v>
      </c>
      <c r="G47" s="12">
        <f t="shared" si="3"/>
        <v>23.32517318496825</v>
      </c>
    </row>
    <row r="48" spans="1:7">
      <c r="A48" s="35">
        <v>21.5</v>
      </c>
      <c r="B48" s="77">
        <v>484.14</v>
      </c>
      <c r="C48" s="36">
        <f t="shared" si="1"/>
        <v>0.48413999999999996</v>
      </c>
      <c r="D48" s="12">
        <f t="shared" si="2"/>
        <v>3.3889799999999998E-2</v>
      </c>
      <c r="E48" s="12">
        <f t="shared" si="0"/>
        <v>1.5129375E-3</v>
      </c>
      <c r="F48" s="12">
        <f>E48/Calculation!K$5*1000</f>
        <v>1.0764349584113614E-3</v>
      </c>
      <c r="G48" s="12">
        <f t="shared" si="3"/>
        <v>23.360252371297296</v>
      </c>
    </row>
    <row r="49" spans="1:7">
      <c r="A49" s="35">
        <v>22</v>
      </c>
      <c r="B49" s="77">
        <v>429.14</v>
      </c>
      <c r="C49" s="36">
        <f t="shared" si="1"/>
        <v>0.42913999999999997</v>
      </c>
      <c r="D49" s="12">
        <f t="shared" si="2"/>
        <v>3.0039799999999995E-2</v>
      </c>
      <c r="E49" s="12">
        <f t="shared" si="0"/>
        <v>1.3410624999999998E-3</v>
      </c>
      <c r="F49" s="12">
        <f>E49/Calculation!K$5*1000</f>
        <v>9.5414817625614806E-4</v>
      </c>
      <c r="G49" s="12">
        <f t="shared" si="3"/>
        <v>23.390711118317309</v>
      </c>
    </row>
    <row r="50" spans="1:7">
      <c r="A50" s="35">
        <v>22.5</v>
      </c>
      <c r="B50" s="77">
        <v>387.22</v>
      </c>
      <c r="C50" s="36">
        <f t="shared" si="1"/>
        <v>0.38722000000000001</v>
      </c>
      <c r="D50" s="12">
        <f t="shared" si="2"/>
        <v>2.7105400000000002E-2</v>
      </c>
      <c r="E50" s="12">
        <f t="shared" si="0"/>
        <v>1.2100625000000002E-3</v>
      </c>
      <c r="F50" s="12">
        <f>E50/Calculation!K$5*1000</f>
        <v>8.6094341429348415E-4</v>
      </c>
      <c r="G50" s="12">
        <f t="shared" si="3"/>
        <v>23.417937492175554</v>
      </c>
    </row>
    <row r="51" spans="1:7">
      <c r="A51" s="35">
        <v>23</v>
      </c>
      <c r="B51" s="77">
        <v>345.61</v>
      </c>
      <c r="C51" s="36">
        <f t="shared" si="1"/>
        <v>0.34561000000000003</v>
      </c>
      <c r="D51" s="12">
        <f t="shared" si="2"/>
        <v>2.4192700000000004E-2</v>
      </c>
      <c r="E51" s="12">
        <f t="shared" si="0"/>
        <v>1.0800312500000003E-3</v>
      </c>
      <c r="F51" s="12">
        <f>E51/Calculation!K$5*1000</f>
        <v>7.6842790510296742E-4</v>
      </c>
      <c r="G51" s="12">
        <f t="shared" si="3"/>
        <v>23.442378061966501</v>
      </c>
    </row>
    <row r="52" spans="1:7">
      <c r="A52" s="35">
        <v>23.5</v>
      </c>
      <c r="B52" s="77">
        <v>311.82</v>
      </c>
      <c r="C52" s="36">
        <f t="shared" si="1"/>
        <v>0.31181999999999999</v>
      </c>
      <c r="D52" s="12">
        <f t="shared" si="2"/>
        <v>2.1827399999999997E-2</v>
      </c>
      <c r="E52" s="12">
        <f t="shared" si="0"/>
        <v>9.7443749999999993E-4</v>
      </c>
      <c r="F52" s="12">
        <f>E52/Calculation!K$5*1000</f>
        <v>6.9329935293888274E-4</v>
      </c>
      <c r="G52" s="12">
        <f t="shared" si="3"/>
        <v>23.464303970837129</v>
      </c>
    </row>
    <row r="53" spans="1:7">
      <c r="A53" s="35">
        <v>24</v>
      </c>
      <c r="B53" s="77">
        <v>277.7</v>
      </c>
      <c r="C53" s="36">
        <f t="shared" si="1"/>
        <v>0.2777</v>
      </c>
      <c r="D53" s="12">
        <f t="shared" si="2"/>
        <v>1.9439000000000001E-2</v>
      </c>
      <c r="E53" s="12">
        <f t="shared" si="0"/>
        <v>8.6781250000000009E-4</v>
      </c>
      <c r="F53" s="12">
        <f>E53/Calculation!K$6*1000</f>
        <v>6.4467695126194937E-4</v>
      </c>
      <c r="G53" s="12">
        <f t="shared" si="3"/>
        <v>23.484373615400141</v>
      </c>
    </row>
    <row r="54" spans="1:7">
      <c r="A54" s="35">
        <v>24.5</v>
      </c>
      <c r="B54" s="77">
        <v>246.46</v>
      </c>
      <c r="C54" s="36">
        <f t="shared" si="1"/>
        <v>0.24646000000000001</v>
      </c>
      <c r="D54" s="12">
        <f t="shared" si="2"/>
        <v>1.7252199999999999E-2</v>
      </c>
      <c r="E54" s="12">
        <f t="shared" si="0"/>
        <v>7.7018750000000004E-4</v>
      </c>
      <c r="F54" s="12">
        <f>E54/Calculation!K$6*1000</f>
        <v>5.7215369610378122E-4</v>
      </c>
      <c r="G54" s="12">
        <f t="shared" si="3"/>
        <v>23.502626075110626</v>
      </c>
    </row>
    <row r="55" spans="1:7">
      <c r="A55" s="35">
        <v>25</v>
      </c>
      <c r="B55" s="77">
        <v>215.85</v>
      </c>
      <c r="C55" s="36">
        <f t="shared" si="1"/>
        <v>0.21584999999999999</v>
      </c>
      <c r="D55" s="12">
        <f t="shared" si="2"/>
        <v>1.51095E-2</v>
      </c>
      <c r="E55" s="12">
        <f t="shared" si="0"/>
        <v>6.7453125E-4</v>
      </c>
      <c r="F55" s="12">
        <f>E55/Calculation!K$6*1000</f>
        <v>5.0109297778138913E-4</v>
      </c>
      <c r="G55" s="12">
        <f t="shared" si="3"/>
        <v>23.518724775218903</v>
      </c>
    </row>
    <row r="56" spans="1:7">
      <c r="A56" s="35">
        <v>25.5</v>
      </c>
      <c r="B56" s="77">
        <v>205.17</v>
      </c>
      <c r="C56" s="36">
        <f t="shared" si="1"/>
        <v>0.20516999999999999</v>
      </c>
      <c r="D56" s="12">
        <f t="shared" si="2"/>
        <v>1.4361899999999999E-2</v>
      </c>
      <c r="E56" s="12">
        <f t="shared" si="0"/>
        <v>6.4115625000000002E-4</v>
      </c>
      <c r="F56" s="12">
        <f>E56/Calculation!K$6*1000</f>
        <v>4.7629949618442256E-4</v>
      </c>
      <c r="G56" s="12">
        <f t="shared" si="3"/>
        <v>23.533385662328389</v>
      </c>
    </row>
    <row r="57" spans="1:7">
      <c r="A57" s="35">
        <v>26</v>
      </c>
      <c r="B57" s="77">
        <v>179.82</v>
      </c>
      <c r="C57" s="36">
        <f t="shared" si="1"/>
        <v>0.17981999999999998</v>
      </c>
      <c r="D57" s="12">
        <f t="shared" si="2"/>
        <v>1.2587399999999999E-2</v>
      </c>
      <c r="E57" s="12">
        <f t="shared" si="0"/>
        <v>5.6193749999999994E-4</v>
      </c>
      <c r="F57" s="12">
        <f>E57/Calculation!K$6*1000</f>
        <v>4.1744979969724058E-4</v>
      </c>
      <c r="G57" s="12">
        <f t="shared" si="3"/>
        <v>23.546791901766614</v>
      </c>
    </row>
    <row r="58" spans="1:7">
      <c r="A58" s="35">
        <v>26.5</v>
      </c>
      <c r="B58" s="77">
        <v>174.72</v>
      </c>
      <c r="C58" s="36">
        <f t="shared" si="1"/>
        <v>0.17471999999999999</v>
      </c>
      <c r="D58" s="12">
        <f t="shared" si="2"/>
        <v>1.2230399999999999E-2</v>
      </c>
      <c r="E58" s="12">
        <f t="shared" si="0"/>
        <v>5.4599999999999994E-4</v>
      </c>
      <c r="F58" s="12">
        <f>E58/Calculation!K$6*1000</f>
        <v>4.0561021578857677E-4</v>
      </c>
      <c r="G58" s="12">
        <f t="shared" si="3"/>
        <v>23.559137801998901</v>
      </c>
    </row>
    <row r="59" spans="1:7">
      <c r="A59" s="35">
        <v>27</v>
      </c>
      <c r="B59" s="77">
        <v>0</v>
      </c>
      <c r="C59" s="36">
        <f t="shared" si="1"/>
        <v>0</v>
      </c>
      <c r="D59" s="12">
        <f t="shared" si="2"/>
        <v>0</v>
      </c>
      <c r="E59" s="12">
        <f t="shared" si="0"/>
        <v>0</v>
      </c>
      <c r="F59" s="12">
        <f>E59/Calculation!K$6*1000</f>
        <v>0</v>
      </c>
      <c r="G59" s="12">
        <f t="shared" si="3"/>
        <v>23.565221955235728</v>
      </c>
    </row>
    <row r="60" spans="1:7">
      <c r="A60" s="35">
        <v>27.5</v>
      </c>
      <c r="B60" s="77">
        <v>0</v>
      </c>
      <c r="C60" s="36">
        <f t="shared" si="1"/>
        <v>0</v>
      </c>
      <c r="D60" s="12">
        <f t="shared" si="2"/>
        <v>0</v>
      </c>
      <c r="E60" s="12">
        <f t="shared" si="0"/>
        <v>0</v>
      </c>
      <c r="F60" s="12">
        <f>E60/Calculation!K$6*1000</f>
        <v>0</v>
      </c>
      <c r="G60" s="12">
        <f t="shared" si="3"/>
        <v>23.565221955235728</v>
      </c>
    </row>
    <row r="61" spans="1:7">
      <c r="A61" s="35">
        <v>28</v>
      </c>
      <c r="B61" s="77">
        <v>0</v>
      </c>
      <c r="C61" s="36">
        <f t="shared" si="1"/>
        <v>0</v>
      </c>
      <c r="D61" s="12">
        <f t="shared" si="2"/>
        <v>0</v>
      </c>
      <c r="E61" s="12">
        <f t="shared" si="0"/>
        <v>0</v>
      </c>
      <c r="F61" s="12">
        <f>E61/Calculation!K$6*1000</f>
        <v>0</v>
      </c>
      <c r="G61" s="12">
        <f t="shared" si="3"/>
        <v>23.565221955235728</v>
      </c>
    </row>
    <row r="62" spans="1:7">
      <c r="A62" s="35">
        <v>28.5</v>
      </c>
      <c r="B62" s="77">
        <v>0</v>
      </c>
      <c r="C62" s="36">
        <f t="shared" si="1"/>
        <v>0</v>
      </c>
      <c r="D62" s="12">
        <f t="shared" si="2"/>
        <v>0</v>
      </c>
      <c r="E62" s="12">
        <f t="shared" si="0"/>
        <v>0</v>
      </c>
      <c r="F62" s="12">
        <f>E62/Calculation!K$6*1000</f>
        <v>0</v>
      </c>
      <c r="G62" s="12">
        <f t="shared" si="3"/>
        <v>23.565221955235728</v>
      </c>
    </row>
    <row r="63" spans="1:7">
      <c r="A63" s="35">
        <v>29</v>
      </c>
      <c r="B63" s="77">
        <v>0</v>
      </c>
      <c r="C63" s="36">
        <f t="shared" si="1"/>
        <v>0</v>
      </c>
      <c r="D63" s="12">
        <f t="shared" si="2"/>
        <v>0</v>
      </c>
      <c r="E63" s="12">
        <f t="shared" si="0"/>
        <v>0</v>
      </c>
      <c r="F63" s="12">
        <f>E63/Calculation!K$6*1000</f>
        <v>0</v>
      </c>
      <c r="G63" s="12">
        <f t="shared" si="3"/>
        <v>23.565221955235728</v>
      </c>
    </row>
    <row r="64" spans="1:7">
      <c r="A64" s="35">
        <v>29.5</v>
      </c>
      <c r="B64" s="77">
        <v>0</v>
      </c>
      <c r="C64" s="36">
        <f t="shared" si="1"/>
        <v>0</v>
      </c>
      <c r="D64" s="12">
        <f t="shared" si="2"/>
        <v>0</v>
      </c>
      <c r="E64" s="12">
        <f t="shared" si="0"/>
        <v>0</v>
      </c>
      <c r="F64" s="12">
        <f>E64/Calculation!K$6*1000</f>
        <v>0</v>
      </c>
      <c r="G64" s="12">
        <f t="shared" si="3"/>
        <v>23.565221955235728</v>
      </c>
    </row>
    <row r="65" spans="1:7">
      <c r="A65" s="35">
        <v>30</v>
      </c>
      <c r="B65" s="77">
        <v>0</v>
      </c>
      <c r="C65" s="36">
        <f t="shared" si="1"/>
        <v>0</v>
      </c>
      <c r="D65" s="12">
        <f t="shared" si="2"/>
        <v>0</v>
      </c>
      <c r="E65" s="12">
        <f t="shared" si="0"/>
        <v>0</v>
      </c>
      <c r="F65" s="12">
        <f>E65/Calculation!K$6*1000</f>
        <v>0</v>
      </c>
      <c r="G65" s="12">
        <f t="shared" si="3"/>
        <v>23.565221955235728</v>
      </c>
    </row>
    <row r="66" spans="1:7">
      <c r="A66" s="35">
        <v>30.5</v>
      </c>
      <c r="B66" s="77">
        <v>0</v>
      </c>
      <c r="C66" s="36">
        <f t="shared" si="1"/>
        <v>0</v>
      </c>
      <c r="D66" s="12">
        <f t="shared" si="2"/>
        <v>0</v>
      </c>
      <c r="E66" s="12">
        <f t="shared" si="0"/>
        <v>0</v>
      </c>
      <c r="F66" s="12">
        <f>E66/Calculation!K$6*1000</f>
        <v>0</v>
      </c>
      <c r="G66" s="12">
        <f t="shared" si="3"/>
        <v>23.565221955235728</v>
      </c>
    </row>
    <row r="67" spans="1:7">
      <c r="A67" s="35">
        <v>31</v>
      </c>
      <c r="B67" s="77">
        <v>0</v>
      </c>
      <c r="C67" s="36">
        <f t="shared" si="1"/>
        <v>0</v>
      </c>
      <c r="D67" s="12">
        <f t="shared" si="2"/>
        <v>0</v>
      </c>
      <c r="E67" s="12">
        <f t="shared" si="0"/>
        <v>0</v>
      </c>
      <c r="F67" s="12">
        <f>E67/Calculation!K$6*1000</f>
        <v>0</v>
      </c>
      <c r="G67" s="12">
        <f t="shared" si="3"/>
        <v>23.565221955235728</v>
      </c>
    </row>
    <row r="68" spans="1:7">
      <c r="A68" s="35">
        <v>31.5</v>
      </c>
      <c r="B68" s="77">
        <v>0</v>
      </c>
      <c r="C68" s="36">
        <f t="shared" si="1"/>
        <v>0</v>
      </c>
      <c r="D68" s="12">
        <f t="shared" si="2"/>
        <v>0</v>
      </c>
      <c r="E68" s="12">
        <f t="shared" si="0"/>
        <v>0</v>
      </c>
      <c r="F68" s="12">
        <f>E68/Calculation!K$6*1000</f>
        <v>0</v>
      </c>
      <c r="G68" s="12">
        <f t="shared" si="3"/>
        <v>23.565221955235728</v>
      </c>
    </row>
    <row r="69" spans="1:7">
      <c r="A69" s="35">
        <v>32</v>
      </c>
      <c r="B69" s="77">
        <v>0</v>
      </c>
      <c r="C69" s="36">
        <f t="shared" si="1"/>
        <v>0</v>
      </c>
      <c r="D69" s="12">
        <f t="shared" si="2"/>
        <v>0</v>
      </c>
      <c r="E69" s="12">
        <f t="shared" si="0"/>
        <v>0</v>
      </c>
      <c r="F69" s="12">
        <f>E69/Calculation!K$6*1000</f>
        <v>0</v>
      </c>
      <c r="G69" s="12">
        <f t="shared" si="3"/>
        <v>23.565221955235728</v>
      </c>
    </row>
    <row r="70" spans="1:7">
      <c r="A70" s="35">
        <v>32.5</v>
      </c>
      <c r="B70" s="77">
        <v>0</v>
      </c>
      <c r="C70" s="36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E70/Calculation!K$6*1000</f>
        <v>0</v>
      </c>
      <c r="G70" s="12">
        <f t="shared" si="3"/>
        <v>23.565221955235728</v>
      </c>
    </row>
    <row r="71" spans="1:7">
      <c r="A71" s="35">
        <v>33</v>
      </c>
      <c r="B71" s="77">
        <v>0</v>
      </c>
      <c r="C71" s="36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E71/Calculation!K$6*1000</f>
        <v>0</v>
      </c>
      <c r="G71" s="12">
        <f t="shared" ref="G71:G101" si="7">G70+(F71+F70)/2*30</f>
        <v>23.565221955235728</v>
      </c>
    </row>
    <row r="72" spans="1:7">
      <c r="A72" s="35">
        <v>33.5</v>
      </c>
      <c r="B72" s="77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E72/Calculation!K$6*1000</f>
        <v>0</v>
      </c>
      <c r="G72" s="12">
        <f t="shared" si="7"/>
        <v>23.565221955235728</v>
      </c>
    </row>
    <row r="73" spans="1:7">
      <c r="A73" s="35">
        <v>34</v>
      </c>
      <c r="B73" s="77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E73/Calculation!K$6*1000</f>
        <v>0</v>
      </c>
      <c r="G73" s="12">
        <f t="shared" si="7"/>
        <v>23.565221955235728</v>
      </c>
    </row>
    <row r="74" spans="1:7">
      <c r="A74" s="35">
        <v>34.5</v>
      </c>
      <c r="B74" s="77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E74/Calculation!K$6*1000</f>
        <v>0</v>
      </c>
      <c r="G74" s="12">
        <f t="shared" si="7"/>
        <v>23.565221955235728</v>
      </c>
    </row>
    <row r="75" spans="1:7">
      <c r="A75" s="35">
        <v>35</v>
      </c>
      <c r="B75" s="77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E75/Calculation!K$6*1000</f>
        <v>0</v>
      </c>
      <c r="G75" s="12">
        <f t="shared" si="7"/>
        <v>23.565221955235728</v>
      </c>
    </row>
    <row r="76" spans="1:7">
      <c r="A76" s="35">
        <v>35.5</v>
      </c>
      <c r="B76" s="77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E76/Calculation!K$6*1000</f>
        <v>0</v>
      </c>
      <c r="G76" s="12">
        <f t="shared" si="7"/>
        <v>23.565221955235728</v>
      </c>
    </row>
    <row r="77" spans="1:7">
      <c r="A77" s="35">
        <v>36</v>
      </c>
      <c r="B77" s="77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E77/Calculation!K$6*1000</f>
        <v>0</v>
      </c>
      <c r="G77" s="12">
        <f t="shared" si="7"/>
        <v>23.565221955235728</v>
      </c>
    </row>
    <row r="78" spans="1:7">
      <c r="A78" s="35">
        <v>36.5</v>
      </c>
      <c r="B78" s="77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E78/Calculation!K$6*1000</f>
        <v>0</v>
      </c>
      <c r="G78" s="12">
        <f t="shared" si="7"/>
        <v>23.565221955235728</v>
      </c>
    </row>
    <row r="79" spans="1:7">
      <c r="A79" s="35">
        <v>37</v>
      </c>
      <c r="B79" s="77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E79/Calculation!K$6*1000</f>
        <v>0</v>
      </c>
      <c r="G79" s="12">
        <f t="shared" si="7"/>
        <v>23.565221955235728</v>
      </c>
    </row>
    <row r="80" spans="1:7">
      <c r="A80" s="35">
        <v>37.5</v>
      </c>
      <c r="B80" s="77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E80/Calculation!K$6*1000</f>
        <v>0</v>
      </c>
      <c r="G80" s="12">
        <f t="shared" si="7"/>
        <v>23.565221955235728</v>
      </c>
    </row>
    <row r="81" spans="1:7">
      <c r="A81" s="35">
        <v>38</v>
      </c>
      <c r="B81" s="77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E81/Calculation!K$6*1000</f>
        <v>0</v>
      </c>
      <c r="G81" s="12">
        <f t="shared" si="7"/>
        <v>23.565221955235728</v>
      </c>
    </row>
    <row r="82" spans="1:7">
      <c r="A82" s="35">
        <v>38.5</v>
      </c>
      <c r="B82" s="77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E82/Calculation!K$6*1000</f>
        <v>0</v>
      </c>
      <c r="G82" s="12">
        <f t="shared" si="7"/>
        <v>23.565221955235728</v>
      </c>
    </row>
    <row r="83" spans="1:7">
      <c r="A83" s="35">
        <v>39</v>
      </c>
      <c r="B83" s="77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E83/Calculation!K$6*1000</f>
        <v>0</v>
      </c>
      <c r="G83" s="12">
        <f t="shared" si="7"/>
        <v>23.565221955235728</v>
      </c>
    </row>
    <row r="84" spans="1:7">
      <c r="A84" s="35">
        <v>39.5</v>
      </c>
      <c r="B84" s="77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E84/Calculation!K$6*1000</f>
        <v>0</v>
      </c>
      <c r="G84" s="12">
        <f t="shared" si="7"/>
        <v>23.565221955235728</v>
      </c>
    </row>
    <row r="85" spans="1:7">
      <c r="A85" s="35">
        <v>40</v>
      </c>
      <c r="B85" s="77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E85/Calculation!K$6*1000</f>
        <v>0</v>
      </c>
      <c r="G85" s="12">
        <f t="shared" si="7"/>
        <v>23.565221955235728</v>
      </c>
    </row>
    <row r="86" spans="1:7">
      <c r="A86" s="35">
        <v>40.5</v>
      </c>
      <c r="B86" s="77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E86/Calculation!K$6*1000</f>
        <v>0</v>
      </c>
      <c r="G86" s="12">
        <f t="shared" si="7"/>
        <v>23.565221955235728</v>
      </c>
    </row>
    <row r="87" spans="1:7">
      <c r="A87" s="35">
        <v>41</v>
      </c>
      <c r="B87" s="77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E87/Calculation!K$6*1000</f>
        <v>0</v>
      </c>
      <c r="G87" s="12">
        <f t="shared" si="7"/>
        <v>23.565221955235728</v>
      </c>
    </row>
    <row r="88" spans="1:7">
      <c r="A88" s="35">
        <v>41.5</v>
      </c>
      <c r="B88" s="77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E88/Calculation!K$6*1000</f>
        <v>0</v>
      </c>
      <c r="G88" s="12">
        <f t="shared" si="7"/>
        <v>23.565221955235728</v>
      </c>
    </row>
    <row r="89" spans="1:7">
      <c r="A89" s="35">
        <v>42</v>
      </c>
      <c r="B89" s="77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E89/Calculation!K$6*1000</f>
        <v>0</v>
      </c>
      <c r="G89" s="12">
        <f t="shared" si="7"/>
        <v>23.565221955235728</v>
      </c>
    </row>
    <row r="90" spans="1:7">
      <c r="A90" s="35">
        <v>42.5</v>
      </c>
      <c r="B90" s="77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E90/Calculation!K$6*1000</f>
        <v>0</v>
      </c>
      <c r="G90" s="12">
        <f t="shared" si="7"/>
        <v>23.565221955235728</v>
      </c>
    </row>
    <row r="91" spans="1:7">
      <c r="A91" s="35">
        <v>43</v>
      </c>
      <c r="B91" s="77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E91/Calculation!K$6*1000</f>
        <v>0</v>
      </c>
      <c r="G91" s="12">
        <f t="shared" si="7"/>
        <v>23.565221955235728</v>
      </c>
    </row>
    <row r="92" spans="1:7">
      <c r="A92" s="35">
        <v>43.5</v>
      </c>
      <c r="B92" s="77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E92/Calculation!K$6*1000</f>
        <v>0</v>
      </c>
      <c r="G92" s="12">
        <f t="shared" si="7"/>
        <v>23.565221955235728</v>
      </c>
    </row>
    <row r="93" spans="1:7">
      <c r="A93" s="35">
        <v>44</v>
      </c>
      <c r="B93" s="77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E93/Calculation!K$6*1000</f>
        <v>0</v>
      </c>
      <c r="G93" s="12">
        <f t="shared" si="7"/>
        <v>23.565221955235728</v>
      </c>
    </row>
    <row r="94" spans="1:7">
      <c r="A94" s="35">
        <v>44.5</v>
      </c>
      <c r="B94" s="77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E94/Calculation!K$6*1000</f>
        <v>0</v>
      </c>
      <c r="G94" s="12">
        <f t="shared" si="7"/>
        <v>23.565221955235728</v>
      </c>
    </row>
    <row r="95" spans="1:7">
      <c r="A95" s="35">
        <v>45</v>
      </c>
      <c r="B95" s="77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E95/Calculation!K$6*1000</f>
        <v>0</v>
      </c>
      <c r="G95" s="12">
        <f t="shared" si="7"/>
        <v>23.565221955235728</v>
      </c>
    </row>
    <row r="96" spans="1:7">
      <c r="A96" s="35">
        <v>45.5</v>
      </c>
      <c r="B96" s="77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E96/Calculation!K$6*1000</f>
        <v>0</v>
      </c>
      <c r="G96" s="12">
        <f t="shared" si="7"/>
        <v>23.565221955235728</v>
      </c>
    </row>
    <row r="97" spans="1:7">
      <c r="A97" s="35">
        <v>46</v>
      </c>
      <c r="B97" s="77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E97/Calculation!K$6*1000</f>
        <v>0</v>
      </c>
      <c r="G97" s="12">
        <f t="shared" si="7"/>
        <v>23.565221955235728</v>
      </c>
    </row>
    <row r="98" spans="1:7">
      <c r="A98" s="35">
        <v>46.5</v>
      </c>
      <c r="B98" s="77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E98/Calculation!K$6*1000</f>
        <v>0</v>
      </c>
      <c r="G98" s="12">
        <f t="shared" si="7"/>
        <v>23.565221955235728</v>
      </c>
    </row>
    <row r="99" spans="1:7">
      <c r="A99" s="35">
        <v>47</v>
      </c>
      <c r="B99" s="77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E99/Calculation!K$6*1000</f>
        <v>0</v>
      </c>
      <c r="G99" s="12">
        <f t="shared" si="7"/>
        <v>23.565221955235728</v>
      </c>
    </row>
    <row r="100" spans="1:7">
      <c r="A100" s="35">
        <v>47.5</v>
      </c>
      <c r="B100" s="77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E100/Calculation!K$6*1000</f>
        <v>0</v>
      </c>
      <c r="G100" s="12">
        <f t="shared" si="7"/>
        <v>23.565221955235728</v>
      </c>
    </row>
    <row r="101" spans="1:7">
      <c r="A101" s="35">
        <v>48</v>
      </c>
      <c r="B101" s="77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E101/Calculation!K$7*1000</f>
        <v>0</v>
      </c>
      <c r="G101" s="12">
        <f t="shared" si="7"/>
        <v>23.565221955235728</v>
      </c>
    </row>
    <row r="102" spans="1:7">
      <c r="B102" s="10">
        <v>0</v>
      </c>
    </row>
    <row r="103" spans="1:7">
      <c r="B103" s="10">
        <v>0</v>
      </c>
    </row>
    <row r="104" spans="1:7">
      <c r="B104" s="10">
        <v>0</v>
      </c>
    </row>
    <row r="105" spans="1:7">
      <c r="B105" s="10">
        <v>0</v>
      </c>
    </row>
    <row r="106" spans="1:7">
      <c r="B106" s="10">
        <v>0</v>
      </c>
    </row>
    <row r="107" spans="1:7">
      <c r="B107" s="10">
        <v>0</v>
      </c>
    </row>
    <row r="108" spans="1:7">
      <c r="B108" s="10">
        <v>0</v>
      </c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workbookViewId="0">
      <selection activeCell="J3" sqref="J3:K7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7" t="s">
        <v>41</v>
      </c>
      <c r="B1" s="117"/>
      <c r="D1" s="144" t="s">
        <v>4</v>
      </c>
      <c r="E1" s="144" t="s">
        <v>5</v>
      </c>
      <c r="F1" s="117" t="s">
        <v>143</v>
      </c>
      <c r="G1" s="117"/>
      <c r="H1" s="117"/>
      <c r="I1" s="117"/>
      <c r="J1" s="117" t="s">
        <v>42</v>
      </c>
      <c r="K1" s="117"/>
      <c r="L1" s="117"/>
      <c r="M1" s="117"/>
      <c r="N1" s="142" t="s">
        <v>43</v>
      </c>
      <c r="O1" s="115"/>
      <c r="P1" s="115"/>
      <c r="Q1" s="143"/>
      <c r="R1" s="117" t="s">
        <v>65</v>
      </c>
      <c r="S1" s="117"/>
      <c r="T1" s="117"/>
      <c r="U1" s="117"/>
    </row>
    <row r="2" spans="1:21">
      <c r="A2" s="117" t="s">
        <v>34</v>
      </c>
      <c r="B2" s="117"/>
      <c r="D2" s="144"/>
      <c r="E2" s="14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7" t="s">
        <v>35</v>
      </c>
      <c r="B3" s="14" t="s">
        <v>38</v>
      </c>
      <c r="D3" s="16">
        <v>0</v>
      </c>
      <c r="E3" s="65">
        <v>-0.16666666666666666</v>
      </c>
      <c r="F3" s="53">
        <v>48.37181764357608</v>
      </c>
      <c r="G3" s="53">
        <v>0.13968758206169679</v>
      </c>
      <c r="H3" s="13">
        <f>F3*Calculation!I3/Calculation!F9</f>
        <v>48.436313400434187</v>
      </c>
      <c r="I3" s="13">
        <f>G3*Calculation!I3/Calculation!F9</f>
        <v>0.13987383217111238</v>
      </c>
      <c r="J3" s="13">
        <v>0.10361160449970397</v>
      </c>
      <c r="K3" s="13">
        <v>1.2818611660515672E-2</v>
      </c>
      <c r="L3" s="13">
        <f>J3*Calculation!I3/Calculation!F9</f>
        <v>0.10374975330570359</v>
      </c>
      <c r="M3" s="13">
        <f>K3*Calculation!I3/Calculation!F9</f>
        <v>1.2835703142729695E-2</v>
      </c>
      <c r="N3" s="13">
        <v>49.925062447960038</v>
      </c>
      <c r="O3" s="13">
        <v>8.8118278470093278E-2</v>
      </c>
      <c r="P3" s="13">
        <f>N3*Calculation!I3/Calculation!F9</f>
        <v>49.991629197890646</v>
      </c>
      <c r="Q3" s="13">
        <f>O3*Calculation!I3/Calculation!F9</f>
        <v>8.823576950805341E-2</v>
      </c>
      <c r="R3" s="13">
        <v>0</v>
      </c>
      <c r="S3" s="13">
        <v>0</v>
      </c>
      <c r="T3" s="13">
        <f>R3*Calculation!I3/Calculation!F9</f>
        <v>0</v>
      </c>
      <c r="U3" s="13">
        <f>S3*Calculation!I3/Calculation!F9</f>
        <v>0</v>
      </c>
    </row>
    <row r="4" spans="1:21">
      <c r="A4" s="117"/>
      <c r="B4" s="14" t="s">
        <v>39</v>
      </c>
      <c r="D4" s="16">
        <v>0</v>
      </c>
      <c r="E4" s="68">
        <v>0.16666666666666666</v>
      </c>
      <c r="F4" s="53">
        <v>47.546625222024865</v>
      </c>
      <c r="G4" s="53">
        <v>0.38599774979382456</v>
      </c>
      <c r="H4" s="13">
        <f>F4*Calculation!I4/Calculation!K3</f>
        <v>47.606882496711357</v>
      </c>
      <c r="I4" s="13">
        <f>G4*Calculation!I4/Calculation!K3</f>
        <v>0.38648693640442172</v>
      </c>
      <c r="J4" s="13">
        <v>0.14801657785671996</v>
      </c>
      <c r="K4" s="13">
        <v>1.2818611660515672E-2</v>
      </c>
      <c r="L4" s="13">
        <f>J4*Calculation!I4/Calculation!K3</f>
        <v>0.14820416373791381</v>
      </c>
      <c r="M4" s="13">
        <f>K4*Calculation!I4/Calculation!K3</f>
        <v>1.2834857074366188E-2</v>
      </c>
      <c r="N4" s="13">
        <v>49.580904801554247</v>
      </c>
      <c r="O4" s="13">
        <v>0.60533137408672943</v>
      </c>
      <c r="P4" s="13">
        <f>N4*Calculation!I4/Calculation!K3</f>
        <v>49.643740180214273</v>
      </c>
      <c r="Q4" s="13">
        <f>O4*Calculation!I4/Calculation!K3</f>
        <v>0.60609852882619564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8">
        <v>12</v>
      </c>
      <c r="F5" s="53">
        <v>37.429692125518059</v>
      </c>
      <c r="G5" s="53">
        <v>0.36250843400017585</v>
      </c>
      <c r="H5" s="13">
        <f>F5*Calculation!I5/Calculation!K4</f>
        <v>37.682482030733034</v>
      </c>
      <c r="I5" s="13">
        <f>G5*Calculation!I5/Calculation!K4</f>
        <v>0.36495671683304631</v>
      </c>
      <c r="J5" s="13">
        <v>0.3182356423919479</v>
      </c>
      <c r="K5" s="13">
        <v>3.3914858606837191E-2</v>
      </c>
      <c r="L5" s="13">
        <f>J5*Calculation!I5/Calculation!K4</f>
        <v>0.32038491889698872</v>
      </c>
      <c r="M5" s="13">
        <f>K5*Calculation!I5/Calculation!K4</f>
        <v>3.4143910287621836E-2</v>
      </c>
      <c r="N5" s="13">
        <v>38.44573966139329</v>
      </c>
      <c r="O5" s="13">
        <v>0.38457969637943468</v>
      </c>
      <c r="P5" s="13">
        <f>N5*Calculation!I5/Calculation!K4</f>
        <v>38.705391673820543</v>
      </c>
      <c r="Q5" s="13">
        <f>O5*Calculation!I5/Calculation!K4</f>
        <v>0.38717704248287965</v>
      </c>
      <c r="R5" s="13">
        <v>0.57933231950177422</v>
      </c>
      <c r="S5" s="13">
        <v>5.0171650592189948E-2</v>
      </c>
      <c r="T5" s="13">
        <f>R5*Calculation!I5/Calculation!K4</f>
        <v>0.58324497156537436</v>
      </c>
      <c r="U5" s="13">
        <f>S5*Calculation!I5/Calculation!K4</f>
        <v>5.0510496200514683E-2</v>
      </c>
    </row>
    <row r="6" spans="1:21">
      <c r="A6" s="15" t="s">
        <v>40</v>
      </c>
      <c r="B6" s="15">
        <v>180.16</v>
      </c>
      <c r="D6" s="16">
        <v>2</v>
      </c>
      <c r="E6" s="68">
        <v>24</v>
      </c>
      <c r="F6" s="53">
        <v>30.391503848431029</v>
      </c>
      <c r="G6" s="53">
        <v>0.38493204442002354</v>
      </c>
      <c r="H6" s="13">
        <f>F6*Calculation!I6/Calculation!K5</f>
        <v>30.704875513512825</v>
      </c>
      <c r="I6" s="13">
        <f>G6*Calculation!I6/Calculation!K5</f>
        <v>0.38890114039845336</v>
      </c>
      <c r="J6" s="13">
        <v>1.1175251628182357</v>
      </c>
      <c r="K6" s="13">
        <v>3.3914858606837128E-2</v>
      </c>
      <c r="L6" s="13">
        <f>J6*Calculation!I6/Calculation!K5</f>
        <v>1.1290481438062672</v>
      </c>
      <c r="M6" s="13">
        <f>K6*Calculation!I6/Calculation!K5</f>
        <v>3.4264560147295349E-2</v>
      </c>
      <c r="N6" s="13">
        <v>30.763252844851515</v>
      </c>
      <c r="O6" s="13">
        <v>0.37137338181910073</v>
      </c>
      <c r="P6" s="13">
        <f>N6*Calculation!I6/Calculation!K5</f>
        <v>31.080457673391813</v>
      </c>
      <c r="Q6" s="13">
        <f>O6*Calculation!I6/Calculation!K5</f>
        <v>0.37520267225527365</v>
      </c>
      <c r="R6" s="13">
        <v>1.6945470345426894</v>
      </c>
      <c r="S6" s="13">
        <v>7.5257475888284991E-2</v>
      </c>
      <c r="T6" s="13">
        <f>R6*Calculation!I6/Calculation!K5</f>
        <v>1.7120197804924253</v>
      </c>
      <c r="U6" s="13">
        <f>S6*Calculation!I6/Calculation!K5</f>
        <v>7.6033467778866687E-2</v>
      </c>
    </row>
    <row r="7" spans="1:21">
      <c r="A7" s="32" t="s">
        <v>117</v>
      </c>
      <c r="B7" s="32">
        <v>46.03</v>
      </c>
      <c r="D7" s="16">
        <v>3</v>
      </c>
      <c r="E7" s="68">
        <v>48</v>
      </c>
      <c r="F7" s="53">
        <v>30.49881586737715</v>
      </c>
      <c r="G7" s="53">
        <v>0.24431143931681587</v>
      </c>
      <c r="H7" s="13">
        <f>F7*Calculation!I7/Calculation!K6</f>
        <v>30.813294043878326</v>
      </c>
      <c r="I7" s="13">
        <f>G7*Calculation!I7/Calculation!K6</f>
        <v>0.24683057370776484</v>
      </c>
      <c r="J7" s="13">
        <v>0.97690941385435182</v>
      </c>
      <c r="K7" s="13">
        <v>2.2202486678508014E-2</v>
      </c>
      <c r="L7" s="13">
        <f>J7*Calculation!I7/Calculation!K6</f>
        <v>0.98698248332733285</v>
      </c>
      <c r="M7" s="13">
        <f>K7*Calculation!I7/Calculation!K6</f>
        <v>2.2431420075621222E-2</v>
      </c>
      <c r="N7" s="13">
        <v>31.096308631695813</v>
      </c>
      <c r="O7" s="13">
        <v>0.23393069670502717</v>
      </c>
      <c r="P7" s="13">
        <f>N7*Calculation!I7/Calculation!K6</f>
        <v>31.416947651811792</v>
      </c>
      <c r="Q7" s="13">
        <f>O7*Calculation!I7/Calculation!K6</f>
        <v>0.23634279359584898</v>
      </c>
      <c r="R7" s="13">
        <v>5.4022738793540448</v>
      </c>
      <c r="S7" s="13">
        <v>0.1808964587848042</v>
      </c>
      <c r="T7" s="13">
        <f>R7*Calculation!I7/Calculation!K6</f>
        <v>5.45797759080064</v>
      </c>
      <c r="U7" s="13">
        <f>S7*Calculation!I7/Calculation!K6</f>
        <v>0.18276171115202858</v>
      </c>
    </row>
    <row r="8" spans="1:21">
      <c r="A8" s="15" t="s">
        <v>43</v>
      </c>
      <c r="B8" s="15">
        <v>60.05</v>
      </c>
    </row>
    <row r="9" spans="1:21">
      <c r="A9" s="32" t="s">
        <v>67</v>
      </c>
      <c r="B9" s="32">
        <v>74.08</v>
      </c>
      <c r="D9" s="144" t="s">
        <v>4</v>
      </c>
      <c r="E9" s="144" t="s">
        <v>60</v>
      </c>
      <c r="F9" s="117" t="s">
        <v>44</v>
      </c>
      <c r="G9" s="117"/>
      <c r="H9" s="117"/>
      <c r="I9" s="117"/>
      <c r="J9" s="117" t="s">
        <v>66</v>
      </c>
      <c r="K9" s="117"/>
      <c r="L9" s="117"/>
      <c r="M9" s="117"/>
      <c r="N9" s="142" t="s">
        <v>67</v>
      </c>
      <c r="O9" s="115"/>
      <c r="P9" s="115"/>
      <c r="Q9" s="143"/>
    </row>
    <row r="10" spans="1:21">
      <c r="A10" s="32" t="s">
        <v>66</v>
      </c>
      <c r="B10" s="32">
        <v>88.11</v>
      </c>
      <c r="D10" s="144"/>
      <c r="E10" s="144"/>
      <c r="F10" s="20" t="s">
        <v>48</v>
      </c>
      <c r="G10" s="20" t="s">
        <v>23</v>
      </c>
      <c r="H10" s="20" t="s">
        <v>48</v>
      </c>
      <c r="I10" s="20" t="s">
        <v>23</v>
      </c>
      <c r="J10" s="20" t="s">
        <v>48</v>
      </c>
      <c r="K10" s="20" t="s">
        <v>23</v>
      </c>
      <c r="L10" s="20" t="s">
        <v>48</v>
      </c>
      <c r="M10" s="20" t="s">
        <v>23</v>
      </c>
      <c r="N10" s="20" t="s">
        <v>48</v>
      </c>
      <c r="O10" s="20" t="s">
        <v>23</v>
      </c>
      <c r="P10" s="20" t="s">
        <v>48</v>
      </c>
      <c r="Q10" s="20" t="s">
        <v>23</v>
      </c>
    </row>
    <row r="11" spans="1:21">
      <c r="A11" s="15" t="s">
        <v>42</v>
      </c>
      <c r="B11" s="15">
        <v>90.08</v>
      </c>
      <c r="D11" s="16">
        <v>0</v>
      </c>
      <c r="E11" s="65">
        <v>-0.16666666666666666</v>
      </c>
      <c r="F11" s="13">
        <v>0</v>
      </c>
      <c r="G11" s="13">
        <v>0</v>
      </c>
      <c r="H11" s="13">
        <f>F11*Calculation!I3/Calculation!F9</f>
        <v>0</v>
      </c>
      <c r="I11" s="13">
        <f>G11*Calculation!I3/Calculation!F9</f>
        <v>0</v>
      </c>
      <c r="J11" s="13">
        <v>0</v>
      </c>
      <c r="K11" s="13">
        <v>0</v>
      </c>
      <c r="L11" s="13">
        <f>J11*Calculation!I3/Calculation!F9</f>
        <v>0</v>
      </c>
      <c r="M11" s="13">
        <f>K11*Calculation!I3/Calculation!F9</f>
        <v>0</v>
      </c>
      <c r="N11" s="13">
        <v>0</v>
      </c>
      <c r="O11" s="13">
        <v>0</v>
      </c>
      <c r="P11" s="13">
        <f>N11*Calculation!I3/Calculation!F9</f>
        <v>0</v>
      </c>
      <c r="Q11" s="13">
        <f>O11*Calculation!I3/Calculation!F9</f>
        <v>0</v>
      </c>
    </row>
    <row r="12" spans="1:21">
      <c r="A12" s="15" t="s">
        <v>44</v>
      </c>
      <c r="B12" s="15">
        <v>46.07</v>
      </c>
      <c r="D12" s="16">
        <v>0</v>
      </c>
      <c r="E12" s="68">
        <v>0.16666666666666666</v>
      </c>
      <c r="F12" s="13">
        <v>0</v>
      </c>
      <c r="G12" s="13">
        <v>0</v>
      </c>
      <c r="H12" s="13">
        <f>F12*Calculation!I4/Calculation!K3</f>
        <v>0</v>
      </c>
      <c r="I12" s="13">
        <f>G12*Calculation!I4/Calculation!K3</f>
        <v>0</v>
      </c>
      <c r="J12" s="13">
        <v>0</v>
      </c>
      <c r="K12" s="13">
        <v>0</v>
      </c>
      <c r="L12" s="13">
        <f>J12*Calculation!I4/Calculation!K3</f>
        <v>0</v>
      </c>
      <c r="M12" s="13">
        <f>K12*Calculation!I4/Calculation!K3</f>
        <v>0</v>
      </c>
      <c r="N12" s="13">
        <v>0</v>
      </c>
      <c r="O12" s="13">
        <v>0</v>
      </c>
      <c r="P12" s="13">
        <f>N12*Calculation!I4/Calculation!K3</f>
        <v>0</v>
      </c>
      <c r="Q12" s="13">
        <f>O12*Calculation!I4/Calculation!K3</f>
        <v>0</v>
      </c>
    </row>
    <row r="13" spans="1:21">
      <c r="D13" s="16">
        <v>1</v>
      </c>
      <c r="E13" s="68">
        <v>12</v>
      </c>
      <c r="F13" s="13">
        <v>0</v>
      </c>
      <c r="G13" s="13">
        <v>0</v>
      </c>
      <c r="H13" s="13">
        <f>F13*Calculation!I5/Calculation!K4</f>
        <v>0</v>
      </c>
      <c r="I13" s="13">
        <f>G13*Calculation!I5/Calculation!K4</f>
        <v>0</v>
      </c>
      <c r="J13" s="13">
        <v>14.534861725872959</v>
      </c>
      <c r="K13" s="13">
        <v>0.24057977672734324</v>
      </c>
      <c r="L13" s="13">
        <f>J13*Calculation!I5/Calculation!K4</f>
        <v>14.633026207313918</v>
      </c>
      <c r="M13" s="13">
        <f>K13*Calculation!I5/Calculation!K4</f>
        <v>0.24220458675120349</v>
      </c>
      <c r="N13" s="13">
        <v>0</v>
      </c>
      <c r="O13" s="13">
        <v>0</v>
      </c>
      <c r="P13" s="13">
        <f>N13*Calculation!I5/Calculation!K4</f>
        <v>0</v>
      </c>
      <c r="Q13" s="13">
        <f>O13*Calculation!I5/Calculation!K4</f>
        <v>0</v>
      </c>
    </row>
    <row r="14" spans="1:21">
      <c r="D14" s="16">
        <v>2</v>
      </c>
      <c r="E14" s="68">
        <v>24</v>
      </c>
      <c r="F14" s="13">
        <v>0</v>
      </c>
      <c r="G14" s="13">
        <v>0</v>
      </c>
      <c r="H14" s="13">
        <f>F14*Calculation!I6/Calculation!K5</f>
        <v>0</v>
      </c>
      <c r="I14" s="13">
        <f>G14*Calculation!I6/Calculation!K5</f>
        <v>0</v>
      </c>
      <c r="J14" s="13">
        <v>24.310520939734424</v>
      </c>
      <c r="K14" s="13">
        <v>0.44711645905327946</v>
      </c>
      <c r="L14" s="13">
        <f>J14*Calculation!I6/Calculation!K5</f>
        <v>24.561190615834832</v>
      </c>
      <c r="M14" s="13">
        <f>K14*Calculation!I6/Calculation!K5</f>
        <v>0.45172674849330785</v>
      </c>
      <c r="N14" s="13">
        <v>0</v>
      </c>
      <c r="O14" s="13">
        <v>0</v>
      </c>
      <c r="P14" s="13">
        <f>N14*Calculation!I6/Calculation!K5</f>
        <v>0</v>
      </c>
      <c r="Q14" s="13">
        <f>O14*Calculation!I6/Calculation!K5</f>
        <v>0</v>
      </c>
    </row>
    <row r="15" spans="1:21">
      <c r="D15" s="16">
        <v>3</v>
      </c>
      <c r="E15" s="68">
        <v>48</v>
      </c>
      <c r="F15" s="13">
        <v>0</v>
      </c>
      <c r="G15" s="13">
        <v>0</v>
      </c>
      <c r="H15" s="13">
        <f>F15*Calculation!I7/Calculation!K6</f>
        <v>0</v>
      </c>
      <c r="I15" s="13">
        <f>G15*Calculation!I7/Calculation!K6</f>
        <v>0</v>
      </c>
      <c r="J15" s="13">
        <v>24.95365641433057</v>
      </c>
      <c r="K15" s="13">
        <v>0.13682246676521892</v>
      </c>
      <c r="L15" s="13">
        <f>J15*Calculation!I7/Calculation!K6</f>
        <v>25.210957563343687</v>
      </c>
      <c r="M15" s="13">
        <f>K15*Calculation!I7/Calculation!K6</f>
        <v>0.13823326513981232</v>
      </c>
      <c r="N15" s="13">
        <v>0</v>
      </c>
      <c r="O15" s="13">
        <v>0</v>
      </c>
      <c r="P15" s="13">
        <f>N15*Calculation!I7/Calculation!K6</f>
        <v>0</v>
      </c>
      <c r="Q15" s="13">
        <f>O15*Calculation!I7/Calculation!K6</f>
        <v>0</v>
      </c>
    </row>
  </sheetData>
  <mergeCells count="14">
    <mergeCell ref="R1:U1"/>
    <mergeCell ref="D1:D2"/>
    <mergeCell ref="E1:E2"/>
    <mergeCell ref="F1:I1"/>
    <mergeCell ref="J1:M1"/>
    <mergeCell ref="F9:I9"/>
    <mergeCell ref="J9:M9"/>
    <mergeCell ref="N9:Q9"/>
    <mergeCell ref="N1:Q1"/>
    <mergeCell ref="A1:B1"/>
    <mergeCell ref="A2:B2"/>
    <mergeCell ref="A3:A4"/>
    <mergeCell ref="D9:D10"/>
    <mergeCell ref="E9:E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topLeftCell="A4"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45" t="s">
        <v>144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5</v>
      </c>
      <c r="C6" s="29" t="s">
        <v>19</v>
      </c>
      <c r="D6" s="150"/>
      <c r="E6" s="150"/>
      <c r="F6" s="150"/>
      <c r="G6" s="152"/>
      <c r="H6" s="152"/>
    </row>
    <row r="7" spans="1:8">
      <c r="A7" s="16">
        <v>0</v>
      </c>
      <c r="B7" s="65">
        <v>-0.16666666666666666</v>
      </c>
      <c r="C7" s="16">
        <v>2</v>
      </c>
      <c r="D7" s="19">
        <v>4.3689999999999998</v>
      </c>
      <c r="E7" s="16">
        <v>4.359</v>
      </c>
      <c r="F7" s="16">
        <v>4.3440000000000003</v>
      </c>
      <c r="G7" s="19">
        <f>(C7*1000*AVERAGE(D7:F7)/$B$2)</f>
        <v>48.37181764357608</v>
      </c>
      <c r="H7" s="19">
        <f>(C7*1000*STDEV(D7:F7))/$B$2</f>
        <v>0.13968758206169679</v>
      </c>
    </row>
    <row r="8" spans="1:8">
      <c r="A8" s="16">
        <v>0</v>
      </c>
      <c r="B8" s="68">
        <v>0.16666666666666666</v>
      </c>
      <c r="C8" s="16">
        <v>2</v>
      </c>
      <c r="D8" s="16">
        <v>4.266</v>
      </c>
      <c r="E8" s="19">
        <v>4.26</v>
      </c>
      <c r="F8" s="16">
        <v>4.3230000000000004</v>
      </c>
      <c r="G8" s="19">
        <f t="shared" ref="G8:G11" si="0">(C8*1000*AVERAGE(D8:F8))/$B$2</f>
        <v>47.546625222024865</v>
      </c>
      <c r="H8" s="19">
        <f t="shared" ref="H8:H11" si="1">(C8*1000*STDEV(D8:F8))/$B$2</f>
        <v>0.38599774979382456</v>
      </c>
    </row>
    <row r="9" spans="1:8">
      <c r="A9" s="16">
        <v>1</v>
      </c>
      <c r="B9" s="68">
        <v>12</v>
      </c>
      <c r="C9" s="16">
        <v>2</v>
      </c>
      <c r="D9" s="19">
        <v>3.3340000000000001</v>
      </c>
      <c r="E9" s="16">
        <v>3.3919999999999999</v>
      </c>
      <c r="F9" s="19">
        <v>3.3889999999999998</v>
      </c>
      <c r="G9" s="19">
        <f t="shared" si="0"/>
        <v>37.429692125518059</v>
      </c>
      <c r="H9" s="19">
        <f t="shared" si="1"/>
        <v>0.36250843400017585</v>
      </c>
    </row>
    <row r="10" spans="1:8">
      <c r="A10" s="16">
        <v>2</v>
      </c>
      <c r="B10" s="68">
        <v>24</v>
      </c>
      <c r="C10" s="16">
        <v>2</v>
      </c>
      <c r="D10" s="16">
        <v>2.6989999999999998</v>
      </c>
      <c r="E10" s="16">
        <v>2.766</v>
      </c>
      <c r="F10" s="16">
        <v>2.7480000000000002</v>
      </c>
      <c r="G10" s="19">
        <f t="shared" si="0"/>
        <v>30.391503848431029</v>
      </c>
      <c r="H10" s="19">
        <f t="shared" si="1"/>
        <v>0.38493204442002354</v>
      </c>
    </row>
    <row r="11" spans="1:8">
      <c r="A11" s="16">
        <v>3</v>
      </c>
      <c r="B11" s="68">
        <v>48</v>
      </c>
      <c r="C11" s="16">
        <v>2</v>
      </c>
      <c r="D11" s="16">
        <v>2.7250000000000001</v>
      </c>
      <c r="E11" s="16">
        <v>2.7480000000000002</v>
      </c>
      <c r="F11" s="16">
        <v>2.7690000000000001</v>
      </c>
      <c r="G11" s="19">
        <f t="shared" si="0"/>
        <v>30.49881586737715</v>
      </c>
      <c r="H11" s="19">
        <f t="shared" si="1"/>
        <v>0.24431143931681587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45" t="s">
        <v>65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56">
        <v>0</v>
      </c>
      <c r="E7" s="56">
        <v>0</v>
      </c>
      <c r="F7" s="56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70">
        <v>0</v>
      </c>
      <c r="B8" s="68">
        <v>0.16666666666666666</v>
      </c>
      <c r="C8" s="16">
        <v>2</v>
      </c>
      <c r="D8" s="56">
        <v>0</v>
      </c>
      <c r="E8" s="56">
        <v>0</v>
      </c>
      <c r="F8" s="56">
        <v>0</v>
      </c>
      <c r="G8" s="16">
        <f>(C8*1000*AVERAGE(D8:F8))/$B$2</f>
        <v>0</v>
      </c>
      <c r="H8" s="19">
        <f t="shared" si="0"/>
        <v>0</v>
      </c>
    </row>
    <row r="9" spans="1:8">
      <c r="A9" s="70">
        <v>1</v>
      </c>
      <c r="B9" s="68">
        <v>12</v>
      </c>
      <c r="C9" s="16">
        <v>2</v>
      </c>
      <c r="D9" s="56">
        <v>1.4E-2</v>
      </c>
      <c r="E9" s="56">
        <v>1.2E-2</v>
      </c>
      <c r="F9" s="56">
        <v>1.4E-2</v>
      </c>
      <c r="G9" s="16">
        <f t="shared" ref="G9:G10" si="1">(C9*1000*AVERAGE(D9:F9))/$B$2</f>
        <v>0.57933231950177422</v>
      </c>
      <c r="H9" s="19">
        <f t="shared" si="0"/>
        <v>5.0171650592189948E-2</v>
      </c>
    </row>
    <row r="10" spans="1:8">
      <c r="A10" s="70">
        <v>2</v>
      </c>
      <c r="B10" s="68">
        <v>24</v>
      </c>
      <c r="C10" s="16">
        <v>2</v>
      </c>
      <c r="D10" s="56">
        <v>3.6999999999999998E-2</v>
      </c>
      <c r="E10" s="56">
        <v>0.04</v>
      </c>
      <c r="F10" s="56">
        <v>0.04</v>
      </c>
      <c r="G10" s="16">
        <f t="shared" si="1"/>
        <v>1.6945470345426894</v>
      </c>
      <c r="H10" s="19">
        <f t="shared" ref="H10:H11" si="2">(C10*1000*STDEV(D10:F10))/$B$2</f>
        <v>7.5257475888284991E-2</v>
      </c>
    </row>
    <row r="11" spans="1:8">
      <c r="A11" s="70">
        <v>3</v>
      </c>
      <c r="B11" s="68">
        <v>48</v>
      </c>
      <c r="C11" s="16">
        <v>2</v>
      </c>
      <c r="D11" s="56">
        <v>0.121</v>
      </c>
      <c r="E11" s="56">
        <v>0.123</v>
      </c>
      <c r="F11" s="56">
        <v>0.129</v>
      </c>
      <c r="G11" s="16">
        <f t="shared" ref="G11" si="3">(C11*1000*AVERAGE(D11:F11))/$B$2</f>
        <v>5.4022738793540448</v>
      </c>
      <c r="H11" s="19">
        <f t="shared" si="2"/>
        <v>0.1808964587848042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5" t="s">
        <v>43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19">
        <v>1.5</v>
      </c>
      <c r="E7" s="19">
        <v>1.5009999999999999</v>
      </c>
      <c r="F7" s="19">
        <v>1.496</v>
      </c>
      <c r="G7" s="16">
        <f>(C7*1000*AVERAGE(D7:F7))/$B$2</f>
        <v>49.925062447960038</v>
      </c>
      <c r="H7" s="19">
        <f>(C7*1000*STDEV(D7:F7))/$B$2</f>
        <v>8.8118278470093278E-2</v>
      </c>
    </row>
    <row r="8" spans="1:8">
      <c r="A8" s="70">
        <v>0</v>
      </c>
      <c r="B8" s="68">
        <v>0.16666666666666666</v>
      </c>
      <c r="C8" s="16">
        <v>2</v>
      </c>
      <c r="D8" s="19">
        <v>1.474</v>
      </c>
      <c r="E8" s="19">
        <v>1.4830000000000001</v>
      </c>
      <c r="F8" s="19">
        <v>1.5089999999999999</v>
      </c>
      <c r="G8" s="16">
        <f t="shared" ref="G8:G11" si="0">(C8*1000*AVERAGE(D8:F8))/$B$2</f>
        <v>49.580904801554247</v>
      </c>
      <c r="H8" s="19">
        <f t="shared" ref="H8:H11" si="1">(C8*1000*STDEV(D8:F8))/$B$2</f>
        <v>0.60533137408672943</v>
      </c>
    </row>
    <row r="9" spans="1:8">
      <c r="A9" s="70">
        <v>1</v>
      </c>
      <c r="B9" s="68">
        <v>12</v>
      </c>
      <c r="C9" s="16">
        <v>2</v>
      </c>
      <c r="D9" s="19">
        <v>1.141</v>
      </c>
      <c r="E9" s="19">
        <v>1.161</v>
      </c>
      <c r="F9" s="19">
        <v>1.161</v>
      </c>
      <c r="G9" s="16">
        <f t="shared" si="0"/>
        <v>38.44573966139329</v>
      </c>
      <c r="H9" s="19">
        <f t="shared" si="1"/>
        <v>0.38457969637943468</v>
      </c>
    </row>
    <row r="10" spans="1:8">
      <c r="A10" s="70">
        <v>2</v>
      </c>
      <c r="B10" s="68">
        <v>24</v>
      </c>
      <c r="C10" s="16">
        <v>2</v>
      </c>
      <c r="D10" s="19">
        <v>0.91100000000000003</v>
      </c>
      <c r="E10" s="19">
        <v>0.92800000000000005</v>
      </c>
      <c r="F10" s="19">
        <v>0.93200000000000005</v>
      </c>
      <c r="G10" s="16">
        <f t="shared" si="0"/>
        <v>30.763252844851515</v>
      </c>
      <c r="H10" s="19">
        <f t="shared" si="1"/>
        <v>0.37137338181910073</v>
      </c>
    </row>
    <row r="11" spans="1:8">
      <c r="A11" s="70">
        <v>3</v>
      </c>
      <c r="B11" s="68">
        <v>48</v>
      </c>
      <c r="C11" s="16">
        <v>2</v>
      </c>
      <c r="D11" s="19">
        <v>0.92700000000000005</v>
      </c>
      <c r="E11" s="19">
        <v>0.93300000000000005</v>
      </c>
      <c r="F11" s="19">
        <v>0.94099999999999995</v>
      </c>
      <c r="G11" s="16">
        <f t="shared" si="0"/>
        <v>31.096308631695813</v>
      </c>
      <c r="H11" s="19">
        <f t="shared" si="1"/>
        <v>0.23393069670502717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workbookViewId="0">
      <selection activeCell="B7" sqref="B7:B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45" t="s">
        <v>67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0">
        <v>0</v>
      </c>
      <c r="B8" s="68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1" si="0">(C8*1000*AVERAGE(D8:F8))/$B$2</f>
        <v>0</v>
      </c>
      <c r="H8" s="19">
        <f t="shared" ref="H8:H11" si="1">(C8*1000*STDEV(D8:F8))/$B$2</f>
        <v>0</v>
      </c>
    </row>
    <row r="9" spans="1:8">
      <c r="A9" s="70">
        <v>1</v>
      </c>
      <c r="B9" s="68">
        <v>12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0">
        <v>2</v>
      </c>
      <c r="B10" s="68">
        <v>24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0">
        <v>3</v>
      </c>
      <c r="B11" s="68">
        <v>48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1"/>
  <sheetViews>
    <sheetView topLeftCell="A3"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45" t="s">
        <v>66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78">
        <v>0</v>
      </c>
      <c r="E7" s="79">
        <v>0</v>
      </c>
      <c r="F7" s="79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0">
        <v>0</v>
      </c>
      <c r="B8" s="68">
        <v>0.16666666666666666</v>
      </c>
      <c r="C8" s="16">
        <v>2</v>
      </c>
      <c r="D8" s="78">
        <v>0</v>
      </c>
      <c r="E8" s="79">
        <v>0</v>
      </c>
      <c r="F8" s="79">
        <v>0</v>
      </c>
      <c r="G8" s="16">
        <f>(C8*1000*AVERAGE(D8:F8))/$B$2</f>
        <v>0</v>
      </c>
      <c r="H8" s="19">
        <f t="shared" ref="H8:H11" si="0">(C8*1000*STDEV(D8:F8))/$B$2</f>
        <v>0</v>
      </c>
    </row>
    <row r="9" spans="1:8">
      <c r="A9" s="70">
        <v>1</v>
      </c>
      <c r="B9" s="68">
        <v>12</v>
      </c>
      <c r="C9" s="16">
        <v>2</v>
      </c>
      <c r="D9" s="57">
        <v>0.629</v>
      </c>
      <c r="E9" s="58">
        <v>0.64200000000000002</v>
      </c>
      <c r="F9" s="58">
        <v>0.65</v>
      </c>
      <c r="G9" s="16">
        <f t="shared" ref="G9:G11" si="1">(C9*1000*AVERAGE(D9:F9))/$B$2</f>
        <v>14.534861725872959</v>
      </c>
      <c r="H9" s="19">
        <f t="shared" si="0"/>
        <v>0.24057977672734324</v>
      </c>
    </row>
    <row r="10" spans="1:8">
      <c r="A10" s="70">
        <v>2</v>
      </c>
      <c r="B10" s="68">
        <v>24</v>
      </c>
      <c r="C10" s="16">
        <v>2</v>
      </c>
      <c r="D10" s="43">
        <v>1.0489999999999999</v>
      </c>
      <c r="E10" s="43">
        <v>1.087</v>
      </c>
      <c r="F10" s="43">
        <v>1.077</v>
      </c>
      <c r="G10" s="16">
        <f t="shared" si="1"/>
        <v>24.310520939734424</v>
      </c>
      <c r="H10" s="19">
        <f t="shared" si="0"/>
        <v>0.44711645905327946</v>
      </c>
    </row>
    <row r="11" spans="1:8">
      <c r="A11" s="70">
        <v>3</v>
      </c>
      <c r="B11" s="68">
        <v>48</v>
      </c>
      <c r="C11" s="16">
        <v>2</v>
      </c>
      <c r="D11" s="43">
        <v>1.093</v>
      </c>
      <c r="E11" s="56">
        <v>1.1000000000000001</v>
      </c>
      <c r="F11" s="43">
        <v>1.105</v>
      </c>
      <c r="G11" s="16">
        <f t="shared" si="1"/>
        <v>24.95365641433057</v>
      </c>
      <c r="H11" s="19">
        <f t="shared" si="0"/>
        <v>0.13682246676521892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7" sqref="G7:H1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5" t="s">
        <v>42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42">
        <v>5.0000000000000001E-3</v>
      </c>
      <c r="E7" s="42">
        <v>5.0000000000000001E-3</v>
      </c>
      <c r="F7" s="42">
        <v>4.0000000000000001E-3</v>
      </c>
      <c r="G7" s="16">
        <f>(C7*1000*AVERAGE(D7:F7))/$B$2</f>
        <v>0.10361160449970397</v>
      </c>
      <c r="H7" s="19">
        <f>(C7*1000*STDEV(D7:F7))/$B$2</f>
        <v>1.2818611660515672E-2</v>
      </c>
    </row>
    <row r="8" spans="1:8">
      <c r="A8" s="70">
        <v>0</v>
      </c>
      <c r="B8" s="68">
        <v>0.16666666666666666</v>
      </c>
      <c r="C8" s="16">
        <v>2</v>
      </c>
      <c r="D8" s="42">
        <v>6.0000000000000001E-3</v>
      </c>
      <c r="E8" s="42">
        <v>7.0000000000000001E-3</v>
      </c>
      <c r="F8" s="42">
        <v>7.0000000000000001E-3</v>
      </c>
      <c r="G8" s="16">
        <f t="shared" ref="G8:G11" si="0">(C8*1000*AVERAGE(D8:F8))/$B$2</f>
        <v>0.14801657785671996</v>
      </c>
      <c r="H8" s="19">
        <f t="shared" ref="H8:H11" si="1">(C8*1000*STDEV(D8:F8))/$B$2</f>
        <v>1.2818611660515672E-2</v>
      </c>
    </row>
    <row r="9" spans="1:8">
      <c r="A9" s="70">
        <v>1</v>
      </c>
      <c r="B9" s="68">
        <v>12</v>
      </c>
      <c r="C9" s="16">
        <v>2</v>
      </c>
      <c r="D9" s="42">
        <v>1.2999999999999999E-2</v>
      </c>
      <c r="E9" s="42">
        <v>1.4E-2</v>
      </c>
      <c r="F9" s="42">
        <v>1.6E-2</v>
      </c>
      <c r="G9" s="16">
        <f t="shared" si="0"/>
        <v>0.3182356423919479</v>
      </c>
      <c r="H9" s="19">
        <f t="shared" si="1"/>
        <v>3.3914858606837191E-2</v>
      </c>
    </row>
    <row r="10" spans="1:8">
      <c r="A10" s="70">
        <v>2</v>
      </c>
      <c r="B10" s="68">
        <v>24</v>
      </c>
      <c r="C10" s="16">
        <v>2</v>
      </c>
      <c r="D10" s="56">
        <v>0.05</v>
      </c>
      <c r="E10" s="56">
        <v>4.9000000000000002E-2</v>
      </c>
      <c r="F10" s="56">
        <v>5.1999999999999998E-2</v>
      </c>
      <c r="G10" s="16">
        <f t="shared" si="0"/>
        <v>1.1175251628182357</v>
      </c>
      <c r="H10" s="19">
        <f t="shared" si="1"/>
        <v>3.3914858606837128E-2</v>
      </c>
    </row>
    <row r="11" spans="1:8">
      <c r="A11" s="70">
        <v>3</v>
      </c>
      <c r="B11" s="68">
        <v>48</v>
      </c>
      <c r="C11" s="16">
        <v>2</v>
      </c>
      <c r="D11" s="56">
        <v>4.2999999999999997E-2</v>
      </c>
      <c r="E11" s="56">
        <v>4.4999999999999998E-2</v>
      </c>
      <c r="F11" s="56">
        <v>4.3999999999999997E-2</v>
      </c>
      <c r="G11" s="16">
        <f t="shared" si="0"/>
        <v>0.97690941385435182</v>
      </c>
      <c r="H11" s="19">
        <f t="shared" si="1"/>
        <v>2.2202486678508014E-2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5" t="s">
        <v>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69">
        <v>0</v>
      </c>
      <c r="B7" s="65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0">
        <v>0</v>
      </c>
      <c r="B8" s="68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1" si="0">(C8*1000*AVERAGE(D8:F8))/$B$2</f>
        <v>0</v>
      </c>
      <c r="H8" s="19">
        <f t="shared" ref="H8:H11" si="1">(C8*1000*STDEV(D8:F8))/$B$2</f>
        <v>0</v>
      </c>
    </row>
    <row r="9" spans="1:8">
      <c r="A9" s="70">
        <v>1</v>
      </c>
      <c r="B9" s="68">
        <v>12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0">
        <v>2</v>
      </c>
      <c r="B10" s="68">
        <v>24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0">
        <v>3</v>
      </c>
      <c r="B11" s="68">
        <v>48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27.66406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74">
        <f>Metabolites!H4-Metabolites!H7</f>
        <v>16.793588452833031</v>
      </c>
      <c r="C2" s="74">
        <f>Metabolites!I4+Metabolites!I7</f>
        <v>0.63331751011218662</v>
      </c>
    </row>
    <row r="3" spans="1:5">
      <c r="A3" s="31" t="s">
        <v>124</v>
      </c>
      <c r="B3" s="74">
        <f>Metabolites!P4-Metabolites!P7</f>
        <v>18.226792528402481</v>
      </c>
      <c r="C3" s="74">
        <f>Metabolites!Q4+Metabolites!Q7</f>
        <v>0.84244132242204461</v>
      </c>
    </row>
    <row r="4" spans="1:5">
      <c r="A4" s="31" t="s">
        <v>125</v>
      </c>
      <c r="B4" s="74">
        <f>Metabolites!T7-Metabolites!T4</f>
        <v>5.45797759080064</v>
      </c>
      <c r="C4" s="74">
        <f>Metabolites!U4+Metabolites!U7</f>
        <v>0.18276171115202858</v>
      </c>
    </row>
    <row r="5" spans="1:5">
      <c r="A5" s="31" t="s">
        <v>126</v>
      </c>
      <c r="B5" s="74">
        <f>Metabolites!L7-Metabolites!L4</f>
        <v>0.83877831958941906</v>
      </c>
      <c r="C5" s="74">
        <f>Metabolites!M7+Metabolites!M4</f>
        <v>3.526627714998741E-2</v>
      </c>
    </row>
    <row r="6" spans="1:5">
      <c r="A6" s="31" t="s">
        <v>127</v>
      </c>
      <c r="B6" s="74">
        <f>Metabolites!L15-Metabolites!L12</f>
        <v>25.210957563343687</v>
      </c>
      <c r="C6" s="74">
        <f>Metabolites!M15+Metabolites!M12</f>
        <v>0.13823326513981232</v>
      </c>
    </row>
    <row r="7" spans="1:5">
      <c r="A7" s="31" t="s">
        <v>80</v>
      </c>
      <c r="B7" s="74">
        <f>'H2'!G101</f>
        <v>9.1380555742213813E-5</v>
      </c>
      <c r="C7" s="74"/>
    </row>
    <row r="8" spans="1:5">
      <c r="A8" s="31" t="s">
        <v>81</v>
      </c>
      <c r="B8" s="74">
        <f>'CO2'!G101</f>
        <v>23.565221955235728</v>
      </c>
      <c r="C8" s="74"/>
    </row>
    <row r="9" spans="1:5">
      <c r="A9" s="31" t="s">
        <v>128</v>
      </c>
      <c r="B9" s="74" t="e">
        <f>Calculation!#REF!*1.5/1000</f>
        <v>#REF!</v>
      </c>
      <c r="C9" s="74"/>
    </row>
    <row r="10" spans="1:5" ht="16">
      <c r="A10" s="31" t="s">
        <v>129</v>
      </c>
      <c r="B10" s="74" t="e">
        <f>Calculation!#REF!*1.5/1000</f>
        <v>#REF!</v>
      </c>
      <c r="C10" s="74"/>
    </row>
    <row r="12" spans="1:5">
      <c r="A12" s="31" t="s">
        <v>82</v>
      </c>
      <c r="B12" s="71">
        <f>((4*$B$6)+(3*$B$5)+($B$4)+(B8))/((6*$B$2)+(2*$B$3))</f>
        <v>0.96478703539055533</v>
      </c>
    </row>
    <row r="14" spans="1:5">
      <c r="A14" s="61"/>
      <c r="B14" s="61"/>
      <c r="C14" s="61" t="s">
        <v>131</v>
      </c>
      <c r="D14" s="61" t="s">
        <v>132</v>
      </c>
    </row>
    <row r="15" spans="1:5">
      <c r="A15" s="61" t="s">
        <v>167</v>
      </c>
      <c r="B15" s="61" t="s">
        <v>133</v>
      </c>
      <c r="C15" s="75">
        <f>B2</f>
        <v>16.793588452833031</v>
      </c>
      <c r="D15" s="75">
        <f>B2</f>
        <v>16.793588452833031</v>
      </c>
      <c r="E15" s="61"/>
    </row>
    <row r="16" spans="1:5">
      <c r="A16" s="61" t="s">
        <v>159</v>
      </c>
      <c r="B16" s="61" t="s">
        <v>134</v>
      </c>
      <c r="C16" s="75">
        <f>2*C15</f>
        <v>33.587176905666063</v>
      </c>
      <c r="D16" s="75">
        <f>2*B2</f>
        <v>33.587176905666063</v>
      </c>
      <c r="E16" s="61"/>
    </row>
    <row r="17" spans="1:5">
      <c r="A17" s="61" t="s">
        <v>160</v>
      </c>
      <c r="B17" s="61" t="s">
        <v>135</v>
      </c>
      <c r="C17" s="75">
        <f>B5</f>
        <v>0.83877831958941906</v>
      </c>
      <c r="D17" s="75">
        <f>B5</f>
        <v>0.83877831958941906</v>
      </c>
      <c r="E17" s="61"/>
    </row>
    <row r="18" spans="1:5">
      <c r="A18" s="61" t="s">
        <v>161</v>
      </c>
      <c r="B18" s="61" t="s">
        <v>136</v>
      </c>
      <c r="C18" s="75">
        <f>B4</f>
        <v>5.45797759080064</v>
      </c>
      <c r="D18" s="75">
        <f>B4</f>
        <v>5.45797759080064</v>
      </c>
      <c r="E18" s="61"/>
    </row>
    <row r="19" spans="1:5">
      <c r="A19" s="61" t="s">
        <v>162</v>
      </c>
      <c r="B19" s="61" t="s">
        <v>137</v>
      </c>
      <c r="C19" s="76">
        <f>C16-C17-C18</f>
        <v>27.290420995276008</v>
      </c>
      <c r="D19" s="76">
        <f>B8</f>
        <v>23.565221955235728</v>
      </c>
      <c r="E19" s="61"/>
    </row>
    <row r="20" spans="1:5">
      <c r="A20" s="61" t="s">
        <v>163</v>
      </c>
      <c r="B20" s="61" t="s">
        <v>138</v>
      </c>
      <c r="C20" s="75">
        <f>B3</f>
        <v>18.226792528402481</v>
      </c>
      <c r="D20" s="75">
        <f>B3</f>
        <v>18.226792528402481</v>
      </c>
      <c r="E20" s="61"/>
    </row>
    <row r="21" spans="1:5">
      <c r="A21" s="61" t="s">
        <v>164</v>
      </c>
      <c r="B21" s="61" t="s">
        <v>140</v>
      </c>
      <c r="C21" s="75">
        <f>C16-C17+C20</f>
        <v>50.975191114479131</v>
      </c>
      <c r="D21" s="75">
        <f>B6</f>
        <v>25.210957563343687</v>
      </c>
      <c r="E21" s="61"/>
    </row>
    <row r="22" spans="1:5">
      <c r="A22" s="61" t="s">
        <v>165</v>
      </c>
      <c r="B22" s="61" t="s">
        <v>141</v>
      </c>
      <c r="C22" s="76">
        <f>C21/2</f>
        <v>25.487595557239565</v>
      </c>
      <c r="D22" s="76">
        <f>B6</f>
        <v>25.210957563343687</v>
      </c>
      <c r="E22" s="61"/>
    </row>
    <row r="23" spans="1:5">
      <c r="A23" s="61" t="s">
        <v>166</v>
      </c>
      <c r="B23" s="61"/>
      <c r="E23" s="61"/>
    </row>
    <row r="24" spans="1:5">
      <c r="A24" s="61"/>
      <c r="B24" s="61"/>
      <c r="C24" s="62"/>
      <c r="D24" s="62"/>
      <c r="E24" s="61"/>
    </row>
    <row r="25" spans="1:5">
      <c r="A25" s="61"/>
      <c r="B25" s="61"/>
      <c r="C25" s="61"/>
      <c r="D25" s="61"/>
      <c r="E25" s="61"/>
    </row>
    <row r="26" spans="1:5">
      <c r="A26" s="61"/>
      <c r="B26" s="61"/>
      <c r="C26" s="61"/>
      <c r="D26" s="61"/>
      <c r="E26" s="61"/>
    </row>
    <row r="27" spans="1:5">
      <c r="A27" s="61"/>
      <c r="B27" s="61"/>
      <c r="C27" s="61"/>
      <c r="D27" s="61"/>
      <c r="E27" s="61"/>
    </row>
    <row r="28" spans="1:5">
      <c r="C28" s="61"/>
      <c r="D28" s="61"/>
      <c r="E28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D7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8" t="s">
        <v>4</v>
      </c>
      <c r="B1" s="118" t="s">
        <v>118</v>
      </c>
      <c r="C1" s="118" t="s">
        <v>118</v>
      </c>
      <c r="D1" s="118" t="s">
        <v>5</v>
      </c>
      <c r="E1" s="4" t="s">
        <v>7</v>
      </c>
      <c r="F1" s="4" t="s">
        <v>9</v>
      </c>
      <c r="G1" s="117" t="s">
        <v>11</v>
      </c>
      <c r="H1" s="117" t="s">
        <v>12</v>
      </c>
      <c r="I1" s="4" t="s">
        <v>13</v>
      </c>
      <c r="J1" s="4" t="s">
        <v>16</v>
      </c>
      <c r="K1" s="4" t="s">
        <v>16</v>
      </c>
    </row>
    <row r="2" spans="1:11">
      <c r="A2" s="119"/>
      <c r="B2" s="119"/>
      <c r="C2" s="119"/>
      <c r="D2" s="119"/>
      <c r="E2" s="5" t="s">
        <v>8</v>
      </c>
      <c r="F2" s="5" t="s">
        <v>10</v>
      </c>
      <c r="G2" s="117"/>
      <c r="H2" s="117"/>
      <c r="I2" s="5" t="s">
        <v>14</v>
      </c>
      <c r="J2" s="5" t="s">
        <v>17</v>
      </c>
      <c r="K2" s="5" t="s">
        <v>142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60</v>
      </c>
      <c r="F3" s="1">
        <f>E3</f>
        <v>60</v>
      </c>
      <c r="G3" s="1">
        <v>0</v>
      </c>
      <c r="H3" s="1">
        <v>2</v>
      </c>
      <c r="I3" s="1">
        <f>$F$9+G3+H3</f>
        <v>1502</v>
      </c>
      <c r="J3" s="13">
        <f>F3*1500/I3</f>
        <v>59.920106524633823</v>
      </c>
      <c r="K3" s="13">
        <f>$F$10-J3</f>
        <v>1515.0798934753661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E4" s="1">
        <v>57</v>
      </c>
      <c r="F4" s="1">
        <f>E4+F3</f>
        <v>117</v>
      </c>
      <c r="G4" s="40">
        <v>0</v>
      </c>
      <c r="H4" s="1">
        <v>2</v>
      </c>
      <c r="I4" s="1">
        <f>$F$10-F3+G4+H4</f>
        <v>1517</v>
      </c>
      <c r="J4" s="13">
        <f>E4*K3/I4</f>
        <v>56.927853611137692</v>
      </c>
      <c r="K4" s="13">
        <f>K3-J4</f>
        <v>1458.1520398642285</v>
      </c>
    </row>
    <row r="5" spans="1:11">
      <c r="A5" s="1">
        <v>1</v>
      </c>
      <c r="B5" s="32">
        <v>710</v>
      </c>
      <c r="C5" s="32">
        <f>C4+B5</f>
        <v>720</v>
      </c>
      <c r="D5" s="13">
        <f t="shared" si="0"/>
        <v>12</v>
      </c>
      <c r="E5" s="1">
        <v>53</v>
      </c>
      <c r="F5" s="1">
        <f t="shared" ref="F5:F7" si="1">E5+F4</f>
        <v>170</v>
      </c>
      <c r="G5" s="40">
        <v>8</v>
      </c>
      <c r="H5" s="1">
        <v>2</v>
      </c>
      <c r="I5" s="40">
        <f>$F$10-F4+G5+H5</f>
        <v>1468</v>
      </c>
      <c r="J5" s="13">
        <f t="shared" ref="J5" si="2">E5*K4/I5</f>
        <v>52.64445375531615</v>
      </c>
      <c r="K5" s="13">
        <f>K4-J5</f>
        <v>1405.5075861089124</v>
      </c>
    </row>
    <row r="6" spans="1:11">
      <c r="A6" s="1">
        <v>2</v>
      </c>
      <c r="B6" s="32">
        <v>720</v>
      </c>
      <c r="C6" s="32">
        <f>C5+B6</f>
        <v>1440</v>
      </c>
      <c r="D6" s="13">
        <f t="shared" si="0"/>
        <v>24</v>
      </c>
      <c r="E6" s="1">
        <v>60</v>
      </c>
      <c r="F6" s="1">
        <f t="shared" si="1"/>
        <v>230</v>
      </c>
      <c r="G6" s="40">
        <v>13</v>
      </c>
      <c r="H6" s="23">
        <v>2</v>
      </c>
      <c r="I6" s="40">
        <f>$F$10-F5+G6+H6</f>
        <v>1420</v>
      </c>
      <c r="J6" s="13">
        <f>E6*K5/I6</f>
        <v>59.387644483475171</v>
      </c>
      <c r="K6" s="13">
        <f t="shared" ref="K6" si="3">K5-J6</f>
        <v>1346.1199416254371</v>
      </c>
    </row>
    <row r="7" spans="1:11">
      <c r="A7" s="1">
        <v>3</v>
      </c>
      <c r="B7" s="32">
        <v>1440</v>
      </c>
      <c r="C7" s="32">
        <f>C6+B7</f>
        <v>2880</v>
      </c>
      <c r="D7" s="13">
        <f t="shared" si="0"/>
        <v>48</v>
      </c>
      <c r="E7" s="1">
        <v>54</v>
      </c>
      <c r="F7" s="1">
        <f t="shared" si="1"/>
        <v>284</v>
      </c>
      <c r="G7" s="40">
        <v>13</v>
      </c>
      <c r="H7" s="40">
        <v>2</v>
      </c>
      <c r="I7" s="40">
        <f>$F$10-F6+G7+H7</f>
        <v>1360</v>
      </c>
      <c r="J7" s="13">
        <f>E7*K6/I7</f>
        <v>53.448880035127651</v>
      </c>
      <c r="K7" s="13">
        <f>K6-J7</f>
        <v>1292.6710615903096</v>
      </c>
    </row>
    <row r="9" spans="1:11">
      <c r="A9" s="114" t="s">
        <v>15</v>
      </c>
      <c r="B9" s="115"/>
      <c r="C9" s="115"/>
      <c r="D9" s="115"/>
      <c r="E9" s="116"/>
      <c r="F9" s="1">
        <v>1500</v>
      </c>
    </row>
    <row r="10" spans="1:11">
      <c r="A10" s="114" t="s">
        <v>168</v>
      </c>
      <c r="B10" s="115"/>
      <c r="C10" s="115"/>
      <c r="D10" s="115"/>
      <c r="E10" s="116"/>
      <c r="F10" s="40">
        <v>1575</v>
      </c>
    </row>
  </sheetData>
  <mergeCells count="8">
    <mergeCell ref="A10:E10"/>
    <mergeCell ref="A1:A2"/>
    <mergeCell ref="D1:D2"/>
    <mergeCell ref="G1:G2"/>
    <mergeCell ref="H1:H2"/>
    <mergeCell ref="A9:E9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A8" sqref="A8:XF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8" t="s">
        <v>4</v>
      </c>
      <c r="B1" s="118" t="s">
        <v>118</v>
      </c>
      <c r="C1" s="118" t="s">
        <v>118</v>
      </c>
      <c r="D1" s="118" t="s">
        <v>5</v>
      </c>
      <c r="E1" s="123" t="s">
        <v>18</v>
      </c>
      <c r="F1" s="123"/>
      <c r="G1" s="123"/>
      <c r="H1" s="123"/>
      <c r="I1" s="123" t="s">
        <v>20</v>
      </c>
      <c r="J1" s="123"/>
      <c r="K1" s="123"/>
      <c r="L1" s="123"/>
      <c r="M1" s="123" t="s">
        <v>21</v>
      </c>
      <c r="N1" s="123"/>
      <c r="O1" s="123"/>
      <c r="P1" s="123"/>
      <c r="Q1" s="38" t="s">
        <v>22</v>
      </c>
      <c r="R1" s="38" t="s">
        <v>22</v>
      </c>
      <c r="S1" s="38" t="s">
        <v>22</v>
      </c>
    </row>
    <row r="2" spans="1:19">
      <c r="A2" s="119"/>
      <c r="B2" s="119"/>
      <c r="C2" s="119"/>
      <c r="D2" s="119"/>
      <c r="E2" s="41" t="s">
        <v>19</v>
      </c>
      <c r="F2" s="41" t="s">
        <v>68</v>
      </c>
      <c r="G2" s="41" t="s">
        <v>119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Q3" s="120"/>
      <c r="R3" s="121"/>
      <c r="S3" s="122"/>
    </row>
    <row r="4" spans="1:19">
      <c r="A4" s="40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Q4" s="46" t="e">
        <f>AVERAGE('Flow cytometer'!P4,'Flow cytometer'!L4,'Flow cytometer'!H4)*Calculation!K4/Calculation!M3</f>
        <v>#DIV/0!</v>
      </c>
      <c r="R4" s="46" t="e">
        <f>STDEV('Flow cytometer'!P4,'Flow cytometer'!L4,'Flow cytometer'!H4)*Calculation!K4/Calculation!M3</f>
        <v>#DIV/0!</v>
      </c>
      <c r="S4" s="47" t="e">
        <f t="shared" ref="S4:S7" si="1">LOG(Q4)</f>
        <v>#DIV/0!</v>
      </c>
    </row>
    <row r="5" spans="1:19">
      <c r="A5" s="40">
        <v>1</v>
      </c>
      <c r="B5" s="32">
        <v>710</v>
      </c>
      <c r="C5" s="32">
        <f>C4+B5</f>
        <v>720</v>
      </c>
      <c r="D5" s="13">
        <f t="shared" si="0"/>
        <v>12</v>
      </c>
      <c r="Q5" s="46" t="e">
        <f>AVERAGE('Flow cytometer'!P5,'Flow cytometer'!L5,'Flow cytometer'!H5)*Calculation!K5/Calculation!M4</f>
        <v>#DIV/0!</v>
      </c>
      <c r="R5" s="46" t="e">
        <f>STDEV('Flow cytometer'!P5,'Flow cytometer'!L5,'Flow cytometer'!H5)*Calculation!K5/Calculation!M4</f>
        <v>#DIV/0!</v>
      </c>
      <c r="S5" s="47" t="e">
        <f t="shared" si="1"/>
        <v>#DIV/0!</v>
      </c>
    </row>
    <row r="6" spans="1:19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Q6" s="46" t="e">
        <f>AVERAGE('Flow cytometer'!P6,'Flow cytometer'!L6,'Flow cytometer'!H6)*Calculation!K6/Calculation!M5</f>
        <v>#DIV/0!</v>
      </c>
      <c r="R6" s="46" t="e">
        <f>STDEV('Flow cytometer'!P6,'Flow cytometer'!L6,'Flow cytometer'!H6)*Calculation!K6/Calculation!M5</f>
        <v>#DIV/0!</v>
      </c>
      <c r="S6" s="47" t="e">
        <f t="shared" si="1"/>
        <v>#DIV/0!</v>
      </c>
    </row>
    <row r="7" spans="1:19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Q7" s="46" t="e">
        <f>AVERAGE('Flow cytometer'!P7,'Flow cytometer'!L7,'Flow cytometer'!H7)*Calculation!K7/Calculation!M6</f>
        <v>#DIV/0!</v>
      </c>
      <c r="R7" s="46" t="e">
        <f>STDEV('Flow cytometer'!P7,'Flow cytometer'!L7,'Flow cytometer'!H7)*Calculation!K7/Calculation!M6</f>
        <v>#DIV/0!</v>
      </c>
      <c r="S7" s="47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"/>
  <sheetViews>
    <sheetView workbookViewId="0">
      <selection activeCell="N10" sqref="N10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18" t="s">
        <v>4</v>
      </c>
      <c r="B1" s="118" t="s">
        <v>118</v>
      </c>
      <c r="C1" s="118" t="s">
        <v>118</v>
      </c>
      <c r="D1" s="118" t="s">
        <v>5</v>
      </c>
      <c r="E1" s="117" t="s">
        <v>120</v>
      </c>
      <c r="F1" s="117"/>
      <c r="G1" s="117"/>
      <c r="H1" s="117"/>
      <c r="I1" s="117" t="s">
        <v>121</v>
      </c>
      <c r="J1" s="117"/>
      <c r="K1" s="117"/>
      <c r="L1" s="117"/>
      <c r="M1" s="117" t="s">
        <v>122</v>
      </c>
      <c r="N1" s="117"/>
      <c r="O1" s="117"/>
      <c r="P1" s="117"/>
      <c r="Q1" s="25" t="s">
        <v>123</v>
      </c>
      <c r="R1" s="25" t="s">
        <v>123</v>
      </c>
      <c r="S1" s="25" t="s">
        <v>123</v>
      </c>
      <c r="T1" s="59" t="s">
        <v>123</v>
      </c>
      <c r="U1" s="72" t="s">
        <v>120</v>
      </c>
      <c r="V1" s="72" t="s">
        <v>121</v>
      </c>
      <c r="W1" s="72" t="s">
        <v>122</v>
      </c>
      <c r="X1" s="72" t="s">
        <v>123</v>
      </c>
    </row>
    <row r="2" spans="1:24">
      <c r="A2" s="119"/>
      <c r="B2" s="119"/>
      <c r="C2" s="119"/>
      <c r="D2" s="119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60" t="s">
        <v>139</v>
      </c>
      <c r="U2" s="73" t="s">
        <v>151</v>
      </c>
      <c r="V2" s="73" t="s">
        <v>151</v>
      </c>
      <c r="W2" s="73" t="s">
        <v>151</v>
      </c>
      <c r="X2" s="73" t="s">
        <v>150</v>
      </c>
    </row>
    <row r="3" spans="1:24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E3" s="44" t="s">
        <v>102</v>
      </c>
      <c r="F3" s="44" t="s">
        <v>102</v>
      </c>
      <c r="G3" s="44" t="s">
        <v>102</v>
      </c>
      <c r="H3" s="45" t="s">
        <v>102</v>
      </c>
      <c r="I3" s="44" t="s">
        <v>102</v>
      </c>
      <c r="J3" s="44" t="s">
        <v>102</v>
      </c>
      <c r="K3" s="44" t="s">
        <v>102</v>
      </c>
      <c r="L3" s="45" t="s">
        <v>102</v>
      </c>
      <c r="M3" s="44" t="s">
        <v>102</v>
      </c>
      <c r="N3" s="44" t="s">
        <v>102</v>
      </c>
      <c r="O3" s="44" t="s">
        <v>102</v>
      </c>
      <c r="P3" s="45" t="s">
        <v>102</v>
      </c>
      <c r="Q3" s="124" t="s">
        <v>102</v>
      </c>
      <c r="R3" s="125"/>
      <c r="S3" s="126"/>
      <c r="T3" s="45" t="s">
        <v>102</v>
      </c>
      <c r="U3" s="45" t="s">
        <v>102</v>
      </c>
      <c r="V3" s="45" t="s">
        <v>102</v>
      </c>
      <c r="W3" s="45" t="s">
        <v>102</v>
      </c>
      <c r="X3" s="45" t="s">
        <v>102</v>
      </c>
    </row>
    <row r="4" spans="1:24">
      <c r="A4" s="40">
        <v>0</v>
      </c>
      <c r="B4" s="32">
        <v>10</v>
      </c>
      <c r="C4" s="32">
        <f>B4</f>
        <v>10</v>
      </c>
      <c r="D4" s="13">
        <f>C4/60</f>
        <v>0.16666666666666666</v>
      </c>
      <c r="E4" s="32">
        <v>1</v>
      </c>
      <c r="F4" s="32">
        <v>9493</v>
      </c>
      <c r="G4" s="32">
        <v>7</v>
      </c>
      <c r="H4" s="45">
        <f>('Flow cytometer'!F4/'Flow cytometer'!G4)*POWER(10,'Flow cytometer'!E4+2)*10.2</f>
        <v>13832657.142857142</v>
      </c>
      <c r="I4" s="32">
        <v>1</v>
      </c>
      <c r="J4" s="32">
        <v>9658</v>
      </c>
      <c r="K4" s="32">
        <v>7</v>
      </c>
      <c r="L4" s="45">
        <f>('Flow cytometer'!J4/'Flow cytometer'!K4)*POWER(10,'Flow cytometer'!I4+2)*10.2</f>
        <v>14073085.714285713</v>
      </c>
      <c r="M4" s="32">
        <v>1</v>
      </c>
      <c r="N4" s="32">
        <v>10009</v>
      </c>
      <c r="O4" s="32">
        <v>7</v>
      </c>
      <c r="P4" s="45">
        <f>('Flow cytometer'!N4/'Flow cytometer'!O4)*POWER(10,'Flow cytometer'!M4+2)*10.2</f>
        <v>14584542.857142856</v>
      </c>
      <c r="Q4" s="48">
        <f>AVERAGE(H4,L4,P4)*Calculation!I4/Calculation!K3</f>
        <v>14181378.312381703</v>
      </c>
      <c r="R4" s="49">
        <f>STDEV(H4,L4,P4)*Calculation!I4/Calculation!K3</f>
        <v>384484.57627260784</v>
      </c>
      <c r="S4" s="50">
        <f>LOG(Q4)</f>
        <v>7.1517184427209273</v>
      </c>
      <c r="T4" s="50">
        <f>LN(Q4)</f>
        <v>16.467440275499797</v>
      </c>
      <c r="U4" s="50">
        <f>LOG(H4)</f>
        <v>7.1409056126210952</v>
      </c>
      <c r="V4" s="50">
        <f>LOG(L4)</f>
        <v>7.1483893328119885</v>
      </c>
      <c r="W4" s="50">
        <f>LOG(P4)</f>
        <v>7.163892820997571</v>
      </c>
      <c r="X4" s="50">
        <f xml:space="preserve"> STDEV(U4:W4)*Calculation!I4/Calculation!K3</f>
        <v>1.1739305874193876E-2</v>
      </c>
    </row>
    <row r="5" spans="1:24">
      <c r="A5" s="40">
        <v>1</v>
      </c>
      <c r="B5" s="32">
        <v>710</v>
      </c>
      <c r="C5" s="32">
        <f>C4+B5</f>
        <v>720</v>
      </c>
      <c r="D5" s="13">
        <f t="shared" ref="D5:D7" si="0">C5/60</f>
        <v>12</v>
      </c>
      <c r="E5" s="32">
        <v>2</v>
      </c>
      <c r="F5" s="32">
        <v>36917</v>
      </c>
      <c r="G5" s="32">
        <v>7</v>
      </c>
      <c r="H5" s="45">
        <f>('Flow cytometer'!F5/'Flow cytometer'!G5)*POWER(10,'Flow cytometer'!E5+2)*10.2</f>
        <v>537933428.57142854</v>
      </c>
      <c r="I5" s="32">
        <v>2</v>
      </c>
      <c r="J5" s="32">
        <v>34636</v>
      </c>
      <c r="K5" s="32">
        <v>7</v>
      </c>
      <c r="L5" s="45">
        <f>('Flow cytometer'!J5/'Flow cytometer'!K5)*POWER(10,'Flow cytometer'!I5+2)*10.2</f>
        <v>504695999.99999994</v>
      </c>
      <c r="M5" s="32">
        <v>2</v>
      </c>
      <c r="N5" s="32">
        <v>35631</v>
      </c>
      <c r="O5" s="32">
        <v>7</v>
      </c>
      <c r="P5" s="45">
        <f>('Flow cytometer'!N5/'Flow cytometer'!O5)*POWER(10,'Flow cytometer'!M5+2)*10.2</f>
        <v>519194571.42857134</v>
      </c>
      <c r="Q5" s="48">
        <f>AVERAGE(H5,L5,P5)*Calculation!I5/Calculation!K4</f>
        <v>524124044.06824481</v>
      </c>
      <c r="R5" s="49">
        <f>STDEV(H5,L5,P5)*Calculation!I5/Calculation!K4</f>
        <v>16776275.364136549</v>
      </c>
      <c r="S5" s="50">
        <f t="shared" ref="S5:S7" si="1">LOG(Q5)</f>
        <v>8.7194340833176298</v>
      </c>
      <c r="T5" s="50">
        <f t="shared" ref="T5:T7" si="2">LN(Q5)</f>
        <v>20.077238939591375</v>
      </c>
      <c r="U5" s="50">
        <f t="shared" ref="U5:U7" si="3">LOG(H5)</f>
        <v>8.7307285333002724</v>
      </c>
      <c r="V5" s="50">
        <f t="shared" ref="V5:V7" si="4">LOG(L5)</f>
        <v>8.703029862719001</v>
      </c>
      <c r="W5" s="50">
        <f t="shared" ref="W5:W7" si="5">LOG(P5)</f>
        <v>8.7153301429391909</v>
      </c>
      <c r="X5" s="50">
        <f xml:space="preserve"> STDEV(U5:W5)*Calculation!I5/Calculation!K4</f>
        <v>1.3971911793299496E-2</v>
      </c>
    </row>
    <row r="6" spans="1:24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E6" s="32">
        <v>3</v>
      </c>
      <c r="F6" s="32">
        <v>4732</v>
      </c>
      <c r="G6" s="32">
        <v>7</v>
      </c>
      <c r="H6" s="45">
        <f>('Flow cytometer'!F6/'Flow cytometer'!G6)*POWER(10,'Flow cytometer'!E6+2)*10.2</f>
        <v>689520000</v>
      </c>
      <c r="I6" s="32">
        <v>3</v>
      </c>
      <c r="J6" s="32">
        <v>4996</v>
      </c>
      <c r="K6" s="32">
        <v>7</v>
      </c>
      <c r="L6" s="45">
        <f>('Flow cytometer'!J6/'Flow cytometer'!K6)*POWER(10,'Flow cytometer'!I6+2)*10.2</f>
        <v>727988571.42857134</v>
      </c>
      <c r="M6" s="32">
        <v>3</v>
      </c>
      <c r="N6" s="32">
        <v>4505</v>
      </c>
      <c r="O6" s="32">
        <v>7</v>
      </c>
      <c r="P6" s="45">
        <f>('Flow cytometer'!N6/'Flow cytometer'!O6)*POWER(10,'Flow cytometer'!M6+2)*10.2</f>
        <v>656442857.14285707</v>
      </c>
      <c r="Q6" s="48">
        <f>AVERAGE(H6,L6,P6)*Calculation!I6/Calculation!K5</f>
        <v>698445424.67028236</v>
      </c>
      <c r="R6" s="49">
        <f>STDEV(H6,L6,P6)*Calculation!I6/Calculation!K5</f>
        <v>36175906.29390382</v>
      </c>
      <c r="S6" s="50">
        <f t="shared" si="1"/>
        <v>8.8441324767486567</v>
      </c>
      <c r="T6" s="50">
        <f t="shared" si="2"/>
        <v>20.364367601425968</v>
      </c>
      <c r="U6" s="50">
        <f t="shared" si="3"/>
        <v>8.8385468677035544</v>
      </c>
      <c r="V6" s="50">
        <f t="shared" si="4"/>
        <v>8.8621245614497592</v>
      </c>
      <c r="W6" s="50">
        <f t="shared" si="5"/>
        <v>8.8171969270627422</v>
      </c>
      <c r="X6" s="50">
        <f xml:space="preserve"> STDEV(U6:W6)*Calculation!I6/Calculation!K5</f>
        <v>2.2704743553337691E-2</v>
      </c>
    </row>
    <row r="7" spans="1:24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E7" s="32">
        <v>3</v>
      </c>
      <c r="F7" s="32">
        <v>5885</v>
      </c>
      <c r="G7" s="32">
        <v>7</v>
      </c>
      <c r="H7" s="45">
        <f>('Flow cytometer'!F7/'Flow cytometer'!G7)*POWER(10,'Flow cytometer'!E7+2)*10.2</f>
        <v>857528571.42857134</v>
      </c>
      <c r="I7" s="32">
        <v>3</v>
      </c>
      <c r="J7" s="32">
        <v>6221</v>
      </c>
      <c r="K7" s="32">
        <v>7</v>
      </c>
      <c r="L7" s="45">
        <f>('Flow cytometer'!J7/'Flow cytometer'!K7)*POWER(10,'Flow cytometer'!I7+2)*10.2</f>
        <v>906488571.42857134</v>
      </c>
      <c r="M7" s="32">
        <v>3</v>
      </c>
      <c r="N7" s="32">
        <v>5745</v>
      </c>
      <c r="O7" s="32">
        <v>7</v>
      </c>
      <c r="P7" s="45">
        <f>('Flow cytometer'!N7/'Flow cytometer'!O7)*POWER(10,'Flow cytometer'!M7+2)*10.2</f>
        <v>837128571.42857134</v>
      </c>
      <c r="Q7" s="48">
        <f>AVERAGE(H7,L7,P7)*Calculation!I7/Calculation!K6</f>
        <v>875988848.15493643</v>
      </c>
      <c r="R7" s="49">
        <f>STDEV(H7,L7,P7)*Calculation!I7/Calculation!K6</f>
        <v>36014088.483990498</v>
      </c>
      <c r="S7" s="50">
        <f t="shared" si="1"/>
        <v>8.9424985773831462</v>
      </c>
      <c r="T7" s="50">
        <f t="shared" si="2"/>
        <v>20.590863918402892</v>
      </c>
      <c r="U7" s="50">
        <f t="shared" si="3"/>
        <v>8.9332485989271149</v>
      </c>
      <c r="V7" s="50">
        <f t="shared" si="4"/>
        <v>8.9573623330903303</v>
      </c>
      <c r="W7" s="50">
        <f t="shared" si="5"/>
        <v>8.9227921647719644</v>
      </c>
      <c r="X7" s="50">
        <f xml:space="preserve"> STDEV(U7:W7)*Calculation!I7/Calculation!K6</f>
        <v>1.7911811698014E-2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selection sqref="A1:V68"/>
    </sheetView>
  </sheetViews>
  <sheetFormatPr baseColWidth="10" defaultRowHeight="14" x14ac:dyDescent="0"/>
  <sheetData>
    <row r="1" spans="1:22">
      <c r="A1" s="80"/>
      <c r="B1" s="132" t="s">
        <v>4</v>
      </c>
      <c r="C1" s="134" t="s">
        <v>170</v>
      </c>
      <c r="D1" s="135" t="s">
        <v>18</v>
      </c>
      <c r="E1" s="135"/>
      <c r="F1" s="135"/>
      <c r="G1" s="135"/>
      <c r="H1" s="135" t="s">
        <v>20</v>
      </c>
      <c r="I1" s="135"/>
      <c r="J1" s="135"/>
      <c r="K1" s="135"/>
      <c r="L1" s="135" t="s">
        <v>21</v>
      </c>
      <c r="M1" s="135"/>
      <c r="N1" s="135"/>
      <c r="O1" s="135"/>
      <c r="P1" s="81" t="s">
        <v>22</v>
      </c>
      <c r="Q1" s="81" t="s">
        <v>22</v>
      </c>
      <c r="R1" s="81" t="s">
        <v>22</v>
      </c>
      <c r="S1" s="127" t="s">
        <v>171</v>
      </c>
      <c r="T1" s="80"/>
      <c r="U1" s="80"/>
      <c r="V1" s="80"/>
    </row>
    <row r="2" spans="1:22">
      <c r="A2" s="80"/>
      <c r="B2" s="133"/>
      <c r="C2" s="133"/>
      <c r="D2" s="82" t="s">
        <v>19</v>
      </c>
      <c r="E2" s="82" t="s">
        <v>68</v>
      </c>
      <c r="F2" s="82" t="s">
        <v>69</v>
      </c>
      <c r="G2" s="82" t="s">
        <v>70</v>
      </c>
      <c r="H2" s="82" t="s">
        <v>19</v>
      </c>
      <c r="I2" s="82" t="s">
        <v>68</v>
      </c>
      <c r="J2" s="82" t="s">
        <v>69</v>
      </c>
      <c r="K2" s="82" t="s">
        <v>70</v>
      </c>
      <c r="L2" s="82" t="s">
        <v>19</v>
      </c>
      <c r="M2" s="82" t="s">
        <v>68</v>
      </c>
      <c r="N2" s="82" t="s">
        <v>69</v>
      </c>
      <c r="O2" s="82" t="s">
        <v>71</v>
      </c>
      <c r="P2" s="83" t="s">
        <v>70</v>
      </c>
      <c r="Q2" s="83" t="s">
        <v>23</v>
      </c>
      <c r="R2" s="83" t="s">
        <v>72</v>
      </c>
      <c r="S2" s="128"/>
      <c r="T2" s="80"/>
      <c r="U2" s="80"/>
      <c r="V2" s="80"/>
    </row>
    <row r="3" spans="1:22">
      <c r="A3" s="80"/>
      <c r="B3" s="84"/>
      <c r="C3" s="84"/>
      <c r="D3" s="85"/>
      <c r="E3" s="85"/>
      <c r="F3" s="85"/>
      <c r="G3" s="86"/>
      <c r="H3" s="85"/>
      <c r="I3" s="85"/>
      <c r="J3" s="85"/>
      <c r="K3" s="86"/>
      <c r="L3" s="85"/>
      <c r="M3" s="85"/>
      <c r="N3" s="85"/>
      <c r="O3" s="86"/>
      <c r="P3" s="129"/>
      <c r="Q3" s="130"/>
      <c r="R3" s="131"/>
      <c r="S3" s="80"/>
      <c r="T3" s="80"/>
      <c r="U3" s="80"/>
      <c r="V3" s="80"/>
    </row>
    <row r="4" spans="1:22">
      <c r="A4" s="80"/>
      <c r="B4" s="87" t="s">
        <v>172</v>
      </c>
      <c r="C4" s="88">
        <v>500</v>
      </c>
      <c r="D4" s="88">
        <v>2</v>
      </c>
      <c r="E4" s="88">
        <v>26960</v>
      </c>
      <c r="F4" s="88">
        <v>7</v>
      </c>
      <c r="G4" s="86">
        <f t="shared" ref="G4:G19" si="0">(E4/F4)*(10.2)*POWER(10,D4+2)</f>
        <v>392845714.28571427</v>
      </c>
      <c r="H4" s="88">
        <v>2</v>
      </c>
      <c r="I4" s="88">
        <v>28998</v>
      </c>
      <c r="J4" s="88">
        <v>7</v>
      </c>
      <c r="K4" s="86">
        <f t="shared" ref="K4:K19" si="1">(I4/J4)*(10.2)*POWER(10,H4+2)</f>
        <v>422542285.71428567</v>
      </c>
      <c r="L4" s="88">
        <v>2</v>
      </c>
      <c r="M4" s="88">
        <v>29053</v>
      </c>
      <c r="N4" s="88">
        <v>7</v>
      </c>
      <c r="O4" s="86">
        <f t="shared" ref="O4:O19" si="2">(M4/N4)*(10.2)*POWER(10,L4+2)</f>
        <v>423343714.28571433</v>
      </c>
      <c r="P4" s="89">
        <f t="shared" ref="P4:P19" si="3">AVERAGE(O4,K4,G4)</f>
        <v>412910571.4285714</v>
      </c>
      <c r="Q4" s="89">
        <f t="shared" ref="Q4:Q19" si="4">STDEV(O4,K4,G4)</f>
        <v>17381295.724462688</v>
      </c>
      <c r="R4" s="90">
        <f>LOG(P4)</f>
        <v>8.6158560019212569</v>
      </c>
      <c r="S4" s="80"/>
      <c r="T4" s="80"/>
      <c r="U4" s="80"/>
      <c r="V4" s="80"/>
    </row>
    <row r="5" spans="1:22">
      <c r="A5" s="80"/>
      <c r="B5" s="87" t="s">
        <v>173</v>
      </c>
      <c r="C5" s="88">
        <v>500</v>
      </c>
      <c r="D5" s="88">
        <v>1</v>
      </c>
      <c r="E5" s="88">
        <v>25770</v>
      </c>
      <c r="F5" s="88">
        <v>7</v>
      </c>
      <c r="G5" s="86">
        <f t="shared" si="0"/>
        <v>37550571.428571425</v>
      </c>
      <c r="H5" s="88">
        <v>1</v>
      </c>
      <c r="I5" s="88">
        <v>24760</v>
      </c>
      <c r="J5" s="88">
        <v>7</v>
      </c>
      <c r="K5" s="86">
        <f t="shared" si="1"/>
        <v>36078857.142857142</v>
      </c>
      <c r="L5" s="88">
        <v>1</v>
      </c>
      <c r="M5" s="88">
        <v>27526</v>
      </c>
      <c r="N5" s="88">
        <v>7</v>
      </c>
      <c r="O5" s="86">
        <f t="shared" si="2"/>
        <v>40109314.285714284</v>
      </c>
      <c r="P5" s="89">
        <f t="shared" si="3"/>
        <v>37912914.285714291</v>
      </c>
      <c r="Q5" s="89">
        <f t="shared" si="4"/>
        <v>2039513.5338344474</v>
      </c>
      <c r="R5" s="90">
        <f t="shared" ref="R5:R19" si="5">LOG(P5)</f>
        <v>7.5787871690098934</v>
      </c>
      <c r="S5" s="80"/>
      <c r="T5" s="80"/>
      <c r="U5" s="80"/>
      <c r="V5" s="80"/>
    </row>
    <row r="6" spans="1:22">
      <c r="A6" s="80"/>
      <c r="B6" s="87" t="s">
        <v>174</v>
      </c>
      <c r="C6" s="88">
        <v>500</v>
      </c>
      <c r="D6" s="88">
        <v>0</v>
      </c>
      <c r="E6" s="88">
        <v>2493</v>
      </c>
      <c r="F6" s="88">
        <v>7</v>
      </c>
      <c r="G6" s="86">
        <f t="shared" si="0"/>
        <v>363265.71428571426</v>
      </c>
      <c r="H6" s="88">
        <v>0</v>
      </c>
      <c r="I6" s="88">
        <v>2459</v>
      </c>
      <c r="J6" s="88">
        <v>7</v>
      </c>
      <c r="K6" s="86">
        <f t="shared" si="1"/>
        <v>358311.42857142852</v>
      </c>
      <c r="L6" s="88">
        <v>0</v>
      </c>
      <c r="M6" s="88">
        <v>2550</v>
      </c>
      <c r="N6" s="88">
        <v>7</v>
      </c>
      <c r="O6" s="86">
        <f t="shared" si="2"/>
        <v>371571.42857142852</v>
      </c>
      <c r="P6" s="89">
        <f t="shared" si="3"/>
        <v>364382.8571428571</v>
      </c>
      <c r="Q6" s="89">
        <f t="shared" si="4"/>
        <v>6700.2168712996863</v>
      </c>
      <c r="R6" s="90">
        <f t="shared" si="5"/>
        <v>5.5615579368427026</v>
      </c>
      <c r="S6" s="91" t="s">
        <v>133</v>
      </c>
      <c r="T6" s="80"/>
      <c r="U6" s="80"/>
      <c r="V6" s="80"/>
    </row>
    <row r="7" spans="1:22">
      <c r="A7" s="80"/>
      <c r="B7" s="87" t="s">
        <v>175</v>
      </c>
      <c r="C7" s="88">
        <v>500</v>
      </c>
      <c r="D7" s="88">
        <f>LOG(705/250)</f>
        <v>0.45024910831936105</v>
      </c>
      <c r="E7" s="88">
        <v>946</v>
      </c>
      <c r="F7" s="88">
        <v>7</v>
      </c>
      <c r="G7" s="86">
        <f>(E7/F7)*(1)*POWER(10,D7+2)</f>
        <v>38110.285714285717</v>
      </c>
      <c r="H7" s="88">
        <f>LOG(705/250)</f>
        <v>0.45024910831936105</v>
      </c>
      <c r="I7" s="88">
        <v>885</v>
      </c>
      <c r="J7" s="88">
        <v>7</v>
      </c>
      <c r="K7" s="86">
        <f t="shared" si="1"/>
        <v>363659.1428571429</v>
      </c>
      <c r="L7" s="88">
        <f>LOG(705/250)</f>
        <v>0.45024910831936105</v>
      </c>
      <c r="M7" s="88">
        <v>947</v>
      </c>
      <c r="N7" s="88">
        <v>7</v>
      </c>
      <c r="O7" s="86">
        <f>(M7/N7)*(1)*POWER(10,L7+2)</f>
        <v>38150.571428571435</v>
      </c>
      <c r="P7" s="89">
        <f t="shared" si="3"/>
        <v>146640.00000000003</v>
      </c>
      <c r="Q7" s="89">
        <f t="shared" si="4"/>
        <v>187944.09190121258</v>
      </c>
      <c r="R7" s="90">
        <f t="shared" si="5"/>
        <v>5.1662524519541604</v>
      </c>
      <c r="S7" s="80"/>
      <c r="T7" s="80"/>
      <c r="U7" s="80"/>
      <c r="V7" s="80"/>
    </row>
    <row r="8" spans="1:22">
      <c r="A8" s="80"/>
      <c r="B8" s="87" t="s">
        <v>176</v>
      </c>
      <c r="C8" s="88">
        <v>500</v>
      </c>
      <c r="D8" s="88">
        <f>LOG(705/250)</f>
        <v>0.45024910831936105</v>
      </c>
      <c r="E8" s="88">
        <v>1248</v>
      </c>
      <c r="F8" s="88">
        <v>70</v>
      </c>
      <c r="G8" s="86">
        <f>(E8/F8)*(1)*POWER(10,D8+2)</f>
        <v>5027.6571428571442</v>
      </c>
      <c r="H8" s="88">
        <f>LOG(705/250)</f>
        <v>0.45024910831936105</v>
      </c>
      <c r="I8" s="88">
        <v>1303</v>
      </c>
      <c r="J8" s="88">
        <v>70</v>
      </c>
      <c r="K8" s="86">
        <f t="shared" si="1"/>
        <v>53542.131428571432</v>
      </c>
      <c r="L8" s="88">
        <f>LOG(705/250)</f>
        <v>0.45024910831936105</v>
      </c>
      <c r="M8" s="88">
        <v>1278</v>
      </c>
      <c r="N8" s="88">
        <v>70</v>
      </c>
      <c r="O8" s="86">
        <f>(M8/N8)*(1)*POWER(10,L8+2)</f>
        <v>5148.5142857142864</v>
      </c>
      <c r="P8" s="89">
        <f t="shared" si="3"/>
        <v>21239.434285714287</v>
      </c>
      <c r="Q8" s="89">
        <f t="shared" si="4"/>
        <v>27975.021602129429</v>
      </c>
      <c r="R8" s="90">
        <f t="shared" si="5"/>
        <v>4.3271429450900092</v>
      </c>
      <c r="S8" s="80"/>
      <c r="T8" s="80"/>
      <c r="U8" s="80"/>
      <c r="V8" s="80"/>
    </row>
    <row r="9" spans="1:22">
      <c r="A9" s="80"/>
      <c r="B9" s="87" t="s">
        <v>177</v>
      </c>
      <c r="C9" s="88">
        <v>900</v>
      </c>
      <c r="D9" s="88">
        <v>2</v>
      </c>
      <c r="E9" s="88">
        <v>26822</v>
      </c>
      <c r="F9" s="88">
        <v>7</v>
      </c>
      <c r="G9" s="86">
        <f t="shared" si="0"/>
        <v>390834857.14285713</v>
      </c>
      <c r="H9" s="88">
        <v>2</v>
      </c>
      <c r="I9" s="88">
        <v>25452</v>
      </c>
      <c r="J9" s="88">
        <v>7</v>
      </c>
      <c r="K9" s="86">
        <f t="shared" si="1"/>
        <v>370872000</v>
      </c>
      <c r="L9" s="88">
        <v>2</v>
      </c>
      <c r="M9" s="88">
        <v>29126</v>
      </c>
      <c r="N9" s="88">
        <v>7</v>
      </c>
      <c r="O9" s="86">
        <f t="shared" si="2"/>
        <v>424407428.57142854</v>
      </c>
      <c r="P9" s="89">
        <f t="shared" si="3"/>
        <v>395371428.57142854</v>
      </c>
      <c r="Q9" s="89">
        <f t="shared" si="4"/>
        <v>27054498.485954784</v>
      </c>
      <c r="R9" s="90">
        <f t="shared" si="5"/>
        <v>8.5970052819172</v>
      </c>
      <c r="S9" s="80"/>
      <c r="T9" s="80"/>
      <c r="U9" s="80"/>
      <c r="V9" s="80"/>
    </row>
    <row r="10" spans="1:22">
      <c r="A10" s="80"/>
      <c r="B10" s="87" t="s">
        <v>178</v>
      </c>
      <c r="C10" s="88">
        <v>900</v>
      </c>
      <c r="D10" s="88">
        <v>1</v>
      </c>
      <c r="E10" s="88">
        <v>11669</v>
      </c>
      <c r="F10" s="88">
        <v>7</v>
      </c>
      <c r="G10" s="86">
        <f t="shared" si="0"/>
        <v>17003399.999999996</v>
      </c>
      <c r="H10" s="88">
        <v>1</v>
      </c>
      <c r="I10" s="88">
        <v>13970</v>
      </c>
      <c r="J10" s="88">
        <v>20</v>
      </c>
      <c r="K10" s="86">
        <f t="shared" si="1"/>
        <v>7124700</v>
      </c>
      <c r="L10" s="88">
        <v>1</v>
      </c>
      <c r="M10" s="88">
        <v>12995</v>
      </c>
      <c r="N10" s="88">
        <v>7</v>
      </c>
      <c r="O10" s="86">
        <f t="shared" si="2"/>
        <v>18935571.428571429</v>
      </c>
      <c r="P10" s="89">
        <f t="shared" si="3"/>
        <v>14354557.142857142</v>
      </c>
      <c r="Q10" s="89">
        <f t="shared" si="4"/>
        <v>6335333.2459262749</v>
      </c>
      <c r="R10" s="90">
        <f t="shared" si="5"/>
        <v>7.1569897984779303</v>
      </c>
      <c r="S10" s="91" t="s">
        <v>133</v>
      </c>
      <c r="T10" s="80"/>
      <c r="U10" s="80"/>
      <c r="V10" s="80"/>
    </row>
    <row r="11" spans="1:22">
      <c r="A11" s="80"/>
      <c r="B11" s="87" t="s">
        <v>179</v>
      </c>
      <c r="C11" s="88">
        <v>900</v>
      </c>
      <c r="D11" s="88">
        <v>1</v>
      </c>
      <c r="E11" s="88">
        <v>6123</v>
      </c>
      <c r="F11" s="88">
        <v>7</v>
      </c>
      <c r="G11" s="86">
        <f t="shared" si="0"/>
        <v>8922085.7142857127</v>
      </c>
      <c r="H11" s="88">
        <v>1</v>
      </c>
      <c r="I11" s="88">
        <v>6639</v>
      </c>
      <c r="J11" s="88">
        <v>7</v>
      </c>
      <c r="K11" s="86">
        <f t="shared" si="1"/>
        <v>9673971.4285714272</v>
      </c>
      <c r="L11" s="88">
        <v>1</v>
      </c>
      <c r="M11" s="88">
        <v>7021</v>
      </c>
      <c r="N11" s="88">
        <v>7</v>
      </c>
      <c r="O11" s="86">
        <f t="shared" si="2"/>
        <v>10230599.999999998</v>
      </c>
      <c r="P11" s="89">
        <f t="shared" si="3"/>
        <v>9608885.7142857127</v>
      </c>
      <c r="Q11" s="89">
        <f t="shared" si="4"/>
        <v>656680.68468065432</v>
      </c>
      <c r="R11" s="90">
        <f t="shared" si="5"/>
        <v>6.9826730280228597</v>
      </c>
      <c r="S11" s="91" t="s">
        <v>133</v>
      </c>
      <c r="T11" s="80"/>
      <c r="U11" s="80"/>
      <c r="V11" s="80"/>
    </row>
    <row r="12" spans="1:22">
      <c r="A12" s="80"/>
      <c r="B12" s="87" t="s">
        <v>180</v>
      </c>
      <c r="C12" s="88">
        <v>900</v>
      </c>
      <c r="D12" s="88">
        <v>1</v>
      </c>
      <c r="E12" s="88">
        <v>29009</v>
      </c>
      <c r="F12" s="88">
        <v>7</v>
      </c>
      <c r="G12" s="86">
        <f t="shared" si="0"/>
        <v>42270257.142857142</v>
      </c>
      <c r="H12" s="88">
        <v>1</v>
      </c>
      <c r="I12" s="88">
        <v>29016</v>
      </c>
      <c r="J12" s="88">
        <v>7</v>
      </c>
      <c r="K12" s="86">
        <f t="shared" si="1"/>
        <v>42280457.142857134</v>
      </c>
      <c r="L12" s="88">
        <v>1</v>
      </c>
      <c r="M12" s="88">
        <v>31568</v>
      </c>
      <c r="N12" s="88">
        <v>7</v>
      </c>
      <c r="O12" s="86">
        <f t="shared" si="2"/>
        <v>45999085.714285709</v>
      </c>
      <c r="P12" s="89">
        <f t="shared" si="3"/>
        <v>43516599.999999993</v>
      </c>
      <c r="Q12" s="89">
        <f t="shared" si="4"/>
        <v>2149901.7422255576</v>
      </c>
      <c r="R12" s="90">
        <f t="shared" si="5"/>
        <v>7.6386549561082937</v>
      </c>
      <c r="S12" s="80"/>
      <c r="T12" s="80"/>
      <c r="U12" s="80"/>
      <c r="V12" s="80"/>
    </row>
    <row r="13" spans="1:22">
      <c r="A13" s="80"/>
      <c r="B13" s="87" t="s">
        <v>181</v>
      </c>
      <c r="C13" s="88">
        <v>900</v>
      </c>
      <c r="D13" s="88">
        <v>1</v>
      </c>
      <c r="E13" s="88">
        <v>13542</v>
      </c>
      <c r="F13" s="88">
        <v>7</v>
      </c>
      <c r="G13" s="86">
        <f t="shared" si="0"/>
        <v>19732628.571428571</v>
      </c>
      <c r="H13" s="88">
        <v>1</v>
      </c>
      <c r="I13" s="88">
        <v>14070</v>
      </c>
      <c r="J13" s="88">
        <v>7</v>
      </c>
      <c r="K13" s="86">
        <f t="shared" si="1"/>
        <v>20502000</v>
      </c>
      <c r="L13" s="88">
        <v>1</v>
      </c>
      <c r="M13" s="88">
        <v>15197</v>
      </c>
      <c r="N13" s="88">
        <v>7</v>
      </c>
      <c r="O13" s="86">
        <f t="shared" si="2"/>
        <v>22144199.999999996</v>
      </c>
      <c r="P13" s="89">
        <f t="shared" si="3"/>
        <v>20792942.857142854</v>
      </c>
      <c r="Q13" s="89">
        <f t="shared" si="4"/>
        <v>1231829.938898768</v>
      </c>
      <c r="R13" s="90">
        <f t="shared" si="5"/>
        <v>7.3179159600467427</v>
      </c>
      <c r="S13" s="80"/>
      <c r="T13" s="80"/>
      <c r="U13" s="80"/>
      <c r="V13" s="80"/>
    </row>
    <row r="14" spans="1:22">
      <c r="A14" s="80"/>
      <c r="B14" s="87" t="s">
        <v>182</v>
      </c>
      <c r="C14" s="88">
        <v>900</v>
      </c>
      <c r="D14" s="88">
        <v>1</v>
      </c>
      <c r="E14" s="88">
        <v>6282</v>
      </c>
      <c r="F14" s="88">
        <v>7</v>
      </c>
      <c r="G14" s="86">
        <f t="shared" si="0"/>
        <v>9153771.4285714291</v>
      </c>
      <c r="H14" s="88">
        <v>1</v>
      </c>
      <c r="I14" s="88">
        <v>6343</v>
      </c>
      <c r="J14" s="88">
        <v>7</v>
      </c>
      <c r="K14" s="86">
        <f t="shared" si="1"/>
        <v>9242657.1428571418</v>
      </c>
      <c r="L14" s="88">
        <v>1</v>
      </c>
      <c r="M14" s="88">
        <v>7014</v>
      </c>
      <c r="N14" s="88">
        <v>7</v>
      </c>
      <c r="O14" s="86">
        <f t="shared" si="2"/>
        <v>10220400</v>
      </c>
      <c r="P14" s="89">
        <f t="shared" si="3"/>
        <v>9538942.8571428563</v>
      </c>
      <c r="Q14" s="89">
        <f t="shared" si="4"/>
        <v>591830.25075969705</v>
      </c>
      <c r="R14" s="90">
        <f t="shared" si="5"/>
        <v>6.9795002471622967</v>
      </c>
      <c r="S14" s="80"/>
      <c r="T14" s="80"/>
      <c r="U14" s="80"/>
      <c r="V14" s="80"/>
    </row>
    <row r="15" spans="1:22">
      <c r="A15" s="80"/>
      <c r="B15" s="87" t="s">
        <v>183</v>
      </c>
      <c r="C15" s="88">
        <v>900</v>
      </c>
      <c r="D15" s="88">
        <v>1</v>
      </c>
      <c r="E15" s="88">
        <v>3249</v>
      </c>
      <c r="F15" s="88">
        <v>7</v>
      </c>
      <c r="G15" s="86">
        <f t="shared" si="0"/>
        <v>4734257.1428571427</v>
      </c>
      <c r="H15" s="88">
        <v>1</v>
      </c>
      <c r="I15" s="88">
        <v>3902</v>
      </c>
      <c r="J15" s="88">
        <v>7</v>
      </c>
      <c r="K15" s="86">
        <f t="shared" si="1"/>
        <v>5685771.4285714282</v>
      </c>
      <c r="L15" s="88">
        <v>1</v>
      </c>
      <c r="M15" s="88">
        <v>3833</v>
      </c>
      <c r="N15" s="88">
        <v>7</v>
      </c>
      <c r="O15" s="86">
        <f t="shared" si="2"/>
        <v>5585228.5714285709</v>
      </c>
      <c r="P15" s="89">
        <f t="shared" si="3"/>
        <v>5335085.7142857136</v>
      </c>
      <c r="Q15" s="89">
        <f t="shared" si="4"/>
        <v>522755.62714741344</v>
      </c>
      <c r="R15" s="90">
        <f t="shared" si="5"/>
        <v>6.7271414012566968</v>
      </c>
      <c r="S15" s="80"/>
      <c r="T15" s="80"/>
      <c r="U15" s="80"/>
      <c r="V15" s="80"/>
    </row>
    <row r="16" spans="1:22">
      <c r="A16" s="80"/>
      <c r="B16" s="87" t="s">
        <v>184</v>
      </c>
      <c r="C16" s="88">
        <v>900</v>
      </c>
      <c r="D16" s="88">
        <v>0</v>
      </c>
      <c r="E16" s="88">
        <v>12331</v>
      </c>
      <c r="F16" s="88">
        <v>7</v>
      </c>
      <c r="G16" s="86">
        <f t="shared" si="0"/>
        <v>1796802.857142857</v>
      </c>
      <c r="H16" s="88">
        <v>0</v>
      </c>
      <c r="I16" s="88">
        <v>13246</v>
      </c>
      <c r="J16" s="88">
        <v>7</v>
      </c>
      <c r="K16" s="86">
        <f t="shared" si="1"/>
        <v>1930131.4285714284</v>
      </c>
      <c r="L16" s="88">
        <v>0</v>
      </c>
      <c r="M16" s="88">
        <v>11745</v>
      </c>
      <c r="N16" s="88">
        <v>7</v>
      </c>
      <c r="O16" s="86">
        <f t="shared" si="2"/>
        <v>1711414.2857142854</v>
      </c>
      <c r="P16" s="89">
        <f t="shared" si="3"/>
        <v>1812782.857142857</v>
      </c>
      <c r="Q16" s="89">
        <f t="shared" si="4"/>
        <v>110230.74636823416</v>
      </c>
      <c r="R16" s="90">
        <f t="shared" si="5"/>
        <v>6.2583457855668376</v>
      </c>
      <c r="S16" s="80"/>
      <c r="T16" s="80"/>
      <c r="U16" s="80"/>
      <c r="V16" s="80"/>
    </row>
    <row r="17" spans="1:22">
      <c r="A17" s="80"/>
      <c r="B17" s="87" t="s">
        <v>185</v>
      </c>
      <c r="C17" s="88">
        <v>900</v>
      </c>
      <c r="D17" s="88">
        <v>0</v>
      </c>
      <c r="E17" s="88">
        <v>6389</v>
      </c>
      <c r="F17" s="88">
        <v>7</v>
      </c>
      <c r="G17" s="86">
        <f t="shared" si="0"/>
        <v>930968.57142857136</v>
      </c>
      <c r="H17" s="88">
        <v>0</v>
      </c>
      <c r="I17" s="88">
        <v>4586</v>
      </c>
      <c r="J17" s="88">
        <v>7</v>
      </c>
      <c r="K17" s="86">
        <f t="shared" si="1"/>
        <v>668245.7142857142</v>
      </c>
      <c r="L17" s="88">
        <v>0</v>
      </c>
      <c r="M17" s="88">
        <v>5332</v>
      </c>
      <c r="N17" s="88">
        <v>7</v>
      </c>
      <c r="O17" s="86">
        <f t="shared" si="2"/>
        <v>776948.57142857136</v>
      </c>
      <c r="P17" s="89">
        <f t="shared" si="3"/>
        <v>792054.28571428556</v>
      </c>
      <c r="Q17" s="89">
        <f t="shared" si="4"/>
        <v>132011.21872548491</v>
      </c>
      <c r="R17" s="90">
        <f t="shared" si="5"/>
        <v>5.8987549482286576</v>
      </c>
      <c r="S17" s="80"/>
      <c r="T17" s="80"/>
      <c r="U17" s="80"/>
      <c r="V17" s="80"/>
    </row>
    <row r="18" spans="1:22">
      <c r="A18" s="80"/>
      <c r="B18" s="87" t="s">
        <v>186</v>
      </c>
      <c r="C18" s="88">
        <v>900</v>
      </c>
      <c r="D18" s="88">
        <v>0</v>
      </c>
      <c r="E18" s="88">
        <v>2453</v>
      </c>
      <c r="F18" s="88">
        <v>7</v>
      </c>
      <c r="G18" s="86">
        <f t="shared" si="0"/>
        <v>357437.14285714284</v>
      </c>
      <c r="H18" s="88">
        <v>0</v>
      </c>
      <c r="I18" s="88">
        <v>2433</v>
      </c>
      <c r="J18" s="88">
        <v>7</v>
      </c>
      <c r="K18" s="86">
        <f t="shared" si="1"/>
        <v>354522.8571428571</v>
      </c>
      <c r="L18" s="88">
        <v>0</v>
      </c>
      <c r="M18" s="88">
        <v>1833</v>
      </c>
      <c r="N18" s="88">
        <v>7</v>
      </c>
      <c r="O18" s="86">
        <f t="shared" si="2"/>
        <v>267094.28571428568</v>
      </c>
      <c r="P18" s="89">
        <f t="shared" si="3"/>
        <v>326351.42857142852</v>
      </c>
      <c r="Q18" s="89">
        <f t="shared" si="4"/>
        <v>51338.874159841398</v>
      </c>
      <c r="R18" s="90">
        <f t="shared" si="5"/>
        <v>5.5136855181177333</v>
      </c>
      <c r="S18" s="80"/>
      <c r="T18" s="80"/>
      <c r="U18" s="80"/>
      <c r="V18" s="80"/>
    </row>
    <row r="19" spans="1:22">
      <c r="A19" s="80"/>
      <c r="B19" s="87" t="s">
        <v>187</v>
      </c>
      <c r="C19" s="88">
        <v>900</v>
      </c>
      <c r="D19" s="88">
        <v>0</v>
      </c>
      <c r="E19" s="88">
        <v>2574</v>
      </c>
      <c r="F19" s="88">
        <v>14</v>
      </c>
      <c r="G19" s="86">
        <f t="shared" si="0"/>
        <v>187534.28571428571</v>
      </c>
      <c r="H19" s="88">
        <v>0</v>
      </c>
      <c r="I19" s="88">
        <v>1997</v>
      </c>
      <c r="J19" s="88">
        <v>14</v>
      </c>
      <c r="K19" s="86">
        <f t="shared" si="1"/>
        <v>145495.71428571429</v>
      </c>
      <c r="L19" s="88">
        <v>0</v>
      </c>
      <c r="M19" s="88">
        <v>1974</v>
      </c>
      <c r="N19" s="88">
        <v>14</v>
      </c>
      <c r="O19" s="86">
        <f t="shared" si="2"/>
        <v>143819.99999999997</v>
      </c>
      <c r="P19" s="89">
        <f t="shared" si="3"/>
        <v>158950</v>
      </c>
      <c r="Q19" s="89">
        <f t="shared" si="4"/>
        <v>24768.892727345858</v>
      </c>
      <c r="R19" s="90">
        <f t="shared" si="5"/>
        <v>5.2012605322507914</v>
      </c>
      <c r="S19" s="80"/>
      <c r="T19" s="80"/>
      <c r="U19" s="80"/>
      <c r="V19" s="80"/>
    </row>
    <row r="20" spans="1:22" ht="15" thickBo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2" ht="43" thickBot="1">
      <c r="A21" s="80"/>
      <c r="B21" s="92" t="s">
        <v>4</v>
      </c>
      <c r="C21" s="92" t="s">
        <v>188</v>
      </c>
      <c r="D21" s="92" t="s">
        <v>189</v>
      </c>
      <c r="E21" s="92" t="s">
        <v>190</v>
      </c>
      <c r="F21" s="92" t="s">
        <v>191</v>
      </c>
      <c r="G21" s="93" t="s">
        <v>192</v>
      </c>
      <c r="H21" s="94" t="s">
        <v>193</v>
      </c>
      <c r="I21" s="94" t="s">
        <v>194</v>
      </c>
      <c r="J21" s="94" t="s">
        <v>195</v>
      </c>
      <c r="K21" s="94" t="s">
        <v>196</v>
      </c>
      <c r="L21" s="94" t="s">
        <v>197</v>
      </c>
      <c r="M21" s="91" t="s">
        <v>198</v>
      </c>
      <c r="N21" s="80"/>
      <c r="O21" s="80"/>
      <c r="P21" s="80"/>
      <c r="Q21" s="80"/>
      <c r="R21" s="80"/>
      <c r="S21" s="80"/>
      <c r="T21" s="80"/>
      <c r="U21" s="80"/>
      <c r="V21" s="80"/>
    </row>
    <row r="22" spans="1: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2">
      <c r="A23" s="80"/>
      <c r="B23" s="87" t="s">
        <v>172</v>
      </c>
      <c r="C23" s="95">
        <v>13.733217239379883</v>
      </c>
      <c r="D23" s="95">
        <v>13.964070320129395</v>
      </c>
      <c r="E23" s="95">
        <v>13.836982727050781</v>
      </c>
      <c r="F23" s="96">
        <f>AVERAGE(C23:E23)</f>
        <v>13.844756762186686</v>
      </c>
      <c r="G23" s="80">
        <f>150/100*180/4*1000/900</f>
        <v>75</v>
      </c>
      <c r="H23" s="97">
        <f>LOG(G23)/LOG(2)</f>
        <v>6.2288186904958813</v>
      </c>
      <c r="I23" s="95">
        <f>C23-H23</f>
        <v>7.5043985488840015</v>
      </c>
      <c r="J23" s="95">
        <f>D23-H23</f>
        <v>7.7352516296335132</v>
      </c>
      <c r="K23" s="95">
        <f>E23-H23</f>
        <v>7.6081640365548999</v>
      </c>
      <c r="L23" s="96">
        <f>AVERAGE(I23:K23)</f>
        <v>7.6159380716908052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>
      <c r="A24" s="80"/>
      <c r="B24" s="87" t="s">
        <v>173</v>
      </c>
      <c r="C24" s="95">
        <v>17.19072151184082</v>
      </c>
      <c r="D24" s="95">
        <v>17.22271728515625</v>
      </c>
      <c r="E24" s="95">
        <v>17.264667510986328</v>
      </c>
      <c r="F24" s="96">
        <f t="shared" ref="F24:F38" si="6">AVERAGE(C24:E24)</f>
        <v>17.226035435994465</v>
      </c>
      <c r="G24" s="80">
        <f t="shared" ref="G24:G27" si="7">150/100*180/4*1000/900</f>
        <v>75</v>
      </c>
      <c r="H24" s="97">
        <f t="shared" ref="H24:H37" si="8">LOG(G24)/LOG(2)</f>
        <v>6.2288186904958813</v>
      </c>
      <c r="I24" s="95">
        <f t="shared" ref="I24:I38" si="9">C24-H24</f>
        <v>10.961902821344939</v>
      </c>
      <c r="J24" s="95">
        <f t="shared" ref="J24:J38" si="10">D24-H24</f>
        <v>10.993898594660369</v>
      </c>
      <c r="K24" s="95">
        <f t="shared" ref="K24:K38" si="11">E24-H24</f>
        <v>11.035848820490447</v>
      </c>
      <c r="L24" s="96">
        <f t="shared" ref="L24:L38" si="12">AVERAGE(I24:K24)</f>
        <v>10.997216745498585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spans="1:22">
      <c r="A25" s="80"/>
      <c r="B25" s="87" t="s">
        <v>174</v>
      </c>
      <c r="C25" s="95">
        <v>20.897546768188477</v>
      </c>
      <c r="D25" s="95">
        <v>20.622665405273438</v>
      </c>
      <c r="E25" s="95">
        <v>20.75037956237793</v>
      </c>
      <c r="F25" s="96">
        <f t="shared" si="6"/>
        <v>20.756863911946613</v>
      </c>
      <c r="G25" s="80">
        <f t="shared" si="7"/>
        <v>75</v>
      </c>
      <c r="H25" s="97">
        <f t="shared" si="8"/>
        <v>6.2288186904958813</v>
      </c>
      <c r="I25" s="95">
        <f t="shared" si="9"/>
        <v>14.668728077692595</v>
      </c>
      <c r="J25" s="95">
        <f t="shared" si="10"/>
        <v>14.393846714777556</v>
      </c>
      <c r="K25" s="95">
        <f t="shared" si="11"/>
        <v>14.521560871882048</v>
      </c>
      <c r="L25" s="96">
        <f t="shared" si="12"/>
        <v>14.528045221450734</v>
      </c>
      <c r="M25" s="91" t="s">
        <v>133</v>
      </c>
      <c r="N25" s="80"/>
      <c r="O25" s="80"/>
      <c r="P25" s="80"/>
      <c r="Q25" s="80"/>
      <c r="R25" s="80"/>
      <c r="S25" s="80"/>
      <c r="T25" s="80"/>
      <c r="U25" s="80"/>
      <c r="V25" s="80"/>
    </row>
    <row r="26" spans="1:22">
      <c r="A26" s="80"/>
      <c r="B26" s="87" t="s">
        <v>175</v>
      </c>
      <c r="C26" s="95">
        <v>25.132444381713867</v>
      </c>
      <c r="D26" s="95">
        <v>25.147838592529297</v>
      </c>
      <c r="E26" s="95">
        <v>25.181661605834961</v>
      </c>
      <c r="F26" s="96">
        <f t="shared" si="6"/>
        <v>25.153981526692707</v>
      </c>
      <c r="G26" s="80">
        <f t="shared" si="7"/>
        <v>75</v>
      </c>
      <c r="H26" s="97">
        <f t="shared" si="8"/>
        <v>6.2288186904958813</v>
      </c>
      <c r="I26" s="95">
        <f t="shared" si="9"/>
        <v>18.903625691217986</v>
      </c>
      <c r="J26" s="95">
        <f t="shared" si="10"/>
        <v>18.919019902033416</v>
      </c>
      <c r="K26" s="95">
        <f t="shared" si="11"/>
        <v>18.95284291533908</v>
      </c>
      <c r="L26" s="96">
        <f t="shared" si="12"/>
        <v>18.925162836196829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>
      <c r="A27" s="80"/>
      <c r="B27" s="87" t="s">
        <v>176</v>
      </c>
      <c r="C27" s="95">
        <v>28.415132522583008</v>
      </c>
      <c r="D27" s="95">
        <v>28.359806060791016</v>
      </c>
      <c r="E27" s="95">
        <v>28.363668441772461</v>
      </c>
      <c r="F27" s="96">
        <f t="shared" si="6"/>
        <v>28.379535675048828</v>
      </c>
      <c r="G27" s="80">
        <f t="shared" si="7"/>
        <v>75</v>
      </c>
      <c r="H27" s="97">
        <f t="shared" si="8"/>
        <v>6.2288186904958813</v>
      </c>
      <c r="I27" s="95">
        <f t="shared" si="9"/>
        <v>22.186313832087126</v>
      </c>
      <c r="J27" s="95">
        <f t="shared" si="10"/>
        <v>22.130987370295134</v>
      </c>
      <c r="K27" s="95">
        <f t="shared" si="11"/>
        <v>22.13484975127658</v>
      </c>
      <c r="L27" s="96">
        <f t="shared" si="12"/>
        <v>22.150716984552947</v>
      </c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2">
      <c r="A28" s="80"/>
      <c r="B28" s="87" t="s">
        <v>177</v>
      </c>
      <c r="C28" s="95">
        <v>14.936457633972168</v>
      </c>
      <c r="D28" s="95">
        <v>14.999619483947754</v>
      </c>
      <c r="E28" s="95">
        <v>15.074687957763672</v>
      </c>
      <c r="F28" s="96">
        <f t="shared" si="6"/>
        <v>15.003588358561197</v>
      </c>
      <c r="G28" s="80">
        <f>150/100*180/4*1000/500</f>
        <v>135</v>
      </c>
      <c r="H28" s="97">
        <f t="shared" si="8"/>
        <v>7.0768155970508309</v>
      </c>
      <c r="I28" s="95">
        <f t="shared" si="9"/>
        <v>7.8596420369213371</v>
      </c>
      <c r="J28" s="95">
        <f t="shared" si="10"/>
        <v>7.9228038868969231</v>
      </c>
      <c r="K28" s="95">
        <f t="shared" si="11"/>
        <v>7.997872360712841</v>
      </c>
      <c r="L28" s="96">
        <f t="shared" si="12"/>
        <v>7.9267727615103674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>
      <c r="A29" s="80"/>
      <c r="B29" s="87" t="s">
        <v>178</v>
      </c>
      <c r="C29" s="95">
        <v>16.18989372253418</v>
      </c>
      <c r="D29" s="95">
        <v>15.8782958984375</v>
      </c>
      <c r="E29" s="95">
        <v>15.960098266601562</v>
      </c>
      <c r="F29" s="96">
        <f t="shared" si="6"/>
        <v>16.009429295857746</v>
      </c>
      <c r="G29" s="80">
        <f t="shared" ref="G29:G37" si="13">150/100*180/4*1000/500</f>
        <v>135</v>
      </c>
      <c r="H29" s="97">
        <f t="shared" si="8"/>
        <v>7.0768155970508309</v>
      </c>
      <c r="I29" s="95">
        <f t="shared" si="9"/>
        <v>9.1130781254833479</v>
      </c>
      <c r="J29" s="95">
        <f t="shared" si="10"/>
        <v>8.8014803013866683</v>
      </c>
      <c r="K29" s="95">
        <f t="shared" si="11"/>
        <v>8.8832826695507308</v>
      </c>
      <c r="L29" s="96">
        <f t="shared" si="12"/>
        <v>8.9326136988069162</v>
      </c>
      <c r="M29" s="91" t="s">
        <v>133</v>
      </c>
      <c r="N29" s="80"/>
      <c r="O29" s="80"/>
      <c r="P29" s="80"/>
      <c r="Q29" s="80"/>
      <c r="R29" s="80"/>
      <c r="S29" s="80"/>
      <c r="T29" s="80"/>
      <c r="U29" s="80"/>
      <c r="V29" s="80"/>
    </row>
    <row r="30" spans="1:22">
      <c r="A30" s="80"/>
      <c r="B30" s="87" t="s">
        <v>179</v>
      </c>
      <c r="C30" s="95">
        <v>16.854721069335938</v>
      </c>
      <c r="D30" s="95">
        <v>16.93126106262207</v>
      </c>
      <c r="E30" s="95">
        <v>17.05010986328125</v>
      </c>
      <c r="F30" s="96">
        <f t="shared" si="6"/>
        <v>16.945363998413086</v>
      </c>
      <c r="G30" s="80">
        <f t="shared" si="13"/>
        <v>135</v>
      </c>
      <c r="H30" s="97">
        <f t="shared" si="8"/>
        <v>7.0768155970508309</v>
      </c>
      <c r="I30" s="95">
        <f t="shared" si="9"/>
        <v>9.7779054722851058</v>
      </c>
      <c r="J30" s="95">
        <f t="shared" si="10"/>
        <v>9.8544454655712386</v>
      </c>
      <c r="K30" s="95">
        <f t="shared" si="11"/>
        <v>9.9732942662304183</v>
      </c>
      <c r="L30" s="96">
        <f t="shared" si="12"/>
        <v>9.8685484013622542</v>
      </c>
      <c r="M30" s="91" t="s">
        <v>133</v>
      </c>
      <c r="N30" s="80"/>
      <c r="O30" s="80"/>
      <c r="P30" s="80"/>
      <c r="Q30" s="80"/>
      <c r="R30" s="80"/>
      <c r="S30" s="80"/>
      <c r="T30" s="80"/>
      <c r="U30" s="80"/>
      <c r="V30" s="80"/>
    </row>
    <row r="31" spans="1:22">
      <c r="A31" s="80"/>
      <c r="B31" s="87" t="s">
        <v>180</v>
      </c>
      <c r="C31" s="95">
        <v>18.072385787963867</v>
      </c>
      <c r="D31" s="95">
        <v>18.182058334350586</v>
      </c>
      <c r="E31" s="95">
        <v>18.225353240966797</v>
      </c>
      <c r="F31" s="96">
        <f t="shared" si="6"/>
        <v>18.159932454427082</v>
      </c>
      <c r="G31" s="80">
        <f t="shared" si="13"/>
        <v>135</v>
      </c>
      <c r="H31" s="97">
        <f t="shared" si="8"/>
        <v>7.0768155970508309</v>
      </c>
      <c r="I31" s="95">
        <f t="shared" si="9"/>
        <v>10.995570190913035</v>
      </c>
      <c r="J31" s="95">
        <f t="shared" si="10"/>
        <v>11.105242737299754</v>
      </c>
      <c r="K31" s="95">
        <f t="shared" si="11"/>
        <v>11.148537643915965</v>
      </c>
      <c r="L31" s="96">
        <f t="shared" si="12"/>
        <v>11.083116857376252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22">
      <c r="A32" s="80"/>
      <c r="B32" s="87" t="s">
        <v>181</v>
      </c>
      <c r="C32" s="95">
        <v>20.280126571655273</v>
      </c>
      <c r="D32" s="95">
        <v>20.968669891357422</v>
      </c>
      <c r="E32" s="95">
        <v>20.306863784790039</v>
      </c>
      <c r="F32" s="96">
        <f t="shared" si="6"/>
        <v>20.518553415934246</v>
      </c>
      <c r="G32" s="80">
        <f t="shared" si="13"/>
        <v>135</v>
      </c>
      <c r="H32" s="97">
        <f t="shared" si="8"/>
        <v>7.0768155970508309</v>
      </c>
      <c r="I32" s="95">
        <f t="shared" si="9"/>
        <v>13.203310974604442</v>
      </c>
      <c r="J32" s="95">
        <f t="shared" si="10"/>
        <v>13.89185429430659</v>
      </c>
      <c r="K32" s="95">
        <f t="shared" si="11"/>
        <v>13.230048187739207</v>
      </c>
      <c r="L32" s="96">
        <f t="shared" si="12"/>
        <v>13.441737818883412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:22">
      <c r="A33" s="80"/>
      <c r="B33" s="87" t="s">
        <v>182</v>
      </c>
      <c r="C33" s="95">
        <v>21.049312591552734</v>
      </c>
      <c r="D33" s="95">
        <v>21.128349304199219</v>
      </c>
      <c r="E33" s="95">
        <v>21.15723991394043</v>
      </c>
      <c r="F33" s="96">
        <f t="shared" si="6"/>
        <v>21.111633936564129</v>
      </c>
      <c r="G33" s="80">
        <f t="shared" si="13"/>
        <v>135</v>
      </c>
      <c r="H33" s="97">
        <f t="shared" si="8"/>
        <v>7.0768155970508309</v>
      </c>
      <c r="I33" s="95">
        <f t="shared" si="9"/>
        <v>13.972496994501903</v>
      </c>
      <c r="J33" s="95">
        <f t="shared" si="10"/>
        <v>14.051533707148387</v>
      </c>
      <c r="K33" s="95">
        <f t="shared" si="11"/>
        <v>14.080424316889598</v>
      </c>
      <c r="L33" s="96">
        <f t="shared" si="12"/>
        <v>14.034818339513295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:22">
      <c r="A34" s="80"/>
      <c r="B34" s="87" t="s">
        <v>183</v>
      </c>
      <c r="C34" s="95">
        <v>21.142179489135742</v>
      </c>
      <c r="D34" s="95">
        <v>21.006193161010742</v>
      </c>
      <c r="E34" s="95">
        <v>21.079441070556641</v>
      </c>
      <c r="F34" s="96">
        <f t="shared" si="6"/>
        <v>21.075937906901043</v>
      </c>
      <c r="G34" s="80">
        <f t="shared" si="13"/>
        <v>135</v>
      </c>
      <c r="H34" s="97">
        <f t="shared" si="8"/>
        <v>7.0768155970508309</v>
      </c>
      <c r="I34" s="95">
        <f t="shared" si="9"/>
        <v>14.06536389208491</v>
      </c>
      <c r="J34" s="95">
        <f t="shared" si="10"/>
        <v>13.92937756395991</v>
      </c>
      <c r="K34" s="95">
        <f t="shared" si="11"/>
        <v>14.002625473505809</v>
      </c>
      <c r="L34" s="96">
        <f t="shared" si="12"/>
        <v>13.999122309850209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:22">
      <c r="A35" s="80"/>
      <c r="B35" s="87" t="s">
        <v>184</v>
      </c>
      <c r="C35" s="95">
        <v>22.919816970825195</v>
      </c>
      <c r="D35" s="95">
        <v>22.845848083496094</v>
      </c>
      <c r="E35" s="95">
        <v>22.840835571289062</v>
      </c>
      <c r="F35" s="96">
        <f t="shared" si="6"/>
        <v>22.868833541870117</v>
      </c>
      <c r="G35" s="80">
        <f t="shared" si="13"/>
        <v>135</v>
      </c>
      <c r="H35" s="97">
        <f t="shared" si="8"/>
        <v>7.0768155970508309</v>
      </c>
      <c r="I35" s="95">
        <f t="shared" si="9"/>
        <v>15.843001373774364</v>
      </c>
      <c r="J35" s="95">
        <f t="shared" si="10"/>
        <v>15.769032486445262</v>
      </c>
      <c r="K35" s="95">
        <f t="shared" si="11"/>
        <v>15.764019974238231</v>
      </c>
      <c r="L35" s="96">
        <f t="shared" si="12"/>
        <v>15.792017944819285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 spans="1:22">
      <c r="A36" s="80"/>
      <c r="B36" s="87" t="s">
        <v>185</v>
      </c>
      <c r="C36" s="95">
        <v>23.948450088500977</v>
      </c>
      <c r="D36" s="95">
        <v>24.184415817260742</v>
      </c>
      <c r="E36" s="95">
        <v>24.005857467651367</v>
      </c>
      <c r="F36" s="96">
        <f t="shared" si="6"/>
        <v>24.046241124471027</v>
      </c>
      <c r="G36" s="80">
        <f t="shared" si="13"/>
        <v>135</v>
      </c>
      <c r="H36" s="97">
        <f t="shared" si="8"/>
        <v>7.0768155970508309</v>
      </c>
      <c r="I36" s="95">
        <f t="shared" si="9"/>
        <v>16.871634491450145</v>
      </c>
      <c r="J36" s="95">
        <f t="shared" si="10"/>
        <v>17.10760022020991</v>
      </c>
      <c r="K36" s="95">
        <f t="shared" si="11"/>
        <v>16.929041870600535</v>
      </c>
      <c r="L36" s="96">
        <f t="shared" si="12"/>
        <v>16.969425527420196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 spans="1:22">
      <c r="A37" s="80"/>
      <c r="B37" s="87" t="s">
        <v>186</v>
      </c>
      <c r="C37" s="95">
        <v>24.632528305053711</v>
      </c>
      <c r="D37" s="95">
        <v>24.451812744140625</v>
      </c>
      <c r="E37" s="95">
        <v>24.549453735351562</v>
      </c>
      <c r="F37" s="96">
        <f t="shared" si="6"/>
        <v>24.544598261515301</v>
      </c>
      <c r="G37" s="80">
        <f t="shared" si="13"/>
        <v>135</v>
      </c>
      <c r="H37" s="97">
        <f t="shared" si="8"/>
        <v>7.0768155970508309</v>
      </c>
      <c r="I37" s="95">
        <f t="shared" si="9"/>
        <v>17.555712708002879</v>
      </c>
      <c r="J37" s="95">
        <f t="shared" si="10"/>
        <v>17.374997147089793</v>
      </c>
      <c r="K37" s="95">
        <f t="shared" si="11"/>
        <v>17.472638138300731</v>
      </c>
      <c r="L37" s="96">
        <f t="shared" si="12"/>
        <v>17.467782664464469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</row>
    <row r="38" spans="1:22">
      <c r="A38" s="80"/>
      <c r="B38" s="87" t="s">
        <v>187</v>
      </c>
      <c r="C38" s="88"/>
      <c r="D38" s="88"/>
      <c r="E38" s="88"/>
      <c r="F38" s="96" t="e">
        <f t="shared" si="6"/>
        <v>#DIV/0!</v>
      </c>
      <c r="G38" s="80">
        <v>0</v>
      </c>
      <c r="H38" s="97">
        <v>0</v>
      </c>
      <c r="I38" s="95">
        <f t="shared" si="9"/>
        <v>0</v>
      </c>
      <c r="J38" s="95">
        <f t="shared" si="10"/>
        <v>0</v>
      </c>
      <c r="K38" s="95">
        <f t="shared" si="11"/>
        <v>0</v>
      </c>
      <c r="L38" s="96">
        <f t="shared" si="12"/>
        <v>0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</row>
    <row r="39" spans="1:22">
      <c r="A39" s="80"/>
      <c r="B39" s="80"/>
      <c r="C39" s="80"/>
      <c r="D39" s="80"/>
      <c r="E39" s="80"/>
      <c r="F39" s="97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</row>
    <row r="40" spans="1:22">
      <c r="A40" s="80"/>
      <c r="B40" s="87" t="s">
        <v>199</v>
      </c>
      <c r="C40" s="95">
        <v>14.390941619873047</v>
      </c>
      <c r="D40" s="95">
        <v>14.411395072937012</v>
      </c>
      <c r="E40" s="95">
        <v>14.301624298095703</v>
      </c>
      <c r="F40" s="96">
        <f>AVERAGE(C40:E40)</f>
        <v>14.367986996968588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</row>
    <row r="41" spans="1:2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:22">
      <c r="A42" s="80"/>
      <c r="B42" s="91" t="s">
        <v>200</v>
      </c>
      <c r="C42" s="80" t="s">
        <v>201</v>
      </c>
      <c r="D42" s="80"/>
      <c r="E42" s="80"/>
      <c r="F42" t="s">
        <v>202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:22">
      <c r="A43" s="80"/>
      <c r="B43" s="80" t="s">
        <v>203</v>
      </c>
      <c r="C43" s="80" t="s">
        <v>201</v>
      </c>
      <c r="D43" s="80"/>
      <c r="E43" s="80"/>
      <c r="F43">
        <v>0.35990572856564834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:22">
      <c r="A44" s="80"/>
      <c r="B44" s="80"/>
      <c r="C44" s="98" t="s">
        <v>204</v>
      </c>
      <c r="D44" s="99">
        <v>-3.2483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 spans="1:22">
      <c r="A45" s="80"/>
      <c r="B45" s="80"/>
      <c r="C45" s="98" t="s">
        <v>205</v>
      </c>
      <c r="D45" s="100">
        <v>36.023000000000003</v>
      </c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</row>
    <row r="46" spans="1:2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</row>
    <row r="47" spans="1:2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</row>
    <row r="48" spans="1:22">
      <c r="A48" s="80"/>
      <c r="B48" s="91" t="s">
        <v>206</v>
      </c>
      <c r="C48" s="80"/>
      <c r="D48" s="80">
        <f>-1+ POWER(10,-(1/D44))</f>
        <v>1.0316707994539165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</row>
    <row r="49" spans="1:2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</row>
    <row r="50" spans="1:2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</row>
    <row r="51" spans="1:2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</row>
    <row r="52" spans="1:2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</row>
    <row r="53" spans="1:2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</row>
    <row r="54" spans="1:2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</row>
    <row r="55" spans="1:2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4" workbookViewId="0">
      <selection activeCell="H23" sqref="H23"/>
    </sheetView>
  </sheetViews>
  <sheetFormatPr baseColWidth="10" defaultRowHeight="14" x14ac:dyDescent="0"/>
  <sheetData>
    <row r="1" spans="1:31">
      <c r="A1" s="101" t="s">
        <v>207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 spans="1:31">
      <c r="A2" s="118" t="s">
        <v>4</v>
      </c>
      <c r="B2" s="118" t="s">
        <v>118</v>
      </c>
      <c r="C2" s="118" t="s">
        <v>118</v>
      </c>
      <c r="D2" s="118" t="s">
        <v>5</v>
      </c>
      <c r="E2" s="132" t="s">
        <v>208</v>
      </c>
      <c r="F2" s="132" t="s">
        <v>209</v>
      </c>
      <c r="G2" s="132" t="s">
        <v>210</v>
      </c>
      <c r="H2" s="134" t="s">
        <v>211</v>
      </c>
      <c r="I2" s="134" t="s">
        <v>212</v>
      </c>
      <c r="J2" s="134" t="s">
        <v>213</v>
      </c>
      <c r="K2" s="132" t="s">
        <v>214</v>
      </c>
      <c r="L2" s="132" t="s">
        <v>215</v>
      </c>
      <c r="M2" s="132" t="s">
        <v>216</v>
      </c>
      <c r="N2" s="132" t="s">
        <v>217</v>
      </c>
      <c r="O2" s="132" t="s">
        <v>218</v>
      </c>
      <c r="P2" s="134" t="s">
        <v>219</v>
      </c>
      <c r="Q2" s="134" t="s">
        <v>220</v>
      </c>
      <c r="R2" s="134" t="s">
        <v>221</v>
      </c>
      <c r="S2" s="134" t="s">
        <v>222</v>
      </c>
      <c r="T2" s="80"/>
      <c r="U2" s="136" t="s">
        <v>221</v>
      </c>
      <c r="V2" s="137"/>
      <c r="W2" s="137"/>
      <c r="X2" s="137"/>
      <c r="Z2" s="136" t="s">
        <v>222</v>
      </c>
      <c r="AA2" s="137"/>
      <c r="AB2" s="137"/>
      <c r="AC2" s="137"/>
      <c r="AD2" s="137"/>
      <c r="AE2" s="137"/>
    </row>
    <row r="3" spans="1:31">
      <c r="A3" s="119"/>
      <c r="B3" s="119"/>
      <c r="C3" s="119"/>
      <c r="D3" s="119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80"/>
      <c r="U3" s="138"/>
      <c r="V3" s="139"/>
      <c r="W3" s="139"/>
      <c r="X3" s="139"/>
      <c r="Z3" s="136"/>
      <c r="AA3" s="137"/>
      <c r="AB3" s="137"/>
      <c r="AC3" s="137"/>
      <c r="AD3" s="137"/>
      <c r="AE3" s="137"/>
    </row>
    <row r="4" spans="1:31">
      <c r="A4" s="40">
        <v>0</v>
      </c>
      <c r="B4" s="32">
        <v>10</v>
      </c>
      <c r="C4" s="32">
        <f>B4</f>
        <v>10</v>
      </c>
      <c r="D4" s="13">
        <f t="shared" ref="D4:D7" si="0">C4/60</f>
        <v>0.16666666666666666</v>
      </c>
      <c r="E4" s="95">
        <v>28.591108322143555</v>
      </c>
      <c r="F4" s="95">
        <v>28.697603225708008</v>
      </c>
      <c r="G4" s="96">
        <v>28.792701721191406</v>
      </c>
      <c r="H4" s="102">
        <f t="shared" ref="H4:J7" si="1">E4-$H$31+$H$45</f>
        <v>28.933965465000696</v>
      </c>
      <c r="I4" s="102">
        <f t="shared" si="1"/>
        <v>29.040460368565149</v>
      </c>
      <c r="J4" s="102">
        <f t="shared" si="1"/>
        <v>29.135558864048548</v>
      </c>
      <c r="K4" s="96">
        <f>((H4-'Calibration F. prausnitzii'!$D$45)/('Calibration F. prausnitzii'!$D$44))+$B$25</f>
        <v>5.8355954633179685</v>
      </c>
      <c r="L4" s="96">
        <f>((I4-'[1]Calibration F. prausnitzii'!$D$45)/('[1]Calibration F. prausnitzii'!$D$44))+$B$25</f>
        <v>5.8028106517043696</v>
      </c>
      <c r="M4" s="96">
        <f>((J4-'[1]Calibration F. prausnitzii'!$D$45)/('[1]Calibration F. prausnitzii'!$D$44))+$B$25</f>
        <v>5.7735342623673631</v>
      </c>
      <c r="N4" s="103">
        <f>AVERAGE(K4:M4)</f>
        <v>5.8039801257965671</v>
      </c>
      <c r="O4" s="103">
        <f>STDEV(K4:M4)</f>
        <v>3.1047124151797011E-2</v>
      </c>
      <c r="P4" s="104">
        <f>(AVERAGE(POWER(10,K4),POWER(10,L4),POWER(10,M4)))*(Calculation!$I4/Calculation!$K3)</f>
        <v>638661.43045935524</v>
      </c>
      <c r="Q4" s="104">
        <f>(STDEV(POWER(10,K4),POWER(10,L4),POWER(10,M4)))*(Calculation!$I4/Calculation!$K3)</f>
        <v>45719.669496364026</v>
      </c>
      <c r="R4" s="103">
        <f>LOG(P4)</f>
        <v>5.8052706893778785</v>
      </c>
      <c r="S4" s="103">
        <f>O4*(Calculation!$I4/Calculation!$K3)</f>
        <v>3.1086471110272077E-2</v>
      </c>
      <c r="T4" s="80"/>
      <c r="U4" s="103">
        <v>5.9030622513749984</v>
      </c>
      <c r="V4" s="103">
        <v>6.1132241026609417</v>
      </c>
      <c r="W4" s="103">
        <v>5.9601828810715674</v>
      </c>
      <c r="X4" s="103">
        <f>AVERAGE(U4:W4)</f>
        <v>5.9921564117025028</v>
      </c>
      <c r="Z4">
        <v>3.108647111027206E-2</v>
      </c>
      <c r="AA4">
        <v>5.1815473355603256E-2</v>
      </c>
      <c r="AB4">
        <v>3.5313257540745532E-2</v>
      </c>
      <c r="AC4">
        <f>SUM(Z4:AB4)</f>
        <v>0.11821520200662085</v>
      </c>
      <c r="AD4">
        <f>STDEV(U4:W4)</f>
        <v>0.10866798484254343</v>
      </c>
      <c r="AE4">
        <f>AC4+AD4</f>
        <v>0.22688318684916428</v>
      </c>
    </row>
    <row r="5" spans="1:31">
      <c r="A5" s="40">
        <v>1</v>
      </c>
      <c r="B5" s="32">
        <v>710</v>
      </c>
      <c r="C5" s="32">
        <f>C4+B5</f>
        <v>720</v>
      </c>
      <c r="D5" s="13">
        <f t="shared" si="0"/>
        <v>12</v>
      </c>
      <c r="E5" s="95">
        <v>20.826812744140625</v>
      </c>
      <c r="F5" s="95">
        <v>20.755046844482422</v>
      </c>
      <c r="G5" s="96">
        <v>20.824792861938477</v>
      </c>
      <c r="H5" s="102">
        <f t="shared" si="1"/>
        <v>21.169669886997767</v>
      </c>
      <c r="I5" s="102">
        <f t="shared" si="1"/>
        <v>21.097903987339564</v>
      </c>
      <c r="J5" s="102">
        <f t="shared" si="1"/>
        <v>21.167650004795618</v>
      </c>
      <c r="K5" s="96">
        <f>((H5-'[1]Calibration F. prausnitzii'!$D$45)/('[1]Calibration F. prausnitzii'!$D$44))+$B$25</f>
        <v>8.2258597794226773</v>
      </c>
      <c r="L5" s="96">
        <f>((I5-'[1]Calibration F. prausnitzii'!$D$45)/('[1]Calibration F. prausnitzii'!$D$44))+$B$25</f>
        <v>8.2479531512350732</v>
      </c>
      <c r="M5" s="96">
        <f>((J5-'[1]Calibration F. prausnitzii'!$D$45)/('[1]Calibration F. prausnitzii'!$D$44))+$B$25</f>
        <v>8.226481606902329</v>
      </c>
      <c r="N5" s="103">
        <f t="shared" ref="N5:N7" si="2">AVERAGE(K5:M5)</f>
        <v>8.2334315125200259</v>
      </c>
      <c r="O5" s="103">
        <f t="shared" ref="O5:O7" si="3">STDEV(K5:M5)</f>
        <v>1.2579950738431772E-2</v>
      </c>
      <c r="P5" s="104">
        <f>(AVERAGE(POWER(10,K5),POWER(10,L5),POWER(10,M5)))*(Calculation!$I5/Calculation!$K4)</f>
        <v>172376036.38081393</v>
      </c>
      <c r="Q5" s="104">
        <f>(STDEV(POWER(10,K5),POWER(10,L5),POWER(10,M5)))*(Calculation!$I5/Calculation!$K4)</f>
        <v>5034039.7472492764</v>
      </c>
      <c r="R5" s="103">
        <f t="shared" ref="R5:R7" si="4">LOG(P5)</f>
        <v>8.2364768903114811</v>
      </c>
      <c r="S5" s="103">
        <f>O5*(Calculation!$I5/Calculation!$K4)</f>
        <v>1.2664912285647095E-2</v>
      </c>
      <c r="T5" s="80"/>
      <c r="U5" s="103">
        <v>8.334268452308601</v>
      </c>
      <c r="V5" s="103">
        <v>8.3031077001114699</v>
      </c>
      <c r="W5" s="103">
        <v>8.0027502419044687</v>
      </c>
      <c r="X5" s="103">
        <f t="shared" ref="X5:X7" si="5">AVERAGE(U5:W5)</f>
        <v>8.2133754647748471</v>
      </c>
      <c r="Z5">
        <v>1.2664912285647589E-2</v>
      </c>
      <c r="AA5">
        <v>1.7184146814585455E-2</v>
      </c>
      <c r="AB5">
        <v>2.8002453952578159E-2</v>
      </c>
      <c r="AC5">
        <f t="shared" ref="AC5:AC7" si="6">SUM(Z5:AB5)</f>
        <v>5.7851513052811207E-2</v>
      </c>
      <c r="AD5">
        <f t="shared" ref="AD5:AD7" si="7">STDEV(U5:W5)</f>
        <v>0.18307098760117618</v>
      </c>
      <c r="AE5">
        <f t="shared" ref="AE5:AE7" si="8">AC5+AD5</f>
        <v>0.2409225006539874</v>
      </c>
    </row>
    <row r="6" spans="1:31">
      <c r="A6" s="40">
        <v>2</v>
      </c>
      <c r="B6" s="32">
        <v>720</v>
      </c>
      <c r="C6" s="32">
        <f>C5+B6</f>
        <v>1440</v>
      </c>
      <c r="D6" s="13">
        <f t="shared" si="0"/>
        <v>24</v>
      </c>
      <c r="E6" s="95">
        <v>18.92921257019043</v>
      </c>
      <c r="F6" s="95">
        <v>18.939054489135742</v>
      </c>
      <c r="G6" s="96">
        <v>18.986772537231445</v>
      </c>
      <c r="H6" s="102">
        <f t="shared" si="1"/>
        <v>19.272069713047571</v>
      </c>
      <c r="I6" s="102">
        <f t="shared" si="1"/>
        <v>19.281911631992884</v>
      </c>
      <c r="J6" s="102">
        <f t="shared" si="1"/>
        <v>19.329629680088587</v>
      </c>
      <c r="K6" s="96">
        <f>((H6-'[1]Calibration F. prausnitzii'!$D$45)/('[1]Calibration F. prausnitzii'!$D$44))+$B$25</f>
        <v>8.8100423284329903</v>
      </c>
      <c r="L6" s="96">
        <f>((I6-'[1]Calibration F. prausnitzii'!$D$45)/('[1]Calibration F. prausnitzii'!$D$44))+$B$25</f>
        <v>8.8070124608267619</v>
      </c>
      <c r="M6" s="96">
        <f>((J6-'[1]Calibration F. prausnitzii'!$D$45)/('[1]Calibration F. prausnitzii'!$D$44))+$B$25</f>
        <v>8.7923223004057096</v>
      </c>
      <c r="N6" s="103">
        <f t="shared" si="2"/>
        <v>8.8031256965551545</v>
      </c>
      <c r="O6" s="103">
        <f t="shared" si="3"/>
        <v>9.4778716333989987E-3</v>
      </c>
      <c r="P6" s="104">
        <f>(AVERAGE(POWER(10,K6),POWER(10,L6),POWER(10,M6)))*(Calculation!$I6/Calculation!$K5)</f>
        <v>642169292.82828403</v>
      </c>
      <c r="Q6" s="104">
        <f>(STDEV(POWER(10,K6),POWER(10,L6),POWER(10,M6)))*(Calculation!$I6/Calculation!$K5)</f>
        <v>13935164.508223765</v>
      </c>
      <c r="R6" s="103">
        <f t="shared" si="4"/>
        <v>8.8076495346872345</v>
      </c>
      <c r="S6" s="103">
        <f>O6*(Calculation!$I6/Calculation!$K5)</f>
        <v>9.575599486222679E-3</v>
      </c>
      <c r="T6" s="80"/>
      <c r="U6" s="103">
        <v>8.9054410966843545</v>
      </c>
      <c r="V6" s="103">
        <v>8.8034694868441878</v>
      </c>
      <c r="W6" s="103">
        <v>8.443951012413196</v>
      </c>
      <c r="X6" s="103">
        <f t="shared" si="5"/>
        <v>8.7176205319805788</v>
      </c>
      <c r="Z6">
        <v>9.575599486222679E-3</v>
      </c>
      <c r="AA6">
        <v>2.1908204941250554E-2</v>
      </c>
      <c r="AB6">
        <v>9.8056041373466851E-2</v>
      </c>
      <c r="AC6">
        <f t="shared" si="6"/>
        <v>0.12953984580094008</v>
      </c>
      <c r="AD6">
        <f t="shared" si="7"/>
        <v>0.24242691013691248</v>
      </c>
      <c r="AE6">
        <f t="shared" si="8"/>
        <v>0.37196675593785256</v>
      </c>
    </row>
    <row r="7" spans="1:31">
      <c r="A7" s="40">
        <v>3</v>
      </c>
      <c r="B7" s="32">
        <v>1440</v>
      </c>
      <c r="C7" s="32">
        <f>C6+B7</f>
        <v>2880</v>
      </c>
      <c r="D7" s="13">
        <f t="shared" si="0"/>
        <v>48</v>
      </c>
      <c r="E7" s="95">
        <v>21.128267288208008</v>
      </c>
      <c r="F7" s="95">
        <v>20.937694549560547</v>
      </c>
      <c r="G7" s="96">
        <v>20.980775833129883</v>
      </c>
      <c r="H7" s="102">
        <f t="shared" si="1"/>
        <v>21.471124431065149</v>
      </c>
      <c r="I7" s="102">
        <f t="shared" si="1"/>
        <v>21.280551692417689</v>
      </c>
      <c r="J7" s="102">
        <f t="shared" si="1"/>
        <v>21.323632975987024</v>
      </c>
      <c r="K7" s="96">
        <f>((H7-'[1]Calibration F. prausnitzii'!$D$45)/('[1]Calibration F. prausnitzii'!$D$44))+$B$25</f>
        <v>8.1330559915744551</v>
      </c>
      <c r="L7" s="96">
        <f>((I7-'[1]Calibration F. prausnitzii'!$D$45)/('[1]Calibration F. prausnitzii'!$D$44))+$B$25</f>
        <v>8.1917244454264573</v>
      </c>
      <c r="M7" s="96">
        <f>((J7-'[1]Calibration F. prausnitzii'!$D$45)/('[1]Calibration F. prausnitzii'!$D$44))+$B$25</f>
        <v>8.1784617284454715</v>
      </c>
      <c r="N7" s="103">
        <f t="shared" si="2"/>
        <v>8.1677473884821268</v>
      </c>
      <c r="O7" s="103">
        <f t="shared" si="3"/>
        <v>3.0766778836655961E-2</v>
      </c>
      <c r="P7" s="104">
        <f>(AVERAGE(POWER(10,K7),POWER(10,L7),POWER(10,M7)))*(Calculation!$I7/Calculation!$K6)</f>
        <v>148908986.60092011</v>
      </c>
      <c r="Q7" s="104">
        <f>(STDEV(POWER(10,K7),POWER(10,L7),POWER(10,M7)))*(Calculation!$I7/Calculation!$K6)</f>
        <v>10370022.767558543</v>
      </c>
      <c r="R7" s="103">
        <f t="shared" si="4"/>
        <v>8.1729209080505054</v>
      </c>
      <c r="S7" s="103">
        <f>O7*(Calculation!$I7/Calculation!$K6)</f>
        <v>3.108402002226264E-2</v>
      </c>
      <c r="T7" s="80"/>
      <c r="U7" s="103">
        <v>8.2707124700476253</v>
      </c>
      <c r="V7" s="103">
        <v>8.2480103475612765</v>
      </c>
      <c r="W7" s="103">
        <v>8.2244710748887258</v>
      </c>
      <c r="X7" s="103">
        <f t="shared" si="5"/>
        <v>8.2477312974992092</v>
      </c>
      <c r="Z7">
        <v>3.1084020022262644E-2</v>
      </c>
      <c r="AA7">
        <v>8.1963821641528753E-2</v>
      </c>
      <c r="AB7">
        <v>5.5498744606814039E-2</v>
      </c>
      <c r="AC7">
        <f t="shared" si="6"/>
        <v>0.16854658627060543</v>
      </c>
      <c r="AD7">
        <f t="shared" si="7"/>
        <v>2.3121960519454879E-2</v>
      </c>
      <c r="AE7">
        <f t="shared" si="8"/>
        <v>0.19166854679006029</v>
      </c>
    </row>
    <row r="8" spans="1:31"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spans="1:31">
      <c r="A9" s="101" t="s">
        <v>207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spans="1:31">
      <c r="A10" s="118" t="s">
        <v>4</v>
      </c>
      <c r="B10" s="118" t="s">
        <v>118</v>
      </c>
      <c r="C10" s="118" t="s">
        <v>118</v>
      </c>
      <c r="D10" s="118" t="s">
        <v>5</v>
      </c>
      <c r="E10" s="132" t="s">
        <v>208</v>
      </c>
      <c r="F10" s="132" t="s">
        <v>209</v>
      </c>
      <c r="G10" s="132" t="s">
        <v>210</v>
      </c>
      <c r="H10" s="134" t="s">
        <v>211</v>
      </c>
      <c r="I10" s="134" t="s">
        <v>212</v>
      </c>
      <c r="J10" s="134" t="s">
        <v>213</v>
      </c>
      <c r="K10" s="132" t="s">
        <v>214</v>
      </c>
      <c r="L10" s="132" t="s">
        <v>215</v>
      </c>
      <c r="M10" s="132" t="s">
        <v>216</v>
      </c>
      <c r="N10" s="132" t="s">
        <v>217</v>
      </c>
      <c r="O10" s="132" t="s">
        <v>218</v>
      </c>
      <c r="P10" s="134" t="s">
        <v>219</v>
      </c>
      <c r="Q10" s="134" t="s">
        <v>220</v>
      </c>
      <c r="R10" s="134" t="s">
        <v>221</v>
      </c>
      <c r="S10" s="134" t="s">
        <v>222</v>
      </c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spans="1:31">
      <c r="A11" s="119"/>
      <c r="B11" s="119"/>
      <c r="C11" s="119"/>
      <c r="D11" s="119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80"/>
      <c r="U11" s="80"/>
      <c r="V11" s="80"/>
      <c r="W11" s="80"/>
      <c r="X11" s="80"/>
      <c r="Y11" s="80"/>
      <c r="Z11" s="80"/>
      <c r="AA11" s="80"/>
      <c r="AB11" s="80"/>
      <c r="AC11" s="80"/>
    </row>
    <row r="12" spans="1:31">
      <c r="A12" s="40">
        <v>0</v>
      </c>
      <c r="B12" s="32">
        <v>10</v>
      </c>
      <c r="C12" s="32">
        <f>B12</f>
        <v>10</v>
      </c>
      <c r="D12" s="13">
        <f t="shared" ref="D12:D15" si="9">C12/60</f>
        <v>0.16666666666666666</v>
      </c>
      <c r="E12" s="95">
        <v>27.988800048828125</v>
      </c>
      <c r="F12" s="95" t="s">
        <v>235</v>
      </c>
      <c r="G12" s="96">
        <v>28.226528167724609</v>
      </c>
      <c r="H12" s="102">
        <f>E12-$H$37+$H$45</f>
        <v>28.231657191685269</v>
      </c>
      <c r="I12" s="102" t="e">
        <f t="shared" ref="I12:J15" si="10">F12-$H$37+$H$45</f>
        <v>#VALUE!</v>
      </c>
      <c r="J12" s="102">
        <f t="shared" si="10"/>
        <v>28.469385310581753</v>
      </c>
      <c r="K12" s="96">
        <f>((H12-'Calibration F. prausnitzii'!$D$45)/('Calibration F. prausnitzii'!$D$44))+$B$25</f>
        <v>6.0518034100333047</v>
      </c>
      <c r="L12" s="96" t="e">
        <f>((I12-'[1]Calibration F. prausnitzii'!$D$45)/('[1]Calibration F. prausnitzii'!$D$44))+$B$25</f>
        <v>#VALUE!</v>
      </c>
      <c r="M12" s="96">
        <f>((J12-'[1]Calibration F. prausnitzii'!$D$45)/('[1]Calibration F. prausnitzii'!$D$44))+$B$25</f>
        <v>5.978618014935412</v>
      </c>
      <c r="N12" s="103">
        <f>AVERAGE(K12,M12)</f>
        <v>6.0152107124843583</v>
      </c>
      <c r="O12" s="103">
        <f>STDEV(K12,M12)</f>
        <v>5.1749889157536623E-2</v>
      </c>
      <c r="P12" s="104">
        <f>(AVERAGE(POWER(10,K12),POWER(10,M12)))*(Calculation!$I4/Calculation!$K3)</f>
        <v>1040640.0784755285</v>
      </c>
      <c r="Q12" s="104">
        <f>(STDEV(POWER(10,K12),POWER(10,M12)))*(Calculation!$I4/Calculation!$K3)</f>
        <v>123708.52240112587</v>
      </c>
      <c r="R12" s="103">
        <f>LOG(P12)</f>
        <v>6.017300547992444</v>
      </c>
      <c r="S12" s="103">
        <f>O12*(Calculation!$I4/Calculation!$K3)</f>
        <v>5.1815473355603256E-2</v>
      </c>
      <c r="T12" s="80"/>
      <c r="U12" s="80"/>
      <c r="V12" s="80"/>
      <c r="W12" s="80"/>
      <c r="X12" s="80"/>
      <c r="Y12" s="80"/>
      <c r="Z12" s="80"/>
      <c r="AA12" s="80"/>
      <c r="AB12" s="80"/>
      <c r="AC12" s="80"/>
    </row>
    <row r="13" spans="1:31">
      <c r="A13" s="40">
        <v>1</v>
      </c>
      <c r="B13" s="32">
        <v>710</v>
      </c>
      <c r="C13" s="32">
        <f>C12+B13</f>
        <v>720</v>
      </c>
      <c r="D13" s="13">
        <f t="shared" si="9"/>
        <v>12</v>
      </c>
      <c r="E13" s="95">
        <v>21.042169570922852</v>
      </c>
      <c r="F13" s="95">
        <v>21.054969787597656</v>
      </c>
      <c r="G13" s="96">
        <v>20.953178405761719</v>
      </c>
      <c r="H13" s="102">
        <f t="shared" ref="H13:H15" si="11">E13-$H$37+$H$45</f>
        <v>21.285026713779995</v>
      </c>
      <c r="I13" s="102">
        <f t="shared" si="10"/>
        <v>21.2978269304548</v>
      </c>
      <c r="J13" s="102">
        <f t="shared" si="10"/>
        <v>21.196035548618863</v>
      </c>
      <c r="K13" s="96">
        <f>((H13-'[1]Calibration F. prausnitzii'!$D$45)/('[1]Calibration F. prausnitzii'!$D$44))+$B$25</f>
        <v>8.1903467951594546</v>
      </c>
      <c r="L13" s="96">
        <f>((I13-'[1]Calibration F. prausnitzii'!$D$45)/('[1]Calibration F. prausnitzii'!$D$44))+$B$25</f>
        <v>8.1864062057204237</v>
      </c>
      <c r="M13" s="96">
        <f>((J13-'[1]Calibration F. prausnitzii'!$D$45)/('[1]Calibration F. prausnitzii'!$D$44))+$B$25</f>
        <v>8.2177430224663937</v>
      </c>
      <c r="N13" s="103">
        <f t="shared" ref="N13:N15" si="12">AVERAGE(K13:M13)</f>
        <v>8.1981653411154252</v>
      </c>
      <c r="O13" s="103">
        <f t="shared" ref="O13:O15" si="13">STDEV(K13:M13)</f>
        <v>1.7068868345377498E-2</v>
      </c>
      <c r="P13" s="104">
        <f>(AVERAGE(POWER(10,K13),POWER(10,M13)))*(Calculation!$I5/Calculation!$K4)</f>
        <v>161132871.07283905</v>
      </c>
      <c r="Q13" s="104">
        <f>(STDEV(POWER(10,K13),POWER(10,M13)))*(Calculation!$I5/Calculation!$K4)</f>
        <v>7185080.0809051488</v>
      </c>
      <c r="R13" s="103">
        <f t="shared" ref="R13:R15" si="14">LOG(P13)</f>
        <v>8.2071841454429713</v>
      </c>
      <c r="S13" s="103">
        <f>O13*(Calculation!$I5/Calculation!$K4)</f>
        <v>1.7184146814585455E-2</v>
      </c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spans="1:31">
      <c r="A14" s="40">
        <v>2</v>
      </c>
      <c r="B14" s="32">
        <v>720</v>
      </c>
      <c r="C14" s="32">
        <f>C13+B14</f>
        <v>1440</v>
      </c>
      <c r="D14" s="13">
        <f t="shared" si="9"/>
        <v>24</v>
      </c>
      <c r="E14" s="95">
        <v>19.354915618896484</v>
      </c>
      <c r="F14" s="95">
        <v>19.492761611938477</v>
      </c>
      <c r="G14" s="96">
        <v>19.398670196533203</v>
      </c>
      <c r="H14" s="102">
        <f t="shared" si="11"/>
        <v>19.597772761753628</v>
      </c>
      <c r="I14" s="102">
        <f t="shared" si="10"/>
        <v>19.73561875479562</v>
      </c>
      <c r="J14" s="102">
        <f t="shared" si="10"/>
        <v>19.641527339390347</v>
      </c>
      <c r="K14" s="96">
        <f>((H14-'[1]Calibration F. prausnitzii'!$D$45)/('[1]Calibration F. prausnitzii'!$D$44))+$B$25</f>
        <v>8.7097735574740085</v>
      </c>
      <c r="L14" s="96">
        <f>((I14-'[1]Calibration F. prausnitzii'!$D$45)/('[1]Calibration F. prausnitzii'!$D$44))+$B$25</f>
        <v>8.6673372082938247</v>
      </c>
      <c r="M14" s="96">
        <f>((J14-'[1]Calibration F. prausnitzii'!$D$45)/('[1]Calibration F. prausnitzii'!$D$44))+$B$25</f>
        <v>8.6963035646664739</v>
      </c>
      <c r="N14" s="103">
        <f t="shared" si="12"/>
        <v>8.6911381101447684</v>
      </c>
      <c r="O14" s="103">
        <f t="shared" si="13"/>
        <v>2.1684611438701699E-2</v>
      </c>
      <c r="P14" s="104">
        <f>(AVERAGE(POWER(10,K14),POWER(10,M14)))*(Calculation!$I6/Calculation!$K5)</f>
        <v>509971530.71071655</v>
      </c>
      <c r="Q14" s="104">
        <f>(STDEV(POWER(10,K14),POWER(10,M14)))*(Calculation!$I6/Calculation!$K5)</f>
        <v>11183536.862992167</v>
      </c>
      <c r="R14" s="103">
        <f t="shared" si="14"/>
        <v>8.7075459321756892</v>
      </c>
      <c r="S14" s="103">
        <f>O14*(Calculation!$I6/Calculation!$K5)</f>
        <v>2.1908204941250554E-2</v>
      </c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spans="1:31">
      <c r="A15" s="40">
        <v>3</v>
      </c>
      <c r="B15" s="32">
        <v>1440</v>
      </c>
      <c r="C15" s="32">
        <f>C14+B15</f>
        <v>2880</v>
      </c>
      <c r="D15" s="13">
        <f t="shared" si="9"/>
        <v>48</v>
      </c>
      <c r="E15" s="95">
        <v>21.021646499633789</v>
      </c>
      <c r="F15" s="95">
        <v>21.540676116943359</v>
      </c>
      <c r="G15" s="96">
        <v>21.360494613647461</v>
      </c>
      <c r="H15" s="102">
        <f t="shared" si="11"/>
        <v>21.264503642490933</v>
      </c>
      <c r="I15" s="102">
        <f t="shared" si="10"/>
        <v>21.783533259800503</v>
      </c>
      <c r="J15" s="102">
        <f t="shared" si="10"/>
        <v>21.603351756504605</v>
      </c>
      <c r="K15" s="96">
        <f>((H15-'[1]Calibration F. prausnitzii'!$D$45)/('[1]Calibration F. prausnitzii'!$D$44))+$B$25</f>
        <v>8.1966648911755442</v>
      </c>
      <c r="L15" s="96">
        <f>((I15-'[1]Calibration F. prausnitzii'!$D$45)/('[1]Calibration F. prausnitzii'!$D$44))+$B$25</f>
        <v>8.0368798906184615</v>
      </c>
      <c r="M15" s="96">
        <f>((J15-'[1]Calibration F. prausnitzii'!$D$45)/('[1]Calibration F. prausnitzii'!$D$44))+$B$25</f>
        <v>8.0923493679745864</v>
      </c>
      <c r="N15" s="103">
        <f t="shared" si="12"/>
        <v>8.1086313832561974</v>
      </c>
      <c r="O15" s="103">
        <f t="shared" si="13"/>
        <v>8.1127305002567957E-2</v>
      </c>
      <c r="P15" s="104">
        <f>(AVERAGE(POWER(10,K15),POWER(10,M15)))*(Calculation!$I7/Calculation!$K6)</f>
        <v>141934114.58665314</v>
      </c>
      <c r="Q15" s="104">
        <f>(STDEV(POWER(10,K15),POWER(10,M15)))*(Calculation!$I7/Calculation!$K6)</f>
        <v>23991390.206888195</v>
      </c>
      <c r="R15" s="103">
        <f t="shared" si="14"/>
        <v>8.1520867928927778</v>
      </c>
      <c r="S15" s="103">
        <f>O15*(Calculation!$I7/Calculation!$K6)</f>
        <v>8.1963821641528753E-2</v>
      </c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spans="1:31">
      <c r="A16" s="10"/>
      <c r="B16" s="10"/>
      <c r="C16" s="10"/>
      <c r="D16" s="108"/>
      <c r="E16" s="109"/>
      <c r="F16" s="109"/>
      <c r="G16" s="110"/>
      <c r="H16" s="111"/>
      <c r="I16" s="111"/>
      <c r="J16" s="111"/>
      <c r="K16" s="110"/>
      <c r="L16" s="110"/>
      <c r="M16" s="110"/>
      <c r="N16" s="112"/>
      <c r="O16" s="112"/>
      <c r="P16" s="113"/>
      <c r="Q16" s="113"/>
      <c r="R16" s="112"/>
      <c r="S16" s="112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spans="1:29">
      <c r="A17" s="101" t="s">
        <v>207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</row>
    <row r="18" spans="1:29">
      <c r="A18" s="118" t="s">
        <v>4</v>
      </c>
      <c r="B18" s="118" t="s">
        <v>118</v>
      </c>
      <c r="C18" s="118" t="s">
        <v>118</v>
      </c>
      <c r="D18" s="118" t="s">
        <v>5</v>
      </c>
      <c r="E18" s="132" t="s">
        <v>208</v>
      </c>
      <c r="F18" s="132" t="s">
        <v>209</v>
      </c>
      <c r="G18" s="132" t="s">
        <v>210</v>
      </c>
      <c r="H18" s="134" t="s">
        <v>211</v>
      </c>
      <c r="I18" s="134" t="s">
        <v>212</v>
      </c>
      <c r="J18" s="134" t="s">
        <v>213</v>
      </c>
      <c r="K18" s="132" t="s">
        <v>214</v>
      </c>
      <c r="L18" s="132" t="s">
        <v>215</v>
      </c>
      <c r="M18" s="132" t="s">
        <v>216</v>
      </c>
      <c r="N18" s="132" t="s">
        <v>217</v>
      </c>
      <c r="O18" s="132" t="s">
        <v>218</v>
      </c>
      <c r="P18" s="134" t="s">
        <v>219</v>
      </c>
      <c r="Q18" s="134" t="s">
        <v>220</v>
      </c>
      <c r="R18" s="134" t="s">
        <v>221</v>
      </c>
      <c r="S18" s="134" t="s">
        <v>222</v>
      </c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spans="1:29">
      <c r="A19" s="119"/>
      <c r="B19" s="119"/>
      <c r="C19" s="119"/>
      <c r="D19" s="119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r="20" spans="1:29">
      <c r="A20" s="40">
        <v>0</v>
      </c>
      <c r="B20" s="32">
        <v>10</v>
      </c>
      <c r="C20" s="32">
        <f>B20</f>
        <v>10</v>
      </c>
      <c r="D20" s="13">
        <f t="shared" ref="D20:D23" si="15">C20/60</f>
        <v>0.16666666666666666</v>
      </c>
      <c r="E20" s="95">
        <v>28.636373519897461</v>
      </c>
      <c r="F20" s="95">
        <v>28.475353240966797</v>
      </c>
      <c r="G20" s="96">
        <v>28.697031021118164</v>
      </c>
      <c r="H20" s="102">
        <f>E20-$H$37+$H$45</f>
        <v>28.879230662754605</v>
      </c>
      <c r="I20" s="102">
        <f t="shared" ref="I20:J23" si="16">F20-$H$37+$H$45</f>
        <v>28.718210383823941</v>
      </c>
      <c r="J20" s="102">
        <f t="shared" si="16"/>
        <v>28.939888163975308</v>
      </c>
      <c r="K20" s="96">
        <f>((H20-'Calibration F. prausnitzii'!$D$45)/('Calibration F. prausnitzii'!$D$44))+$B$25</f>
        <v>5.85244575493084</v>
      </c>
      <c r="L20" s="96">
        <f>((I20-'[1]Calibration F. prausnitzii'!$D$45)/('[1]Calibration F. prausnitzii'!$D$44))+$B$25</f>
        <v>5.9020163853931322</v>
      </c>
      <c r="M20" s="96">
        <f>((J20-'[1]Calibration F. prausnitzii'!$D$45)/('[1]Calibration F. prausnitzii'!$D$44))+$B$25</f>
        <v>5.8337721406646992</v>
      </c>
      <c r="N20" s="103">
        <f>AVERAGE(K20:M20)</f>
        <v>5.8627447603295577</v>
      </c>
      <c r="O20" s="103">
        <f>STDEV(K20:M20)</f>
        <v>3.5268560628280099E-2</v>
      </c>
      <c r="P20" s="104">
        <f>(AVERAGE(POWER(10,K20),POWER(10,L20),POWER(10,M20)))*(Calculation!$I4/Calculation!$K3)</f>
        <v>731575.79243554815</v>
      </c>
      <c r="Q20" s="104">
        <f>(STDEV(POWER(10,K20),POWER(10,L20),POWER(10,M20)))*(Calculation!$I4/Calculation!$K3)</f>
        <v>60317.421363369613</v>
      </c>
      <c r="R20" s="103">
        <f>LOG(P20)</f>
        <v>5.8642593264030687</v>
      </c>
      <c r="S20" s="103">
        <f>O20*(Calculation!$I4/Calculation!$K3)</f>
        <v>3.5313257540745532E-2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</row>
    <row r="21" spans="1:29">
      <c r="A21" s="40">
        <v>1</v>
      </c>
      <c r="B21" s="32">
        <v>710</v>
      </c>
      <c r="C21" s="32">
        <f>C20+B21</f>
        <v>720</v>
      </c>
      <c r="D21" s="13">
        <f t="shared" si="15"/>
        <v>12</v>
      </c>
      <c r="E21" s="95">
        <v>21.9578857421875</v>
      </c>
      <c r="F21" s="95">
        <v>21.8936767578125</v>
      </c>
      <c r="G21" s="96">
        <v>22.072059631347656</v>
      </c>
      <c r="H21" s="102">
        <f t="shared" ref="H21:H23" si="17">E21-$H$37+$H$45</f>
        <v>22.200742885044644</v>
      </c>
      <c r="I21" s="102">
        <f t="shared" si="16"/>
        <v>22.136533900669644</v>
      </c>
      <c r="J21" s="102">
        <f t="shared" si="16"/>
        <v>22.3149167742048</v>
      </c>
      <c r="K21" s="96">
        <f>((H21-'[1]Calibration F. prausnitzii'!$D$45)/('[1]Calibration F. prausnitzii'!$D$44))+$B$25</f>
        <v>7.9084405145620202</v>
      </c>
      <c r="L21" s="96">
        <f>((I21-'[1]Calibration F. prausnitzii'!$D$45)/('[1]Calibration F. prausnitzii'!$D$44))+$B$25</f>
        <v>7.9282074647744381</v>
      </c>
      <c r="M21" s="96">
        <f>((J21-'[1]Calibration F. prausnitzii'!$D$45)/('[1]Calibration F. prausnitzii'!$D$44))+$B$25</f>
        <v>7.8732917015951891</v>
      </c>
      <c r="N21" s="103">
        <f t="shared" ref="N21:N23" si="18">AVERAGE(K21:M21)</f>
        <v>7.9033132269772155</v>
      </c>
      <c r="O21" s="103">
        <f t="shared" ref="O21:O23" si="19">STDEV(K21:M21)</f>
        <v>2.7814601738525867E-2</v>
      </c>
      <c r="P21" s="104">
        <f>(AVERAGE(POWER(10,K21),POWER(10,L21),POWER(10,M21)))*(Calculation!$I5/Calculation!$K4)</f>
        <v>80691295.334418654</v>
      </c>
      <c r="Q21" s="104">
        <f>(STDEV(POWER(10,K21),POWER(10,L21),POWER(10,M21)))*(Calculation!$I5/Calculation!$K4)</f>
        <v>5120953.3842224479</v>
      </c>
      <c r="R21" s="103">
        <f t="shared" ref="R21:R23" si="20">LOG(P21)</f>
        <v>7.90682668723597</v>
      </c>
      <c r="S21" s="103">
        <f>O21*(Calculation!$I5/Calculation!$K4)</f>
        <v>2.8002453952578159E-2</v>
      </c>
      <c r="T21" s="80"/>
      <c r="U21" s="80"/>
      <c r="V21" s="80"/>
      <c r="W21" s="80"/>
      <c r="X21" s="80"/>
      <c r="Y21" s="80"/>
      <c r="Z21" s="80"/>
      <c r="AA21" s="80"/>
      <c r="AB21" s="80"/>
      <c r="AC21" s="80"/>
    </row>
    <row r="22" spans="1:29">
      <c r="A22" s="40">
        <v>2</v>
      </c>
      <c r="B22" s="32">
        <v>720</v>
      </c>
      <c r="C22" s="32">
        <f>C21+B22</f>
        <v>1440</v>
      </c>
      <c r="D22" s="13">
        <f t="shared" si="15"/>
        <v>24</v>
      </c>
      <c r="E22" s="95">
        <v>20.289934158325195</v>
      </c>
      <c r="F22" s="95">
        <v>20.910181045532227</v>
      </c>
      <c r="G22" s="96">
        <v>20.50184440612793</v>
      </c>
      <c r="H22" s="102">
        <f>E22-$H$37+$H$45</f>
        <v>20.532791301182339</v>
      </c>
      <c r="I22" s="102">
        <f t="shared" si="16"/>
        <v>21.15303818838937</v>
      </c>
      <c r="J22" s="102">
        <f t="shared" si="16"/>
        <v>20.744701548985073</v>
      </c>
      <c r="K22" s="96">
        <f>((H22-'[1]Calibration F. prausnitzii'!$D$45)/('[1]Calibration F. prausnitzii'!$D$44))+$B$25</f>
        <v>8.4219249783930401</v>
      </c>
      <c r="L22" s="96">
        <f>((I22-'[1]Calibration F. prausnitzii'!$D$45)/('[1]Calibration F. prausnitzii'!$D$44))+$B$25</f>
        <v>8.2309799033670163</v>
      </c>
      <c r="M22" s="96">
        <f>((J22-'[1]Calibration F. prausnitzii'!$D$45)/('[1]Calibration F. prausnitzii'!$D$44))+$B$25</f>
        <v>8.3566877011086955</v>
      </c>
      <c r="N22" s="103">
        <f t="shared" si="18"/>
        <v>8.3365308609562518</v>
      </c>
      <c r="O22" s="103">
        <f t="shared" si="19"/>
        <v>9.7055288742406362E-2</v>
      </c>
      <c r="P22" s="104">
        <f>(AVERAGE(POWER(10,K22),POWER(10,L22),POWER(10,M22)))*(Calculation!$I6/Calculation!$K5)</f>
        <v>222857604.38481885</v>
      </c>
      <c r="Q22" s="104">
        <f>(STDEV(POWER(10,K22),POWER(10,L22),POWER(10,M22)))*(Calculation!$I6/Calculation!$K5)</f>
        <v>47845519.602878988</v>
      </c>
      <c r="R22" s="103">
        <f t="shared" si="20"/>
        <v>8.3480274577446973</v>
      </c>
      <c r="S22" s="103">
        <f>O22*(Calculation!$I6/Calculation!$K5)</f>
        <v>9.8056041373466851E-2</v>
      </c>
      <c r="T22" s="80"/>
      <c r="U22" s="80"/>
      <c r="V22" s="80"/>
      <c r="W22" s="80"/>
      <c r="X22" s="80"/>
      <c r="Y22" s="80"/>
      <c r="Z22" s="80"/>
      <c r="AA22" s="80"/>
      <c r="AB22" s="80"/>
      <c r="AC22" s="80"/>
    </row>
    <row r="23" spans="1:29">
      <c r="A23" s="40">
        <v>3</v>
      </c>
      <c r="B23" s="32">
        <v>1440</v>
      </c>
      <c r="C23" s="32">
        <f>C22+B23</f>
        <v>2880</v>
      </c>
      <c r="D23" s="13">
        <f t="shared" si="15"/>
        <v>48</v>
      </c>
      <c r="E23" s="95">
        <v>21.469169616699219</v>
      </c>
      <c r="F23" s="95">
        <v>21.184690475463867</v>
      </c>
      <c r="G23" s="96">
        <v>21.140321731567383</v>
      </c>
      <c r="H23" s="102">
        <f t="shared" si="17"/>
        <v>21.712026759556363</v>
      </c>
      <c r="I23" s="102">
        <f t="shared" si="16"/>
        <v>21.427547618321011</v>
      </c>
      <c r="J23" s="102">
        <f t="shared" si="16"/>
        <v>21.383178874424527</v>
      </c>
      <c r="K23" s="96">
        <f>((H23-'[1]Calibration F. prausnitzii'!$D$45)/('[1]Calibration F. prausnitzii'!$D$44))+$B$25</f>
        <v>8.0588934054551888</v>
      </c>
      <c r="L23" s="96">
        <f>((I23-'[1]Calibration F. prausnitzii'!$D$45)/('[1]Calibration F. prausnitzii'!$D$44))+$B$25</f>
        <v>8.1464712588663115</v>
      </c>
      <c r="M23" s="96">
        <f>((J23-'[1]Calibration F. prausnitzii'!$D$45)/('[1]Calibration F. prausnitzii'!$D$44))+$B$25</f>
        <v>8.1601303248074153</v>
      </c>
      <c r="N23" s="103">
        <f t="shared" si="18"/>
        <v>8.1218316630429719</v>
      </c>
      <c r="O23" s="103">
        <f t="shared" si="19"/>
        <v>5.4932328566477617E-2</v>
      </c>
      <c r="P23" s="104">
        <f>(AVERAGE(POWER(10,K23),POWER(10,L23),POWER(10,M23)))*(Calculation!$I7/Calculation!$K6)</f>
        <v>134445886.84397104</v>
      </c>
      <c r="Q23" s="104">
        <f>(STDEV(POWER(10,K23),POWER(10,L23),POWER(10,M23)))*(Calculation!$I7/Calculation!$K6)</f>
        <v>16387689.835408017</v>
      </c>
      <c r="R23" s="103">
        <f t="shared" si="20"/>
        <v>8.1285475202202271</v>
      </c>
      <c r="S23" s="103">
        <f>O23*(Calculation!$I7/Calculation!$K6)</f>
        <v>5.5498744606814039E-2</v>
      </c>
      <c r="T23" s="80"/>
      <c r="U23" s="80"/>
      <c r="V23" s="80"/>
      <c r="W23" s="80"/>
      <c r="X23" s="80"/>
      <c r="Y23" s="80"/>
      <c r="Z23" s="80"/>
      <c r="AA23" s="80"/>
      <c r="AB23" s="80"/>
      <c r="AC23" s="80"/>
    </row>
    <row r="24" spans="1:29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</row>
    <row r="25" spans="1:29">
      <c r="A25" s="98" t="s">
        <v>223</v>
      </c>
      <c r="B25" s="105">
        <f>LOG(B26)</f>
        <v>3.6532125137753435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</row>
    <row r="26" spans="1:29">
      <c r="A26" s="80" t="s">
        <v>224</v>
      </c>
      <c r="B26" s="80">
        <f>20*1800/4/2</f>
        <v>4500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</row>
    <row r="27" spans="1:29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r="28" spans="1:29">
      <c r="A28" s="61" t="s">
        <v>225</v>
      </c>
      <c r="B28" s="61"/>
      <c r="C28" s="61"/>
      <c r="D28" s="61"/>
      <c r="E28" s="106">
        <v>14.4</v>
      </c>
      <c r="F28" s="102">
        <v>14.4</v>
      </c>
      <c r="G28" s="102">
        <v>14.3</v>
      </c>
      <c r="H28" s="102">
        <v>14.4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spans="1:29">
      <c r="A29" s="61" t="s">
        <v>226</v>
      </c>
      <c r="B29" s="61"/>
      <c r="C29" s="61"/>
      <c r="D29" s="61"/>
      <c r="E29" s="153">
        <v>14</v>
      </c>
      <c r="F29" s="154">
        <v>13.8</v>
      </c>
      <c r="G29" s="154">
        <v>14.1</v>
      </c>
      <c r="H29" s="154">
        <v>14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</row>
    <row r="30" spans="1:29">
      <c r="A30" s="61" t="s">
        <v>227</v>
      </c>
      <c r="B30" s="61"/>
      <c r="C30" s="61"/>
      <c r="D30" s="61"/>
      <c r="E30" s="153">
        <v>14.1</v>
      </c>
      <c r="F30" s="154">
        <v>14.1</v>
      </c>
      <c r="G30" s="154">
        <v>14.1</v>
      </c>
      <c r="H30" s="154">
        <v>14.1</v>
      </c>
    </row>
    <row r="31" spans="1:29">
      <c r="A31" s="61" t="s">
        <v>228</v>
      </c>
      <c r="B31" s="61"/>
      <c r="C31" s="61"/>
      <c r="D31" s="61"/>
      <c r="E31" s="153">
        <v>13.8</v>
      </c>
      <c r="F31" s="154">
        <v>14</v>
      </c>
      <c r="G31" s="154">
        <v>14</v>
      </c>
      <c r="H31" s="154">
        <v>13.9</v>
      </c>
    </row>
    <row r="32" spans="1:29">
      <c r="A32" s="61" t="s">
        <v>230</v>
      </c>
      <c r="B32" s="61"/>
      <c r="C32" s="61"/>
      <c r="D32" s="61"/>
      <c r="E32" s="153">
        <v>11.6</v>
      </c>
      <c r="F32" s="154">
        <v>11.5</v>
      </c>
      <c r="G32" s="154">
        <v>11.5</v>
      </c>
      <c r="H32" s="154">
        <v>11.5</v>
      </c>
    </row>
    <row r="33" spans="1:8">
      <c r="A33" s="61" t="s">
        <v>231</v>
      </c>
      <c r="B33" s="61"/>
      <c r="C33" s="61"/>
      <c r="D33" s="61"/>
      <c r="E33" s="153">
        <v>14.5</v>
      </c>
      <c r="F33" s="154">
        <v>14.8</v>
      </c>
      <c r="G33" s="154">
        <v>14.7</v>
      </c>
      <c r="H33" s="154">
        <v>14.7</v>
      </c>
    </row>
    <row r="34" spans="1:8">
      <c r="A34" s="61" t="s">
        <v>232</v>
      </c>
      <c r="B34" s="61"/>
      <c r="C34" s="61"/>
      <c r="D34" s="61"/>
      <c r="E34" s="153">
        <v>14.3</v>
      </c>
      <c r="F34" s="154">
        <v>14.8</v>
      </c>
      <c r="G34" s="154">
        <v>14.7</v>
      </c>
      <c r="H34" s="154">
        <v>14.6</v>
      </c>
    </row>
    <row r="35" spans="1:8">
      <c r="A35" s="61" t="s">
        <v>233</v>
      </c>
      <c r="B35" s="61"/>
      <c r="C35" s="61"/>
      <c r="D35" s="61"/>
      <c r="E35" s="153">
        <v>13.1</v>
      </c>
      <c r="F35" s="154">
        <v>13.3</v>
      </c>
      <c r="G35" s="154">
        <v>14.5</v>
      </c>
      <c r="H35" s="154">
        <v>13.6</v>
      </c>
    </row>
    <row r="36" spans="1:8">
      <c r="A36" s="61" t="s">
        <v>234</v>
      </c>
      <c r="B36" s="61"/>
      <c r="C36" s="61"/>
      <c r="D36" s="61"/>
      <c r="E36" s="153">
        <v>14.8</v>
      </c>
      <c r="F36" s="154">
        <v>15</v>
      </c>
      <c r="G36" s="154">
        <v>15</v>
      </c>
      <c r="H36" s="154">
        <v>14.9</v>
      </c>
    </row>
    <row r="37" spans="1:8">
      <c r="A37" s="61" t="s">
        <v>234</v>
      </c>
      <c r="B37" s="61"/>
      <c r="C37" s="61"/>
      <c r="D37" s="61"/>
      <c r="E37" s="153">
        <v>13.9</v>
      </c>
      <c r="F37" s="154">
        <v>14.3</v>
      </c>
      <c r="G37" s="154">
        <v>14</v>
      </c>
      <c r="H37" s="154">
        <v>14</v>
      </c>
    </row>
    <row r="38" spans="1:8">
      <c r="A38" s="61" t="s">
        <v>236</v>
      </c>
      <c r="B38" s="61"/>
      <c r="C38" s="61"/>
      <c r="D38" s="61"/>
      <c r="E38" s="153">
        <v>14</v>
      </c>
      <c r="F38" s="154">
        <v>14.3</v>
      </c>
      <c r="G38" s="154">
        <v>14.5</v>
      </c>
      <c r="H38" s="154">
        <v>14.3</v>
      </c>
    </row>
    <row r="39" spans="1:8">
      <c r="A39" s="61" t="s">
        <v>236</v>
      </c>
      <c r="B39" s="61"/>
      <c r="C39" s="61"/>
      <c r="D39" s="61"/>
      <c r="E39" s="153">
        <v>14.8</v>
      </c>
      <c r="F39" s="154">
        <v>14.8</v>
      </c>
      <c r="G39" s="154">
        <v>14.8</v>
      </c>
      <c r="H39" s="154">
        <v>14.8</v>
      </c>
    </row>
    <row r="40" spans="1:8">
      <c r="A40" s="61" t="s">
        <v>237</v>
      </c>
      <c r="B40" s="61"/>
      <c r="C40" s="61"/>
      <c r="D40" s="61"/>
      <c r="E40" s="153">
        <v>15.4</v>
      </c>
      <c r="F40" s="154">
        <v>15.4</v>
      </c>
      <c r="G40" s="154">
        <v>15.4</v>
      </c>
      <c r="H40" s="154">
        <v>15.4</v>
      </c>
    </row>
    <row r="41" spans="1:8">
      <c r="A41" s="61" t="s">
        <v>237</v>
      </c>
      <c r="B41" s="61"/>
      <c r="C41" s="61"/>
      <c r="D41" s="61"/>
      <c r="E41" s="153">
        <v>15.1</v>
      </c>
      <c r="F41" s="154">
        <v>15.3</v>
      </c>
      <c r="G41" s="154">
        <v>15.2</v>
      </c>
      <c r="H41" s="154">
        <v>15.2</v>
      </c>
    </row>
    <row r="42" spans="1:8">
      <c r="A42" s="107"/>
      <c r="C42" s="80"/>
      <c r="D42" s="80"/>
      <c r="E42" s="111"/>
      <c r="F42" s="111"/>
      <c r="G42" s="111"/>
      <c r="H42" s="111"/>
    </row>
    <row r="43" spans="1:8">
      <c r="A43" s="107"/>
      <c r="C43" s="80"/>
      <c r="D43" s="80"/>
      <c r="E43" s="111"/>
      <c r="F43" s="111"/>
      <c r="G43" s="111"/>
      <c r="H43" s="111"/>
    </row>
    <row r="44" spans="1:8">
      <c r="A44" s="107"/>
    </row>
    <row r="45" spans="1:8">
      <c r="G45" t="s">
        <v>229</v>
      </c>
      <c r="H45" s="74">
        <f>AVERAGE(H28:H41)</f>
        <v>14.242857142857144</v>
      </c>
    </row>
  </sheetData>
  <mergeCells count="59">
    <mergeCell ref="R2:R3"/>
    <mergeCell ref="M2:M3"/>
    <mergeCell ref="N2:N3"/>
    <mergeCell ref="O2:O3"/>
    <mergeCell ref="P2:P3"/>
    <mergeCell ref="Q2:Q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8:K19"/>
    <mergeCell ref="L18:L19"/>
    <mergeCell ref="K10:K11"/>
    <mergeCell ref="L10:L11"/>
    <mergeCell ref="M10:M11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R18:R19"/>
    <mergeCell ref="S18:S19"/>
    <mergeCell ref="U2:X3"/>
    <mergeCell ref="Z2:AE3"/>
    <mergeCell ref="M18:M19"/>
    <mergeCell ref="N18:N19"/>
    <mergeCell ref="O18:O19"/>
    <mergeCell ref="P18:P19"/>
    <mergeCell ref="Q18:Q19"/>
    <mergeCell ref="P10:P11"/>
    <mergeCell ref="Q10:Q11"/>
    <mergeCell ref="R10:R11"/>
    <mergeCell ref="S10:S11"/>
    <mergeCell ref="N10:N11"/>
    <mergeCell ref="O10:O11"/>
    <mergeCell ref="S2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8" t="s">
        <v>4</v>
      </c>
      <c r="B1" s="118" t="s">
        <v>118</v>
      </c>
      <c r="C1" s="118" t="s">
        <v>118</v>
      </c>
      <c r="D1" s="118" t="s">
        <v>5</v>
      </c>
      <c r="E1" s="118" t="s">
        <v>19</v>
      </c>
      <c r="F1" s="118" t="s">
        <v>24</v>
      </c>
      <c r="G1" s="117" t="s">
        <v>25</v>
      </c>
      <c r="H1" s="114" t="s">
        <v>26</v>
      </c>
      <c r="I1" s="4" t="s">
        <v>27</v>
      </c>
      <c r="J1" s="54" t="s">
        <v>27</v>
      </c>
    </row>
    <row r="2" spans="1:10">
      <c r="A2" s="119"/>
      <c r="B2" s="119"/>
      <c r="C2" s="119"/>
      <c r="D2" s="119"/>
      <c r="E2" s="119"/>
      <c r="F2" s="119"/>
      <c r="G2" s="117"/>
      <c r="H2" s="114"/>
      <c r="I2" s="5" t="s">
        <v>28</v>
      </c>
      <c r="J2" s="55" t="s">
        <v>23</v>
      </c>
    </row>
    <row r="3" spans="1:10">
      <c r="A3" s="40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1">
        <v>8.1000000000000003E-2</v>
      </c>
      <c r="G3" s="51">
        <v>8.1000000000000003E-2</v>
      </c>
      <c r="H3" s="51">
        <v>8.1000000000000003E-2</v>
      </c>
      <c r="I3" s="52">
        <f>E3*(AVERAGE(F3:H3)*1.6007-0.0118)</f>
        <v>0.11785670000000001</v>
      </c>
      <c r="J3" s="52">
        <f>E3*(STDEV(F3:H3)*1.6007)</f>
        <v>0</v>
      </c>
    </row>
    <row r="4" spans="1:10">
      <c r="A4" s="40">
        <v>0</v>
      </c>
      <c r="B4" s="32">
        <v>10</v>
      </c>
      <c r="C4" s="32">
        <f>B4</f>
        <v>10</v>
      </c>
      <c r="D4" s="13">
        <f>C4/60</f>
        <v>0.16666666666666666</v>
      </c>
      <c r="E4" s="40">
        <v>1</v>
      </c>
      <c r="F4" s="51">
        <v>0.114</v>
      </c>
      <c r="G4" s="51">
        <v>0.114</v>
      </c>
      <c r="H4" s="51">
        <v>0.114</v>
      </c>
      <c r="I4" s="52">
        <f>E4*(AVERAGE(F4:H4)*1.6007-0.0118)</f>
        <v>0.17067979999999999</v>
      </c>
      <c r="J4" s="52">
        <f t="shared" ref="J4:J7" si="0">E4*(STDEV(F4:H4)*1.6007)</f>
        <v>0</v>
      </c>
    </row>
    <row r="5" spans="1:10">
      <c r="A5" s="40">
        <v>1</v>
      </c>
      <c r="B5" s="32">
        <v>710</v>
      </c>
      <c r="C5" s="32">
        <f>C4+B5</f>
        <v>720</v>
      </c>
      <c r="D5" s="13">
        <f t="shared" ref="D5:D7" si="1">C5/60</f>
        <v>12</v>
      </c>
      <c r="E5" s="40">
        <v>10</v>
      </c>
      <c r="F5" s="51">
        <v>0.155</v>
      </c>
      <c r="G5" s="51">
        <v>0.16800000000000001</v>
      </c>
      <c r="H5" s="51">
        <v>0.16200000000000001</v>
      </c>
      <c r="I5" s="52">
        <f t="shared" ref="I5:I7" si="2">E5*(AVERAGE(F5:H5)*1.6007-0.0118)</f>
        <v>2.4697983333333333</v>
      </c>
      <c r="J5" s="52">
        <f t="shared" si="0"/>
        <v>0.10414805842805402</v>
      </c>
    </row>
    <row r="6" spans="1:10">
      <c r="A6" s="40">
        <v>2</v>
      </c>
      <c r="B6" s="32">
        <v>720</v>
      </c>
      <c r="C6" s="32">
        <f>C5+B6</f>
        <v>1440</v>
      </c>
      <c r="D6" s="13">
        <f t="shared" si="1"/>
        <v>24</v>
      </c>
      <c r="E6" s="40">
        <v>10</v>
      </c>
      <c r="F6" s="51">
        <v>0.19600000000000001</v>
      </c>
      <c r="G6" s="51">
        <v>0.20200000000000001</v>
      </c>
      <c r="H6" s="51">
        <v>0.188</v>
      </c>
      <c r="I6" s="52">
        <f t="shared" si="2"/>
        <v>3.0087006666666669</v>
      </c>
      <c r="J6" s="52">
        <f t="shared" si="0"/>
        <v>0.11242947308127597</v>
      </c>
    </row>
    <row r="7" spans="1:10">
      <c r="A7" s="40">
        <v>3</v>
      </c>
      <c r="B7" s="32">
        <v>1440</v>
      </c>
      <c r="C7" s="32">
        <f>C6+B7</f>
        <v>2880</v>
      </c>
      <c r="D7" s="13">
        <f t="shared" si="1"/>
        <v>48</v>
      </c>
      <c r="E7" s="40">
        <v>10</v>
      </c>
      <c r="F7" s="51">
        <v>0.158</v>
      </c>
      <c r="G7" s="51">
        <v>0.16400000000000001</v>
      </c>
      <c r="H7" s="51">
        <v>0.16300000000000001</v>
      </c>
      <c r="I7" s="52">
        <f t="shared" si="2"/>
        <v>2.4697983333333333</v>
      </c>
      <c r="J7" s="52">
        <f t="shared" si="0"/>
        <v>5.1455305910404793E-2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8" sqref="A8:G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8" t="s">
        <v>4</v>
      </c>
      <c r="B1" s="118" t="s">
        <v>118</v>
      </c>
      <c r="C1" s="118" t="s">
        <v>118</v>
      </c>
      <c r="D1" s="118" t="s">
        <v>5</v>
      </c>
      <c r="E1" s="4" t="s">
        <v>29</v>
      </c>
      <c r="F1" s="4" t="s">
        <v>2</v>
      </c>
      <c r="G1" s="4" t="s">
        <v>32</v>
      </c>
    </row>
    <row r="2" spans="1:7">
      <c r="A2" s="119"/>
      <c r="B2" s="119"/>
      <c r="C2" s="119"/>
      <c r="D2" s="119"/>
      <c r="E2" s="5" t="s">
        <v>30</v>
      </c>
      <c r="F2" s="5" t="s">
        <v>31</v>
      </c>
      <c r="G2" s="5" t="s">
        <v>33</v>
      </c>
    </row>
    <row r="3" spans="1:7">
      <c r="A3" s="63" t="s">
        <v>6</v>
      </c>
      <c r="B3" s="64">
        <v>-10</v>
      </c>
      <c r="C3" s="64">
        <v>-10</v>
      </c>
      <c r="D3" s="65">
        <v>0</v>
      </c>
      <c r="E3" s="1"/>
      <c r="F3" s="1"/>
      <c r="G3" s="1" t="e">
        <f>(F3-$C$9)/E3*1000*Calculation!I4/Calculation!K3</f>
        <v>#DIV/0!</v>
      </c>
    </row>
    <row r="4" spans="1:7">
      <c r="A4" s="66">
        <v>0</v>
      </c>
      <c r="B4" s="67">
        <v>10</v>
      </c>
      <c r="C4" s="67">
        <v>10</v>
      </c>
      <c r="D4" s="68">
        <v>0</v>
      </c>
      <c r="E4" s="1"/>
      <c r="F4" s="1"/>
      <c r="G4" s="1" t="e">
        <f>(F4-$C$9)/E4*1000*Calculation!I5/Calculation!K4</f>
        <v>#DIV/0!</v>
      </c>
    </row>
    <row r="5" spans="1:7">
      <c r="A5" s="66">
        <v>1</v>
      </c>
      <c r="B5" s="67">
        <v>710</v>
      </c>
      <c r="C5" s="67">
        <v>720</v>
      </c>
      <c r="D5" s="68">
        <v>12</v>
      </c>
      <c r="E5" s="1"/>
      <c r="F5" s="1"/>
      <c r="G5" s="1" t="e">
        <f>(F5-$C$9)/E5*1000*Calculation!I6/Calculation!K5</f>
        <v>#DIV/0!</v>
      </c>
    </row>
    <row r="6" spans="1:7">
      <c r="A6" s="66">
        <v>2</v>
      </c>
      <c r="B6" s="67">
        <v>720</v>
      </c>
      <c r="C6" s="67">
        <v>1440</v>
      </c>
      <c r="D6" s="68">
        <v>24</v>
      </c>
      <c r="E6" s="1"/>
      <c r="F6" s="1"/>
      <c r="G6" s="1" t="e">
        <f>(F6-$C$9)/E6*1000*Calculation!I7/Calculation!K6</f>
        <v>#DIV/0!</v>
      </c>
    </row>
    <row r="7" spans="1:7">
      <c r="A7" s="66">
        <v>3</v>
      </c>
      <c r="B7" s="67">
        <v>1440</v>
      </c>
      <c r="C7" s="67">
        <v>2880</v>
      </c>
      <c r="D7" s="68">
        <v>48</v>
      </c>
      <c r="E7" s="1"/>
      <c r="F7" s="1"/>
      <c r="G7" s="1" t="e">
        <f>(F7-$C$9)/E7*1000*Calculation!#REF!/Calculation!K7</f>
        <v>#DIV/0!</v>
      </c>
    </row>
    <row r="9" spans="1:7">
      <c r="A9" s="140" t="s">
        <v>3</v>
      </c>
      <c r="B9" s="141"/>
      <c r="C9" s="1"/>
    </row>
    <row r="17" ht="15" customHeight="1"/>
  </sheetData>
  <mergeCells count="5">
    <mergeCell ref="A9:B9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8"/>
  <sheetViews>
    <sheetView workbookViewId="0">
      <selection activeCell="B5" sqref="B5:B108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4" t="s">
        <v>50</v>
      </c>
      <c r="B1" s="12">
        <v>70</v>
      </c>
      <c r="C1" s="27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7" t="s">
        <v>5</v>
      </c>
      <c r="B3" s="117" t="s">
        <v>36</v>
      </c>
      <c r="C3" s="117"/>
      <c r="D3" s="117" t="s">
        <v>52</v>
      </c>
      <c r="E3" s="117"/>
      <c r="F3" s="117"/>
      <c r="G3" s="24" t="s">
        <v>53</v>
      </c>
    </row>
    <row r="4" spans="1:10">
      <c r="A4" s="117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</row>
    <row r="5" spans="1:10">
      <c r="A5" s="12">
        <v>0</v>
      </c>
      <c r="B5" s="77">
        <v>2.52</v>
      </c>
      <c r="C5" s="12">
        <f>B5/1000</f>
        <v>2.5200000000000001E-3</v>
      </c>
      <c r="D5" s="12">
        <f>C5/1000*$B$1</f>
        <v>1.7640000000000001E-4</v>
      </c>
      <c r="E5" s="12">
        <f>D5/22.4</f>
        <v>7.875E-6</v>
      </c>
      <c r="F5" s="12">
        <f>E5/Calculation!K$4*1000</f>
        <v>5.4006713872808883E-6</v>
      </c>
      <c r="G5" s="12">
        <f>(0+F5)/2*30</f>
        <v>8.1010070809213323E-5</v>
      </c>
      <c r="I5" s="74">
        <v>-0.16666666666666666</v>
      </c>
      <c r="J5" t="s">
        <v>154</v>
      </c>
    </row>
    <row r="6" spans="1:10">
      <c r="A6" s="12">
        <v>0.5</v>
      </c>
      <c r="B6" s="77">
        <v>0</v>
      </c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 t="shared" ref="G6:G69" si="1">(0+F6)/2*30</f>
        <v>0</v>
      </c>
      <c r="I6" s="74">
        <v>0.16666666666666666</v>
      </c>
      <c r="J6" t="s">
        <v>155</v>
      </c>
    </row>
    <row r="7" spans="1:10">
      <c r="A7" s="12">
        <v>1</v>
      </c>
      <c r="B7" s="77">
        <v>0</v>
      </c>
      <c r="C7" s="12">
        <f t="shared" si="0"/>
        <v>0</v>
      </c>
      <c r="D7" s="12">
        <f t="shared" ref="D7:D69" si="2">C7/1000*$B$1</f>
        <v>0</v>
      </c>
      <c r="E7" s="12">
        <f t="shared" ref="E7:E69" si="3">D7/22.4</f>
        <v>0</v>
      </c>
      <c r="F7" s="12">
        <f>E7/Calculation!K$4*1000</f>
        <v>0</v>
      </c>
      <c r="G7" s="12">
        <f t="shared" si="1"/>
        <v>0</v>
      </c>
      <c r="I7" s="74">
        <v>12</v>
      </c>
      <c r="J7" t="s">
        <v>156</v>
      </c>
    </row>
    <row r="8" spans="1:10">
      <c r="A8" s="12">
        <v>1.5</v>
      </c>
      <c r="B8" s="77">
        <v>0</v>
      </c>
      <c r="C8" s="12">
        <f t="shared" si="0"/>
        <v>0</v>
      </c>
      <c r="D8" s="12">
        <f t="shared" si="2"/>
        <v>0</v>
      </c>
      <c r="E8" s="12">
        <f t="shared" si="3"/>
        <v>0</v>
      </c>
      <c r="F8" s="12">
        <f>E8/Calculation!K$4*1000</f>
        <v>0</v>
      </c>
      <c r="G8" s="12">
        <f t="shared" si="1"/>
        <v>0</v>
      </c>
      <c r="I8" s="74">
        <v>24</v>
      </c>
      <c r="J8" t="s">
        <v>157</v>
      </c>
    </row>
    <row r="9" spans="1:10">
      <c r="A9" s="12">
        <v>2</v>
      </c>
      <c r="B9" s="77">
        <v>0.84</v>
      </c>
      <c r="C9" s="12">
        <f t="shared" si="0"/>
        <v>8.3999999999999993E-4</v>
      </c>
      <c r="D9" s="12">
        <f t="shared" si="2"/>
        <v>5.8799999999999993E-5</v>
      </c>
      <c r="E9" s="12">
        <f t="shared" si="3"/>
        <v>2.6249999999999999E-6</v>
      </c>
      <c r="F9" s="12">
        <f>E9/Calculation!K$4*1000</f>
        <v>1.8002237957602959E-6</v>
      </c>
      <c r="G9" s="12">
        <f t="shared" si="1"/>
        <v>2.700335693640444E-5</v>
      </c>
      <c r="I9" s="74">
        <v>48</v>
      </c>
      <c r="J9" t="s">
        <v>158</v>
      </c>
    </row>
    <row r="10" spans="1:10">
      <c r="A10" s="12">
        <v>2.5</v>
      </c>
      <c r="B10" s="77">
        <v>8.4</v>
      </c>
      <c r="C10" s="12">
        <f t="shared" si="0"/>
        <v>8.4000000000000012E-3</v>
      </c>
      <c r="D10" s="12">
        <f t="shared" si="2"/>
        <v>5.8800000000000009E-4</v>
      </c>
      <c r="E10" s="12">
        <f t="shared" si="3"/>
        <v>2.6250000000000004E-5</v>
      </c>
      <c r="F10" s="12">
        <f>E10/Calculation!K$4*1000</f>
        <v>1.8002237957602964E-5</v>
      </c>
      <c r="G10" s="12">
        <f t="shared" si="1"/>
        <v>2.7003356936404444E-4</v>
      </c>
    </row>
    <row r="11" spans="1:10">
      <c r="A11" s="12">
        <v>3</v>
      </c>
      <c r="B11" s="77">
        <v>12.6</v>
      </c>
      <c r="C11" s="12">
        <f t="shared" si="0"/>
        <v>1.26E-2</v>
      </c>
      <c r="D11" s="12">
        <f t="shared" si="2"/>
        <v>8.8199999999999997E-4</v>
      </c>
      <c r="E11" s="12">
        <f t="shared" si="3"/>
        <v>3.9375000000000002E-5</v>
      </c>
      <c r="F11" s="12">
        <f>E11/Calculation!K$4*1000</f>
        <v>2.700335693640444E-5</v>
      </c>
      <c r="G11" s="12">
        <f t="shared" si="1"/>
        <v>4.0505035404606661E-4</v>
      </c>
    </row>
    <row r="12" spans="1:10">
      <c r="A12" s="12">
        <v>3.5</v>
      </c>
      <c r="B12" s="77">
        <v>5.04</v>
      </c>
      <c r="C12" s="12">
        <f t="shared" si="0"/>
        <v>5.0400000000000002E-3</v>
      </c>
      <c r="D12" s="12">
        <f t="shared" si="2"/>
        <v>3.5280000000000001E-4</v>
      </c>
      <c r="E12" s="12">
        <f t="shared" si="3"/>
        <v>1.575E-5</v>
      </c>
      <c r="F12" s="12">
        <f>E12/Calculation!K$4*1000</f>
        <v>1.0801342774561777E-5</v>
      </c>
      <c r="G12" s="12">
        <f t="shared" si="1"/>
        <v>1.6202014161842665E-4</v>
      </c>
    </row>
    <row r="13" spans="1:10">
      <c r="A13" s="12">
        <v>4</v>
      </c>
      <c r="B13" s="77">
        <v>17.64</v>
      </c>
      <c r="C13" s="12">
        <f t="shared" si="0"/>
        <v>1.7639999999999999E-2</v>
      </c>
      <c r="D13" s="12">
        <f t="shared" si="2"/>
        <v>1.2348000000000001E-3</v>
      </c>
      <c r="E13" s="12">
        <f t="shared" si="3"/>
        <v>5.5125000000000005E-5</v>
      </c>
      <c r="F13" s="12">
        <f>E13/Calculation!K$4*1000</f>
        <v>3.7804699710966223E-5</v>
      </c>
      <c r="G13" s="12">
        <f t="shared" si="1"/>
        <v>5.6707049566449331E-4</v>
      </c>
    </row>
    <row r="14" spans="1:10">
      <c r="A14" s="12">
        <v>4.5</v>
      </c>
      <c r="B14" s="77">
        <v>20.16</v>
      </c>
      <c r="C14" s="12">
        <f t="shared" si="0"/>
        <v>2.0160000000000001E-2</v>
      </c>
      <c r="D14" s="12">
        <f t="shared" si="2"/>
        <v>1.4112E-3</v>
      </c>
      <c r="E14" s="12">
        <f t="shared" si="3"/>
        <v>6.3E-5</v>
      </c>
      <c r="F14" s="12">
        <f>E14/Calculation!K$4*1000</f>
        <v>4.3205371098247106E-5</v>
      </c>
      <c r="G14" s="12">
        <f t="shared" si="1"/>
        <v>6.4808056647370658E-4</v>
      </c>
    </row>
    <row r="15" spans="1:10">
      <c r="A15" s="12">
        <v>5</v>
      </c>
      <c r="B15" s="77">
        <v>7.56</v>
      </c>
      <c r="C15" s="12">
        <f t="shared" si="0"/>
        <v>7.5599999999999999E-3</v>
      </c>
      <c r="D15" s="12">
        <f t="shared" si="2"/>
        <v>5.2919999999999996E-4</v>
      </c>
      <c r="E15" s="12">
        <f t="shared" si="3"/>
        <v>2.3624999999999998E-5</v>
      </c>
      <c r="F15" s="12">
        <f>E15/Calculation!K$4*1000</f>
        <v>1.6202014161842663E-5</v>
      </c>
      <c r="G15" s="12">
        <f t="shared" si="1"/>
        <v>2.4303021242763994E-4</v>
      </c>
    </row>
    <row r="16" spans="1:10">
      <c r="A16" s="12">
        <v>5.5</v>
      </c>
      <c r="B16" s="77">
        <v>5.04</v>
      </c>
      <c r="C16" s="12">
        <f t="shared" si="0"/>
        <v>5.0400000000000002E-3</v>
      </c>
      <c r="D16" s="12">
        <f t="shared" si="2"/>
        <v>3.5280000000000001E-4</v>
      </c>
      <c r="E16" s="12">
        <f t="shared" si="3"/>
        <v>1.575E-5</v>
      </c>
      <c r="F16" s="12">
        <f>E16/Calculation!K$4*1000</f>
        <v>1.0801342774561777E-5</v>
      </c>
      <c r="G16" s="12">
        <f t="shared" si="1"/>
        <v>1.6202014161842665E-4</v>
      </c>
    </row>
    <row r="17" spans="1:7">
      <c r="A17" s="12">
        <v>6</v>
      </c>
      <c r="B17" s="77">
        <v>8.4</v>
      </c>
      <c r="C17" s="12">
        <f t="shared" si="0"/>
        <v>8.4000000000000012E-3</v>
      </c>
      <c r="D17" s="12">
        <f t="shared" si="2"/>
        <v>5.8800000000000009E-4</v>
      </c>
      <c r="E17" s="12">
        <f t="shared" si="3"/>
        <v>2.6250000000000004E-5</v>
      </c>
      <c r="F17" s="12">
        <f>E17/Calculation!K$4*1000</f>
        <v>1.8002237957602964E-5</v>
      </c>
      <c r="G17" s="12">
        <f t="shared" si="1"/>
        <v>2.7003356936404444E-4</v>
      </c>
    </row>
    <row r="18" spans="1:7">
      <c r="A18" s="12">
        <v>6.5</v>
      </c>
      <c r="B18" s="77">
        <v>7.56</v>
      </c>
      <c r="C18" s="12">
        <f t="shared" si="0"/>
        <v>7.5599999999999999E-3</v>
      </c>
      <c r="D18" s="12">
        <f t="shared" si="2"/>
        <v>5.2919999999999996E-4</v>
      </c>
      <c r="E18" s="12">
        <f t="shared" si="3"/>
        <v>2.3624999999999998E-5</v>
      </c>
      <c r="F18" s="12">
        <f>E18/Calculation!K$4*1000</f>
        <v>1.6202014161842663E-5</v>
      </c>
      <c r="G18" s="12">
        <f t="shared" si="1"/>
        <v>2.4303021242763994E-4</v>
      </c>
    </row>
    <row r="19" spans="1:7">
      <c r="A19" s="12">
        <v>7</v>
      </c>
      <c r="B19" s="77">
        <v>7.56</v>
      </c>
      <c r="C19" s="12">
        <f t="shared" si="0"/>
        <v>7.5599999999999999E-3</v>
      </c>
      <c r="D19" s="12">
        <f t="shared" si="2"/>
        <v>5.2919999999999996E-4</v>
      </c>
      <c r="E19" s="12">
        <f t="shared" si="3"/>
        <v>2.3624999999999998E-5</v>
      </c>
      <c r="F19" s="12">
        <f>E19/Calculation!K$4*1000</f>
        <v>1.6202014161842663E-5</v>
      </c>
      <c r="G19" s="12">
        <f t="shared" si="1"/>
        <v>2.4303021242763994E-4</v>
      </c>
    </row>
    <row r="20" spans="1:7">
      <c r="A20" s="12">
        <v>7.5</v>
      </c>
      <c r="B20" s="77">
        <v>13.44</v>
      </c>
      <c r="C20" s="12">
        <f t="shared" si="0"/>
        <v>1.3439999999999999E-2</v>
      </c>
      <c r="D20" s="12">
        <f t="shared" si="2"/>
        <v>9.4079999999999988E-4</v>
      </c>
      <c r="E20" s="12">
        <f t="shared" si="3"/>
        <v>4.1999999999999998E-5</v>
      </c>
      <c r="F20" s="12">
        <f>E20/Calculation!K$4*1000</f>
        <v>2.8803580732164734E-5</v>
      </c>
      <c r="G20" s="12">
        <f t="shared" si="1"/>
        <v>4.3205371098247104E-4</v>
      </c>
    </row>
    <row r="21" spans="1:7">
      <c r="A21" s="12">
        <v>8</v>
      </c>
      <c r="B21" s="77">
        <v>1.68</v>
      </c>
      <c r="C21" s="12">
        <f t="shared" si="0"/>
        <v>1.6799999999999999E-3</v>
      </c>
      <c r="D21" s="12">
        <f t="shared" si="2"/>
        <v>1.1759999999999999E-4</v>
      </c>
      <c r="E21" s="12">
        <f t="shared" si="3"/>
        <v>5.2499999999999997E-6</v>
      </c>
      <c r="F21" s="12">
        <f>E21/Calculation!K$4*1000</f>
        <v>3.6004475915205918E-6</v>
      </c>
      <c r="G21" s="12">
        <f t="shared" si="1"/>
        <v>5.400671387280888E-5</v>
      </c>
    </row>
    <row r="22" spans="1:7">
      <c r="A22" s="12">
        <v>8.5</v>
      </c>
      <c r="B22" s="77">
        <v>0</v>
      </c>
      <c r="C22" s="12">
        <f t="shared" si="0"/>
        <v>0</v>
      </c>
      <c r="D22" s="12">
        <f t="shared" si="2"/>
        <v>0</v>
      </c>
      <c r="E22" s="12">
        <f t="shared" si="3"/>
        <v>0</v>
      </c>
      <c r="F22" s="12">
        <f>E22/Calculation!K$4*1000</f>
        <v>0</v>
      </c>
      <c r="G22" s="12">
        <f t="shared" si="1"/>
        <v>0</v>
      </c>
    </row>
    <row r="23" spans="1:7">
      <c r="A23" s="12">
        <v>9</v>
      </c>
      <c r="B23" s="77">
        <v>0.84</v>
      </c>
      <c r="C23" s="12">
        <f t="shared" si="0"/>
        <v>8.3999999999999993E-4</v>
      </c>
      <c r="D23" s="12">
        <f t="shared" si="2"/>
        <v>5.8799999999999993E-5</v>
      </c>
      <c r="E23" s="12">
        <f t="shared" si="3"/>
        <v>2.6249999999999999E-6</v>
      </c>
      <c r="F23" s="12">
        <f>E23/Calculation!K$4*1000</f>
        <v>1.8002237957602959E-6</v>
      </c>
      <c r="G23" s="12">
        <f t="shared" si="1"/>
        <v>2.700335693640444E-5</v>
      </c>
    </row>
    <row r="24" spans="1:7">
      <c r="A24" s="12">
        <v>9.5</v>
      </c>
      <c r="B24" s="77">
        <v>0.84</v>
      </c>
      <c r="C24" s="12">
        <f t="shared" si="0"/>
        <v>8.3999999999999993E-4</v>
      </c>
      <c r="D24" s="12">
        <f t="shared" si="2"/>
        <v>5.8799999999999993E-5</v>
      </c>
      <c r="E24" s="12">
        <f t="shared" si="3"/>
        <v>2.6249999999999999E-6</v>
      </c>
      <c r="F24" s="12">
        <f>E24/Calculation!K$4*1000</f>
        <v>1.8002237957602959E-6</v>
      </c>
      <c r="G24" s="12">
        <f t="shared" si="1"/>
        <v>2.700335693640444E-5</v>
      </c>
    </row>
    <row r="25" spans="1:7">
      <c r="A25" s="12">
        <v>10</v>
      </c>
      <c r="B25" s="77">
        <v>21</v>
      </c>
      <c r="C25" s="12">
        <f t="shared" si="0"/>
        <v>2.1000000000000001E-2</v>
      </c>
      <c r="D25" s="12">
        <f t="shared" si="2"/>
        <v>1.4700000000000002E-3</v>
      </c>
      <c r="E25" s="12">
        <f t="shared" si="3"/>
        <v>6.5625000000000009E-5</v>
      </c>
      <c r="F25" s="12">
        <f>E25/Calculation!K$4*1000</f>
        <v>4.5005594894007407E-5</v>
      </c>
      <c r="G25" s="12">
        <f t="shared" si="1"/>
        <v>6.7508392341011111E-4</v>
      </c>
    </row>
    <row r="26" spans="1:7">
      <c r="A26" s="12">
        <v>10.5</v>
      </c>
      <c r="B26" s="77">
        <v>14.28</v>
      </c>
      <c r="C26" s="12">
        <f t="shared" si="0"/>
        <v>1.4279999999999999E-2</v>
      </c>
      <c r="D26" s="12">
        <f t="shared" si="2"/>
        <v>9.9960000000000001E-4</v>
      </c>
      <c r="E26" s="12">
        <f t="shared" si="3"/>
        <v>4.4625E-5</v>
      </c>
      <c r="F26" s="12">
        <f>E26/Calculation!K$4*1000</f>
        <v>3.0603804527925032E-5</v>
      </c>
      <c r="G26" s="12">
        <f t="shared" si="1"/>
        <v>4.5905706791887546E-4</v>
      </c>
    </row>
    <row r="27" spans="1:7">
      <c r="A27" s="12">
        <v>11</v>
      </c>
      <c r="B27" s="77">
        <v>1.68</v>
      </c>
      <c r="C27" s="12">
        <f t="shared" si="0"/>
        <v>1.6799999999999999E-3</v>
      </c>
      <c r="D27" s="12">
        <f t="shared" si="2"/>
        <v>1.1759999999999999E-4</v>
      </c>
      <c r="E27" s="12">
        <f t="shared" si="3"/>
        <v>5.2499999999999997E-6</v>
      </c>
      <c r="F27" s="12">
        <f>E27/Calculation!K$4*1000</f>
        <v>3.6004475915205918E-6</v>
      </c>
      <c r="G27" s="12">
        <f t="shared" si="1"/>
        <v>5.400671387280888E-5</v>
      </c>
    </row>
    <row r="28" spans="1:7">
      <c r="A28" s="12">
        <v>11.5</v>
      </c>
      <c r="B28" s="77">
        <v>3.36</v>
      </c>
      <c r="C28" s="12">
        <f t="shared" si="0"/>
        <v>3.3599999999999997E-3</v>
      </c>
      <c r="D28" s="12">
        <f t="shared" si="2"/>
        <v>2.3519999999999997E-4</v>
      </c>
      <c r="E28" s="12">
        <f t="shared" si="3"/>
        <v>1.0499999999999999E-5</v>
      </c>
      <c r="F28" s="12">
        <f>E28/Calculation!K$4*1000</f>
        <v>7.2008951830411835E-6</v>
      </c>
      <c r="G28" s="12">
        <f t="shared" si="1"/>
        <v>1.0801342774561776E-4</v>
      </c>
    </row>
    <row r="29" spans="1:7">
      <c r="A29" s="12">
        <v>12</v>
      </c>
      <c r="B29" s="77">
        <v>7.56</v>
      </c>
      <c r="C29" s="12">
        <f t="shared" si="0"/>
        <v>7.5599999999999999E-3</v>
      </c>
      <c r="D29" s="12">
        <f t="shared" si="2"/>
        <v>5.2919999999999996E-4</v>
      </c>
      <c r="E29" s="12">
        <f t="shared" si="3"/>
        <v>2.3624999999999998E-5</v>
      </c>
      <c r="F29" s="12">
        <f>E29/Calculation!K$5*1000</f>
        <v>1.6808874056243835E-5</v>
      </c>
      <c r="G29" s="12">
        <f t="shared" si="1"/>
        <v>2.5213311084365753E-4</v>
      </c>
    </row>
    <row r="30" spans="1:7">
      <c r="A30" s="12">
        <v>12.5</v>
      </c>
      <c r="B30" s="77">
        <v>0</v>
      </c>
      <c r="C30" s="12">
        <f t="shared" si="0"/>
        <v>0</v>
      </c>
      <c r="D30" s="12">
        <f t="shared" si="2"/>
        <v>0</v>
      </c>
      <c r="E30" s="12">
        <f t="shared" si="3"/>
        <v>0</v>
      </c>
      <c r="F30" s="12">
        <f>E30/Calculation!K$5*1000</f>
        <v>0</v>
      </c>
      <c r="G30" s="12">
        <f t="shared" si="1"/>
        <v>0</v>
      </c>
    </row>
    <row r="31" spans="1:7">
      <c r="A31" s="12">
        <v>13</v>
      </c>
      <c r="B31" s="77">
        <v>1.68</v>
      </c>
      <c r="C31" s="12">
        <f t="shared" si="0"/>
        <v>1.6799999999999999E-3</v>
      </c>
      <c r="D31" s="12">
        <f t="shared" si="2"/>
        <v>1.1759999999999999E-4</v>
      </c>
      <c r="E31" s="12">
        <f t="shared" si="3"/>
        <v>5.2499999999999997E-6</v>
      </c>
      <c r="F31" s="12">
        <f>E31/Calculation!K$5*1000</f>
        <v>3.7353053458319641E-6</v>
      </c>
      <c r="G31" s="12">
        <f t="shared" si="1"/>
        <v>5.6029580187479462E-5</v>
      </c>
    </row>
    <row r="32" spans="1:7">
      <c r="A32" s="12">
        <v>13.5</v>
      </c>
      <c r="B32" s="77">
        <v>41.16</v>
      </c>
      <c r="C32" s="12">
        <f t="shared" si="0"/>
        <v>4.1159999999999995E-2</v>
      </c>
      <c r="D32" s="12">
        <f t="shared" si="2"/>
        <v>2.8811999999999996E-3</v>
      </c>
      <c r="E32" s="12">
        <f t="shared" si="3"/>
        <v>1.28625E-4</v>
      </c>
      <c r="F32" s="12">
        <f>E32/Calculation!K$5*1000</f>
        <v>9.1514980972883116E-5</v>
      </c>
      <c r="G32" s="12">
        <f t="shared" si="1"/>
        <v>1.3727247145932466E-3</v>
      </c>
    </row>
    <row r="33" spans="1:7">
      <c r="A33" s="12">
        <v>14</v>
      </c>
      <c r="B33" s="77">
        <v>1.68</v>
      </c>
      <c r="C33" s="12">
        <f t="shared" si="0"/>
        <v>1.6799999999999999E-3</v>
      </c>
      <c r="D33" s="12">
        <f t="shared" si="2"/>
        <v>1.1759999999999999E-4</v>
      </c>
      <c r="E33" s="12">
        <f t="shared" si="3"/>
        <v>5.2499999999999997E-6</v>
      </c>
      <c r="F33" s="12">
        <f>E33/Calculation!K$5*1000</f>
        <v>3.7353053458319641E-6</v>
      </c>
      <c r="G33" s="12">
        <f t="shared" si="1"/>
        <v>5.6029580187479462E-5</v>
      </c>
    </row>
    <row r="34" spans="1:7">
      <c r="A34" s="12">
        <v>14.5</v>
      </c>
      <c r="B34" s="77">
        <v>4.2</v>
      </c>
      <c r="C34" s="12">
        <f t="shared" si="0"/>
        <v>4.2000000000000006E-3</v>
      </c>
      <c r="D34" s="12">
        <f t="shared" si="2"/>
        <v>2.9400000000000004E-4</v>
      </c>
      <c r="E34" s="12">
        <f t="shared" si="3"/>
        <v>1.3125000000000002E-5</v>
      </c>
      <c r="F34" s="12">
        <f>E34/Calculation!K$5*1000</f>
        <v>9.3382633645799115E-6</v>
      </c>
      <c r="G34" s="12">
        <f t="shared" si="1"/>
        <v>1.4007395046869867E-4</v>
      </c>
    </row>
    <row r="35" spans="1:7">
      <c r="A35" s="12">
        <v>15</v>
      </c>
      <c r="B35" s="77">
        <v>1.68</v>
      </c>
      <c r="C35" s="12">
        <f t="shared" si="0"/>
        <v>1.6799999999999999E-3</v>
      </c>
      <c r="D35" s="12">
        <f t="shared" si="2"/>
        <v>1.1759999999999999E-4</v>
      </c>
      <c r="E35" s="12">
        <f t="shared" si="3"/>
        <v>5.2499999999999997E-6</v>
      </c>
      <c r="F35" s="12">
        <f>E35/Calculation!K$5*1000</f>
        <v>3.7353053458319641E-6</v>
      </c>
      <c r="G35" s="12">
        <f t="shared" si="1"/>
        <v>5.6029580187479462E-5</v>
      </c>
    </row>
    <row r="36" spans="1:7">
      <c r="A36" s="12">
        <v>15.5</v>
      </c>
      <c r="B36" s="77">
        <v>0.84</v>
      </c>
      <c r="C36" s="12">
        <f t="shared" si="0"/>
        <v>8.3999999999999993E-4</v>
      </c>
      <c r="D36" s="12">
        <f t="shared" si="2"/>
        <v>5.8799999999999993E-5</v>
      </c>
      <c r="E36" s="12">
        <f t="shared" si="3"/>
        <v>2.6249999999999999E-6</v>
      </c>
      <c r="F36" s="12">
        <f>E36/Calculation!K$5*1000</f>
        <v>1.867652672915982E-6</v>
      </c>
      <c r="G36" s="12">
        <f t="shared" si="1"/>
        <v>2.8014790093739731E-5</v>
      </c>
    </row>
    <row r="37" spans="1:7">
      <c r="A37" s="12">
        <v>16</v>
      </c>
      <c r="B37" s="77">
        <v>0.84</v>
      </c>
      <c r="C37" s="12">
        <f t="shared" si="0"/>
        <v>8.3999999999999993E-4</v>
      </c>
      <c r="D37" s="12">
        <f t="shared" si="2"/>
        <v>5.8799999999999993E-5</v>
      </c>
      <c r="E37" s="12">
        <f t="shared" si="3"/>
        <v>2.6249999999999999E-6</v>
      </c>
      <c r="F37" s="12">
        <f>E37/Calculation!K$5*1000</f>
        <v>1.867652672915982E-6</v>
      </c>
      <c r="G37" s="12">
        <f t="shared" si="1"/>
        <v>2.8014790093739731E-5</v>
      </c>
    </row>
    <row r="38" spans="1:7">
      <c r="A38" s="12">
        <v>16.5</v>
      </c>
      <c r="B38" s="77">
        <v>5.88</v>
      </c>
      <c r="C38" s="12">
        <f t="shared" si="0"/>
        <v>5.8799999999999998E-3</v>
      </c>
      <c r="D38" s="12">
        <f t="shared" si="2"/>
        <v>4.1159999999999998E-4</v>
      </c>
      <c r="E38" s="12">
        <f t="shared" si="3"/>
        <v>1.8374999999999999E-5</v>
      </c>
      <c r="F38" s="12">
        <f>E38/Calculation!K$5*1000</f>
        <v>1.3073568710411875E-5</v>
      </c>
      <c r="G38" s="12">
        <f t="shared" si="1"/>
        <v>1.9610353065617811E-4</v>
      </c>
    </row>
    <row r="39" spans="1:7">
      <c r="A39" s="12">
        <v>17</v>
      </c>
      <c r="B39" s="77">
        <v>8.4</v>
      </c>
      <c r="C39" s="12">
        <f t="shared" si="0"/>
        <v>8.4000000000000012E-3</v>
      </c>
      <c r="D39" s="12">
        <f t="shared" si="2"/>
        <v>5.8800000000000009E-4</v>
      </c>
      <c r="E39" s="12">
        <f t="shared" si="3"/>
        <v>2.6250000000000004E-5</v>
      </c>
      <c r="F39" s="12">
        <f>E39/Calculation!K$5*1000</f>
        <v>1.8676526729159823E-5</v>
      </c>
      <c r="G39" s="12">
        <f t="shared" si="1"/>
        <v>2.8014790093739734E-4</v>
      </c>
    </row>
    <row r="40" spans="1:7">
      <c r="A40" s="12">
        <v>17.5</v>
      </c>
      <c r="B40" s="77">
        <v>7.56</v>
      </c>
      <c r="C40" s="12">
        <f t="shared" si="0"/>
        <v>7.5599999999999999E-3</v>
      </c>
      <c r="D40" s="12">
        <f t="shared" si="2"/>
        <v>5.2919999999999996E-4</v>
      </c>
      <c r="E40" s="12">
        <f t="shared" si="3"/>
        <v>2.3624999999999998E-5</v>
      </c>
      <c r="F40" s="12">
        <f>E40/Calculation!K$5*1000</f>
        <v>1.6808874056243835E-5</v>
      </c>
      <c r="G40" s="12">
        <f t="shared" si="1"/>
        <v>2.5213311084365753E-4</v>
      </c>
    </row>
    <row r="41" spans="1:7">
      <c r="A41" s="12">
        <v>18</v>
      </c>
      <c r="B41" s="77">
        <v>0</v>
      </c>
      <c r="C41" s="12">
        <f t="shared" si="0"/>
        <v>0</v>
      </c>
      <c r="D41" s="12">
        <f t="shared" si="2"/>
        <v>0</v>
      </c>
      <c r="E41" s="12">
        <f t="shared" si="3"/>
        <v>0</v>
      </c>
      <c r="F41" s="12">
        <f>E41/Calculation!K$5*1000</f>
        <v>0</v>
      </c>
      <c r="G41" s="12">
        <f t="shared" si="1"/>
        <v>0</v>
      </c>
    </row>
    <row r="42" spans="1:7">
      <c r="A42" s="12">
        <v>18.5</v>
      </c>
      <c r="B42" s="77">
        <v>0</v>
      </c>
      <c r="C42" s="12">
        <f t="shared" si="0"/>
        <v>0</v>
      </c>
      <c r="D42" s="12">
        <f t="shared" si="2"/>
        <v>0</v>
      </c>
      <c r="E42" s="12">
        <f t="shared" si="3"/>
        <v>0</v>
      </c>
      <c r="F42" s="12">
        <f>E42/Calculation!K$5*1000</f>
        <v>0</v>
      </c>
      <c r="G42" s="12">
        <f t="shared" si="1"/>
        <v>0</v>
      </c>
    </row>
    <row r="43" spans="1:7">
      <c r="A43" s="12">
        <v>19</v>
      </c>
      <c r="B43" s="77">
        <v>10.08</v>
      </c>
      <c r="C43" s="12">
        <f t="shared" si="0"/>
        <v>1.008E-2</v>
      </c>
      <c r="D43" s="12">
        <f t="shared" si="2"/>
        <v>7.0560000000000002E-4</v>
      </c>
      <c r="E43" s="12">
        <f t="shared" si="3"/>
        <v>3.15E-5</v>
      </c>
      <c r="F43" s="12">
        <f>E43/Calculation!K$5*1000</f>
        <v>2.2411832074991786E-5</v>
      </c>
      <c r="G43" s="12">
        <f t="shared" si="1"/>
        <v>3.3617748112487681E-4</v>
      </c>
    </row>
    <row r="44" spans="1:7">
      <c r="A44" s="12">
        <v>19.5</v>
      </c>
      <c r="B44" s="77">
        <v>0</v>
      </c>
      <c r="C44" s="12">
        <f t="shared" si="0"/>
        <v>0</v>
      </c>
      <c r="D44" s="12">
        <f t="shared" si="2"/>
        <v>0</v>
      </c>
      <c r="E44" s="12">
        <f t="shared" si="3"/>
        <v>0</v>
      </c>
      <c r="F44" s="12">
        <f>E44/Calculation!K$5*1000</f>
        <v>0</v>
      </c>
      <c r="G44" s="12">
        <f t="shared" si="1"/>
        <v>0</v>
      </c>
    </row>
    <row r="45" spans="1:7">
      <c r="A45" s="12">
        <v>20</v>
      </c>
      <c r="B45" s="77">
        <v>3.36</v>
      </c>
      <c r="C45" s="12">
        <f t="shared" si="0"/>
        <v>3.3599999999999997E-3</v>
      </c>
      <c r="D45" s="12">
        <f t="shared" si="2"/>
        <v>2.3519999999999997E-4</v>
      </c>
      <c r="E45" s="12">
        <f t="shared" si="3"/>
        <v>1.0499999999999999E-5</v>
      </c>
      <c r="F45" s="12">
        <f>E45/Calculation!K$5*1000</f>
        <v>7.4706106916639282E-6</v>
      </c>
      <c r="G45" s="12">
        <f t="shared" si="1"/>
        <v>1.1205916037495892E-4</v>
      </c>
    </row>
    <row r="46" spans="1:7">
      <c r="A46" s="12">
        <v>20.5</v>
      </c>
      <c r="B46" s="77">
        <v>0</v>
      </c>
      <c r="C46" s="12">
        <f t="shared" si="0"/>
        <v>0</v>
      </c>
      <c r="D46" s="12">
        <f t="shared" si="2"/>
        <v>0</v>
      </c>
      <c r="E46" s="12">
        <f t="shared" si="3"/>
        <v>0</v>
      </c>
      <c r="F46" s="12">
        <f>E46/Calculation!K$5*1000</f>
        <v>0</v>
      </c>
      <c r="G46" s="12">
        <f t="shared" si="1"/>
        <v>0</v>
      </c>
    </row>
    <row r="47" spans="1:7">
      <c r="A47" s="12">
        <v>21</v>
      </c>
      <c r="B47" s="77">
        <v>2.52</v>
      </c>
      <c r="C47" s="12">
        <f t="shared" si="0"/>
        <v>2.5200000000000001E-3</v>
      </c>
      <c r="D47" s="12">
        <f t="shared" si="2"/>
        <v>1.7640000000000001E-4</v>
      </c>
      <c r="E47" s="12">
        <f t="shared" si="3"/>
        <v>7.875E-6</v>
      </c>
      <c r="F47" s="12">
        <f>E47/Calculation!K$5*1000</f>
        <v>5.6029580187479465E-6</v>
      </c>
      <c r="G47" s="12">
        <f t="shared" si="1"/>
        <v>8.4044370281219203E-5</v>
      </c>
    </row>
    <row r="48" spans="1:7">
      <c r="A48" s="12">
        <v>21.5</v>
      </c>
      <c r="B48" s="77">
        <v>16.8</v>
      </c>
      <c r="C48" s="12">
        <f t="shared" si="0"/>
        <v>1.6800000000000002E-2</v>
      </c>
      <c r="D48" s="12">
        <f t="shared" si="2"/>
        <v>1.1760000000000002E-3</v>
      </c>
      <c r="E48" s="12">
        <f t="shared" si="3"/>
        <v>5.2500000000000009E-5</v>
      </c>
      <c r="F48" s="12">
        <f>E48/Calculation!K$5*1000</f>
        <v>3.7353053458319646E-5</v>
      </c>
      <c r="G48" s="12">
        <f t="shared" si="1"/>
        <v>5.6029580187479469E-4</v>
      </c>
    </row>
    <row r="49" spans="1:7">
      <c r="A49" s="12">
        <v>22</v>
      </c>
      <c r="B49" s="77">
        <v>12.6</v>
      </c>
      <c r="C49" s="12">
        <f t="shared" si="0"/>
        <v>1.26E-2</v>
      </c>
      <c r="D49" s="12">
        <f t="shared" si="2"/>
        <v>8.8199999999999997E-4</v>
      </c>
      <c r="E49" s="12">
        <f t="shared" si="3"/>
        <v>3.9375000000000002E-5</v>
      </c>
      <c r="F49" s="12">
        <f>E49/Calculation!K$5*1000</f>
        <v>2.8014790093739731E-5</v>
      </c>
      <c r="G49" s="12">
        <f t="shared" si="1"/>
        <v>4.2022185140609599E-4</v>
      </c>
    </row>
    <row r="50" spans="1:7">
      <c r="A50" s="12">
        <v>22.5</v>
      </c>
      <c r="B50" s="77">
        <v>13.44</v>
      </c>
      <c r="C50" s="12">
        <f t="shared" si="0"/>
        <v>1.3439999999999999E-2</v>
      </c>
      <c r="D50" s="12">
        <f t="shared" si="2"/>
        <v>9.4079999999999988E-4</v>
      </c>
      <c r="E50" s="12">
        <f t="shared" si="3"/>
        <v>4.1999999999999998E-5</v>
      </c>
      <c r="F50" s="12">
        <f>E50/Calculation!K$5*1000</f>
        <v>2.9882442766655713E-5</v>
      </c>
      <c r="G50" s="12">
        <f t="shared" si="1"/>
        <v>4.482366414998357E-4</v>
      </c>
    </row>
    <row r="51" spans="1:7">
      <c r="A51" s="12">
        <v>23</v>
      </c>
      <c r="B51" s="77">
        <v>4.2</v>
      </c>
      <c r="C51" s="12">
        <f t="shared" si="0"/>
        <v>4.2000000000000006E-3</v>
      </c>
      <c r="D51" s="12">
        <f t="shared" si="2"/>
        <v>2.9400000000000004E-4</v>
      </c>
      <c r="E51" s="12">
        <f t="shared" si="3"/>
        <v>1.3125000000000002E-5</v>
      </c>
      <c r="F51" s="12">
        <f>E51/Calculation!K$5*1000</f>
        <v>9.3382633645799115E-6</v>
      </c>
      <c r="G51" s="12">
        <f t="shared" si="1"/>
        <v>1.4007395046869867E-4</v>
      </c>
    </row>
    <row r="52" spans="1:7">
      <c r="A52" s="12">
        <v>23.5</v>
      </c>
      <c r="B52" s="77">
        <v>1.68</v>
      </c>
      <c r="C52" s="12">
        <f t="shared" si="0"/>
        <v>1.6799999999999999E-3</v>
      </c>
      <c r="D52" s="12">
        <f t="shared" si="2"/>
        <v>1.1759999999999999E-4</v>
      </c>
      <c r="E52" s="12">
        <f t="shared" si="3"/>
        <v>5.2499999999999997E-6</v>
      </c>
      <c r="F52" s="12">
        <f>E52/Calculation!K$5*1000</f>
        <v>3.7353053458319641E-6</v>
      </c>
      <c r="G52" s="12">
        <f t="shared" si="1"/>
        <v>5.6029580187479462E-5</v>
      </c>
    </row>
    <row r="53" spans="1:7">
      <c r="A53" s="12">
        <v>24</v>
      </c>
      <c r="B53" s="77">
        <v>6.72</v>
      </c>
      <c r="C53" s="12">
        <f t="shared" si="0"/>
        <v>6.7199999999999994E-3</v>
      </c>
      <c r="D53" s="12">
        <f t="shared" si="2"/>
        <v>4.7039999999999994E-4</v>
      </c>
      <c r="E53" s="12">
        <f t="shared" si="3"/>
        <v>2.0999999999999999E-5</v>
      </c>
      <c r="F53" s="12">
        <f>E53/Calculation!K$6*1000</f>
        <v>1.5600392914945263E-5</v>
      </c>
      <c r="G53" s="12">
        <f t="shared" si="1"/>
        <v>2.3400589372417894E-4</v>
      </c>
    </row>
    <row r="54" spans="1:7">
      <c r="A54" s="12">
        <v>24.5</v>
      </c>
      <c r="B54" s="77">
        <v>1.68</v>
      </c>
      <c r="C54" s="12">
        <f t="shared" si="0"/>
        <v>1.6799999999999999E-3</v>
      </c>
      <c r="D54" s="12">
        <f t="shared" si="2"/>
        <v>1.1759999999999999E-4</v>
      </c>
      <c r="E54" s="12">
        <f t="shared" si="3"/>
        <v>5.2499999999999997E-6</v>
      </c>
      <c r="F54" s="12">
        <f>E54/Calculation!K$6*1000</f>
        <v>3.9000982287363157E-6</v>
      </c>
      <c r="G54" s="12">
        <f t="shared" si="1"/>
        <v>5.8501473431044735E-5</v>
      </c>
    </row>
    <row r="55" spans="1:7">
      <c r="A55" s="12">
        <v>25</v>
      </c>
      <c r="B55" s="77">
        <v>0.84</v>
      </c>
      <c r="C55" s="12">
        <f t="shared" si="0"/>
        <v>8.3999999999999993E-4</v>
      </c>
      <c r="D55" s="12">
        <f t="shared" si="2"/>
        <v>5.8799999999999993E-5</v>
      </c>
      <c r="E55" s="12">
        <f t="shared" si="3"/>
        <v>2.6249999999999999E-6</v>
      </c>
      <c r="F55" s="12">
        <f>E55/Calculation!K$6*1000</f>
        <v>1.9500491143681578E-6</v>
      </c>
      <c r="G55" s="12">
        <f t="shared" si="1"/>
        <v>2.9250736715522367E-5</v>
      </c>
    </row>
    <row r="56" spans="1:7">
      <c r="A56" s="12">
        <v>25.5</v>
      </c>
      <c r="B56" s="77">
        <v>1.68</v>
      </c>
      <c r="C56" s="12">
        <f t="shared" si="0"/>
        <v>1.6799999999999999E-3</v>
      </c>
      <c r="D56" s="12">
        <f t="shared" si="2"/>
        <v>1.1759999999999999E-4</v>
      </c>
      <c r="E56" s="12">
        <f t="shared" si="3"/>
        <v>5.2499999999999997E-6</v>
      </c>
      <c r="F56" s="12">
        <f>E56/Calculation!K$6*1000</f>
        <v>3.9000982287363157E-6</v>
      </c>
      <c r="G56" s="12">
        <f t="shared" si="1"/>
        <v>5.8501473431044735E-5</v>
      </c>
    </row>
    <row r="57" spans="1:7">
      <c r="A57" s="12">
        <v>26</v>
      </c>
      <c r="B57" s="77">
        <v>31.92</v>
      </c>
      <c r="C57" s="12">
        <f t="shared" si="0"/>
        <v>3.1920000000000004E-2</v>
      </c>
      <c r="D57" s="12">
        <f t="shared" si="2"/>
        <v>2.2344000000000005E-3</v>
      </c>
      <c r="E57" s="12">
        <f t="shared" si="3"/>
        <v>9.9750000000000026E-5</v>
      </c>
      <c r="F57" s="12">
        <f>E57/Calculation!K$6*1000</f>
        <v>7.4101866345990011E-5</v>
      </c>
      <c r="G57" s="12">
        <f t="shared" si="1"/>
        <v>1.1115279951898502E-3</v>
      </c>
    </row>
    <row r="58" spans="1:7">
      <c r="A58" s="12">
        <v>26.5</v>
      </c>
      <c r="B58" s="77">
        <v>2.52</v>
      </c>
      <c r="C58" s="12">
        <f t="shared" si="0"/>
        <v>2.5200000000000001E-3</v>
      </c>
      <c r="D58" s="12">
        <f t="shared" si="2"/>
        <v>1.7640000000000001E-4</v>
      </c>
      <c r="E58" s="12">
        <f t="shared" si="3"/>
        <v>7.875E-6</v>
      </c>
      <c r="F58" s="12">
        <f>E58/Calculation!K$6*1000</f>
        <v>5.8501473431044735E-6</v>
      </c>
      <c r="G58" s="12">
        <f t="shared" si="1"/>
        <v>8.7752210146567109E-5</v>
      </c>
    </row>
    <row r="59" spans="1:7">
      <c r="A59" s="12">
        <v>27</v>
      </c>
      <c r="B59" s="77">
        <v>0</v>
      </c>
      <c r="C59" s="12">
        <f t="shared" si="0"/>
        <v>0</v>
      </c>
      <c r="D59" s="12">
        <f t="shared" si="2"/>
        <v>0</v>
      </c>
      <c r="E59" s="12">
        <f t="shared" si="3"/>
        <v>0</v>
      </c>
      <c r="F59" s="12">
        <f>E59/Calculation!K$6*1000</f>
        <v>0</v>
      </c>
      <c r="G59" s="12">
        <f t="shared" si="1"/>
        <v>0</v>
      </c>
    </row>
    <row r="60" spans="1:7">
      <c r="A60" s="12">
        <v>27.5</v>
      </c>
      <c r="B60" s="77">
        <v>0.84</v>
      </c>
      <c r="C60" s="12">
        <f t="shared" si="0"/>
        <v>8.3999999999999993E-4</v>
      </c>
      <c r="D60" s="12">
        <f t="shared" si="2"/>
        <v>5.8799999999999993E-5</v>
      </c>
      <c r="E60" s="12">
        <f t="shared" si="3"/>
        <v>2.6249999999999999E-6</v>
      </c>
      <c r="F60" s="12">
        <f>E60/Calculation!K$6*1000</f>
        <v>1.9500491143681578E-6</v>
      </c>
      <c r="G60" s="12">
        <f t="shared" si="1"/>
        <v>2.9250736715522367E-5</v>
      </c>
    </row>
    <row r="61" spans="1:7">
      <c r="A61" s="12">
        <v>28</v>
      </c>
      <c r="B61" s="77">
        <v>3.36</v>
      </c>
      <c r="C61" s="12">
        <f t="shared" si="0"/>
        <v>3.3599999999999997E-3</v>
      </c>
      <c r="D61" s="12">
        <f t="shared" si="2"/>
        <v>2.3519999999999997E-4</v>
      </c>
      <c r="E61" s="12">
        <f t="shared" si="3"/>
        <v>1.0499999999999999E-5</v>
      </c>
      <c r="F61" s="12">
        <f>E61/Calculation!K$6*1000</f>
        <v>7.8001964574726313E-6</v>
      </c>
      <c r="G61" s="12">
        <f t="shared" si="1"/>
        <v>1.1700294686208947E-4</v>
      </c>
    </row>
    <row r="62" spans="1:7">
      <c r="A62" s="12">
        <v>28.5</v>
      </c>
      <c r="B62" s="77">
        <v>47.04</v>
      </c>
      <c r="C62" s="12">
        <f t="shared" si="0"/>
        <v>4.7039999999999998E-2</v>
      </c>
      <c r="D62" s="12">
        <f t="shared" si="2"/>
        <v>3.2927999999999998E-3</v>
      </c>
      <c r="E62" s="12">
        <f t="shared" si="3"/>
        <v>1.47E-4</v>
      </c>
      <c r="F62" s="12">
        <f>E62/Calculation!K$6*1000</f>
        <v>1.0920275040461684E-4</v>
      </c>
      <c r="G62" s="12">
        <f t="shared" si="1"/>
        <v>1.6380412560692526E-3</v>
      </c>
    </row>
    <row r="63" spans="1:7">
      <c r="A63" s="12">
        <v>29</v>
      </c>
      <c r="B63" s="77">
        <v>0.84</v>
      </c>
      <c r="C63" s="12">
        <f t="shared" si="0"/>
        <v>8.3999999999999993E-4</v>
      </c>
      <c r="D63" s="12">
        <f t="shared" si="2"/>
        <v>5.8799999999999993E-5</v>
      </c>
      <c r="E63" s="12">
        <f t="shared" si="3"/>
        <v>2.6249999999999999E-6</v>
      </c>
      <c r="F63" s="12">
        <f>E63/Calculation!K$6*1000</f>
        <v>1.9500491143681578E-6</v>
      </c>
      <c r="G63" s="12">
        <f t="shared" si="1"/>
        <v>2.9250736715522367E-5</v>
      </c>
    </row>
    <row r="64" spans="1:7">
      <c r="A64" s="12">
        <v>29.5</v>
      </c>
      <c r="B64" s="77">
        <v>0.84</v>
      </c>
      <c r="C64" s="12">
        <f t="shared" si="0"/>
        <v>8.3999999999999993E-4</v>
      </c>
      <c r="D64" s="12">
        <f t="shared" si="2"/>
        <v>5.8799999999999993E-5</v>
      </c>
      <c r="E64" s="12">
        <f t="shared" si="3"/>
        <v>2.6249999999999999E-6</v>
      </c>
      <c r="F64" s="12">
        <f>E64/Calculation!K$6*1000</f>
        <v>1.9500491143681578E-6</v>
      </c>
      <c r="G64" s="12">
        <f t="shared" si="1"/>
        <v>2.9250736715522367E-5</v>
      </c>
    </row>
    <row r="65" spans="1:7">
      <c r="A65" s="12">
        <v>30</v>
      </c>
      <c r="B65" s="77">
        <v>21.84</v>
      </c>
      <c r="C65" s="12">
        <f t="shared" si="0"/>
        <v>2.1839999999999998E-2</v>
      </c>
      <c r="D65" s="12">
        <f t="shared" si="2"/>
        <v>1.5287999999999999E-3</v>
      </c>
      <c r="E65" s="12">
        <f t="shared" si="3"/>
        <v>6.8249999999999992E-5</v>
      </c>
      <c r="F65" s="12">
        <f>E65/Calculation!K$6*1000</f>
        <v>5.0701276973572097E-5</v>
      </c>
      <c r="G65" s="12">
        <f t="shared" si="1"/>
        <v>7.6051915460358143E-4</v>
      </c>
    </row>
    <row r="66" spans="1:7">
      <c r="A66" s="12">
        <v>30.5</v>
      </c>
      <c r="B66" s="77">
        <v>10.08</v>
      </c>
      <c r="C66" s="12">
        <f t="shared" si="0"/>
        <v>1.008E-2</v>
      </c>
      <c r="D66" s="12">
        <f t="shared" si="2"/>
        <v>7.0560000000000002E-4</v>
      </c>
      <c r="E66" s="12">
        <f t="shared" si="3"/>
        <v>3.15E-5</v>
      </c>
      <c r="F66" s="12">
        <f>E66/Calculation!K$6*1000</f>
        <v>2.3400589372417894E-5</v>
      </c>
      <c r="G66" s="12">
        <f t="shared" si="1"/>
        <v>3.5100884058626844E-4</v>
      </c>
    </row>
    <row r="67" spans="1:7">
      <c r="A67" s="12">
        <v>31</v>
      </c>
      <c r="B67" s="77">
        <v>4.2</v>
      </c>
      <c r="C67" s="12">
        <f t="shared" si="0"/>
        <v>4.2000000000000006E-3</v>
      </c>
      <c r="D67" s="12">
        <f t="shared" si="2"/>
        <v>2.9400000000000004E-4</v>
      </c>
      <c r="E67" s="12">
        <f t="shared" si="3"/>
        <v>1.3125000000000002E-5</v>
      </c>
      <c r="F67" s="12">
        <f>E67/Calculation!K$6*1000</f>
        <v>9.7502455718407908E-6</v>
      </c>
      <c r="G67" s="12">
        <f t="shared" si="1"/>
        <v>1.4625368357761186E-4</v>
      </c>
    </row>
    <row r="68" spans="1:7">
      <c r="A68" s="12">
        <v>31.5</v>
      </c>
      <c r="B68" s="77">
        <v>0.84</v>
      </c>
      <c r="C68" s="12">
        <f t="shared" si="0"/>
        <v>8.3999999999999993E-4</v>
      </c>
      <c r="D68" s="12">
        <f t="shared" si="2"/>
        <v>5.8799999999999993E-5</v>
      </c>
      <c r="E68" s="12">
        <f t="shared" si="3"/>
        <v>2.6249999999999999E-6</v>
      </c>
      <c r="F68" s="12">
        <f>E68/Calculation!K$6*1000</f>
        <v>1.9500491143681578E-6</v>
      </c>
      <c r="G68" s="12">
        <f t="shared" si="1"/>
        <v>2.9250736715522367E-5</v>
      </c>
    </row>
    <row r="69" spans="1:7">
      <c r="A69" s="12">
        <v>32</v>
      </c>
      <c r="B69" s="77">
        <v>0</v>
      </c>
      <c r="C69" s="12">
        <f t="shared" si="0"/>
        <v>0</v>
      </c>
      <c r="D69" s="12">
        <f t="shared" si="2"/>
        <v>0</v>
      </c>
      <c r="E69" s="12">
        <f t="shared" si="3"/>
        <v>0</v>
      </c>
      <c r="F69" s="12">
        <f>E69/Calculation!K$6*1000</f>
        <v>0</v>
      </c>
      <c r="G69" s="12">
        <f t="shared" si="1"/>
        <v>0</v>
      </c>
    </row>
    <row r="70" spans="1:7">
      <c r="A70" s="12">
        <v>32.5</v>
      </c>
      <c r="B70" s="77">
        <v>7.56</v>
      </c>
      <c r="C70" s="12">
        <f t="shared" ref="C70:C101" si="4">B70/1000</f>
        <v>7.5599999999999999E-3</v>
      </c>
      <c r="D70" s="12">
        <f t="shared" ref="D70:D101" si="5">C70/1000*$B$1</f>
        <v>5.2919999999999996E-4</v>
      </c>
      <c r="E70" s="12">
        <f t="shared" ref="E70:E101" si="6">D70/22.4</f>
        <v>2.3624999999999998E-5</v>
      </c>
      <c r="F70" s="12">
        <f>E70/Calculation!K$6*1000</f>
        <v>1.7550442029313417E-5</v>
      </c>
      <c r="G70" s="12">
        <f t="shared" ref="G70:G101" si="7">(0+F70)/2*30</f>
        <v>2.6325663043970127E-4</v>
      </c>
    </row>
    <row r="71" spans="1:7">
      <c r="A71" s="12">
        <v>33</v>
      </c>
      <c r="B71" s="77">
        <v>9.24</v>
      </c>
      <c r="C71" s="12">
        <f t="shared" si="4"/>
        <v>9.2399999999999999E-3</v>
      </c>
      <c r="D71" s="12">
        <f t="shared" si="5"/>
        <v>6.468E-4</v>
      </c>
      <c r="E71" s="12">
        <f t="shared" si="6"/>
        <v>2.8875000000000001E-5</v>
      </c>
      <c r="F71" s="12">
        <f>E71/Calculation!K$6*1000</f>
        <v>2.1450540258049736E-5</v>
      </c>
      <c r="G71" s="12">
        <f t="shared" si="7"/>
        <v>3.2175810387074605E-4</v>
      </c>
    </row>
    <row r="72" spans="1:7">
      <c r="A72" s="12">
        <v>33.5</v>
      </c>
      <c r="B72" s="77">
        <v>2.52</v>
      </c>
      <c r="C72" s="12">
        <f t="shared" si="4"/>
        <v>2.5200000000000001E-3</v>
      </c>
      <c r="D72" s="12">
        <f t="shared" si="5"/>
        <v>1.7640000000000001E-4</v>
      </c>
      <c r="E72" s="12">
        <f t="shared" si="6"/>
        <v>7.875E-6</v>
      </c>
      <c r="F72" s="12">
        <f>E72/Calculation!K$6*1000</f>
        <v>5.8501473431044735E-6</v>
      </c>
      <c r="G72" s="12">
        <f t="shared" si="7"/>
        <v>8.7752210146567109E-5</v>
      </c>
    </row>
    <row r="73" spans="1:7">
      <c r="A73" s="12">
        <v>34</v>
      </c>
      <c r="B73" s="77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E73/Calculation!K$6*1000</f>
        <v>0</v>
      </c>
      <c r="G73" s="12">
        <f t="shared" si="7"/>
        <v>0</v>
      </c>
    </row>
    <row r="74" spans="1:7">
      <c r="A74" s="12">
        <v>34.5</v>
      </c>
      <c r="B74" s="77">
        <v>15.12</v>
      </c>
      <c r="C74" s="12">
        <f t="shared" si="4"/>
        <v>1.512E-2</v>
      </c>
      <c r="D74" s="12">
        <f t="shared" si="5"/>
        <v>1.0583999999999999E-3</v>
      </c>
      <c r="E74" s="12">
        <f t="shared" si="6"/>
        <v>4.7249999999999997E-5</v>
      </c>
      <c r="F74" s="12">
        <f>E74/Calculation!K$6*1000</f>
        <v>3.5100884058626834E-5</v>
      </c>
      <c r="G74" s="12">
        <f t="shared" si="7"/>
        <v>5.2651326087940255E-4</v>
      </c>
    </row>
    <row r="75" spans="1:7">
      <c r="A75" s="12">
        <v>35</v>
      </c>
      <c r="B75" s="77">
        <v>7.56</v>
      </c>
      <c r="C75" s="12">
        <f t="shared" si="4"/>
        <v>7.5599999999999999E-3</v>
      </c>
      <c r="D75" s="12">
        <f t="shared" si="5"/>
        <v>5.2919999999999996E-4</v>
      </c>
      <c r="E75" s="12">
        <f t="shared" si="6"/>
        <v>2.3624999999999998E-5</v>
      </c>
      <c r="F75" s="12">
        <f>E75/Calculation!K$6*1000</f>
        <v>1.7550442029313417E-5</v>
      </c>
      <c r="G75" s="12">
        <f t="shared" si="7"/>
        <v>2.6325663043970127E-4</v>
      </c>
    </row>
    <row r="76" spans="1:7">
      <c r="A76" s="12">
        <v>35.5</v>
      </c>
      <c r="B76" s="77">
        <v>19.32</v>
      </c>
      <c r="C76" s="12">
        <f t="shared" si="4"/>
        <v>1.932E-2</v>
      </c>
      <c r="D76" s="12">
        <f t="shared" si="5"/>
        <v>1.3524000000000001E-3</v>
      </c>
      <c r="E76" s="12">
        <f t="shared" si="6"/>
        <v>6.0375000000000011E-5</v>
      </c>
      <c r="F76" s="12">
        <f>E76/Calculation!K$6*1000</f>
        <v>4.4851129630467637E-5</v>
      </c>
      <c r="G76" s="12">
        <f t="shared" si="7"/>
        <v>6.7276694445701454E-4</v>
      </c>
    </row>
    <row r="77" spans="1:7">
      <c r="A77" s="12">
        <v>36</v>
      </c>
      <c r="B77" s="77">
        <v>12.6</v>
      </c>
      <c r="C77" s="12">
        <f t="shared" si="4"/>
        <v>1.26E-2</v>
      </c>
      <c r="D77" s="12">
        <f t="shared" si="5"/>
        <v>8.8199999999999997E-4</v>
      </c>
      <c r="E77" s="12">
        <f t="shared" si="6"/>
        <v>3.9375000000000002E-5</v>
      </c>
      <c r="F77" s="12">
        <f>E77/Calculation!K$6*1000</f>
        <v>2.9250736715522367E-5</v>
      </c>
      <c r="G77" s="12">
        <f t="shared" si="7"/>
        <v>4.3876105073283549E-4</v>
      </c>
    </row>
    <row r="78" spans="1:7">
      <c r="A78" s="12">
        <v>36.5</v>
      </c>
      <c r="B78" s="77">
        <v>0</v>
      </c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E78/Calculation!K$6*1000</f>
        <v>0</v>
      </c>
      <c r="G78" s="12">
        <f t="shared" si="7"/>
        <v>0</v>
      </c>
    </row>
    <row r="79" spans="1:7">
      <c r="A79" s="12">
        <v>37</v>
      </c>
      <c r="B79" s="77">
        <v>21</v>
      </c>
      <c r="C79" s="12">
        <f t="shared" si="4"/>
        <v>2.1000000000000001E-2</v>
      </c>
      <c r="D79" s="12">
        <f t="shared" si="5"/>
        <v>1.4700000000000002E-3</v>
      </c>
      <c r="E79" s="12">
        <f t="shared" si="6"/>
        <v>6.5625000000000009E-5</v>
      </c>
      <c r="F79" s="12">
        <f>E79/Calculation!K$6*1000</f>
        <v>4.8751227859203952E-5</v>
      </c>
      <c r="G79" s="12">
        <f t="shared" si="7"/>
        <v>7.3126841788805931E-4</v>
      </c>
    </row>
    <row r="80" spans="1:7">
      <c r="A80" s="12">
        <v>37.5</v>
      </c>
      <c r="B80" s="77">
        <v>1.68</v>
      </c>
      <c r="C80" s="12">
        <f t="shared" si="4"/>
        <v>1.6799999999999999E-3</v>
      </c>
      <c r="D80" s="12">
        <f t="shared" si="5"/>
        <v>1.1759999999999999E-4</v>
      </c>
      <c r="E80" s="12">
        <f t="shared" si="6"/>
        <v>5.2499999999999997E-6</v>
      </c>
      <c r="F80" s="12">
        <f>E80/Calculation!K$6*1000</f>
        <v>3.9000982287363157E-6</v>
      </c>
      <c r="G80" s="12">
        <f t="shared" si="7"/>
        <v>5.8501473431044735E-5</v>
      </c>
    </row>
    <row r="81" spans="1:7">
      <c r="A81" s="12">
        <v>38</v>
      </c>
      <c r="B81" s="77">
        <v>12.6</v>
      </c>
      <c r="C81" s="12">
        <f t="shared" si="4"/>
        <v>1.26E-2</v>
      </c>
      <c r="D81" s="12">
        <f t="shared" si="5"/>
        <v>8.8199999999999997E-4</v>
      </c>
      <c r="E81" s="12">
        <f t="shared" si="6"/>
        <v>3.9375000000000002E-5</v>
      </c>
      <c r="F81" s="12">
        <f>E81/Calculation!K$6*1000</f>
        <v>2.9250736715522367E-5</v>
      </c>
      <c r="G81" s="12">
        <f t="shared" si="7"/>
        <v>4.3876105073283549E-4</v>
      </c>
    </row>
    <row r="82" spans="1:7">
      <c r="A82" s="12">
        <v>38.5</v>
      </c>
      <c r="B82" s="77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E82/Calculation!K$6*1000</f>
        <v>0</v>
      </c>
      <c r="G82" s="12">
        <f t="shared" si="7"/>
        <v>0</v>
      </c>
    </row>
    <row r="83" spans="1:7">
      <c r="A83" s="12">
        <v>39</v>
      </c>
      <c r="B83" s="77">
        <v>13.44</v>
      </c>
      <c r="C83" s="12">
        <f t="shared" si="4"/>
        <v>1.3439999999999999E-2</v>
      </c>
      <c r="D83" s="12">
        <f t="shared" si="5"/>
        <v>9.4079999999999988E-4</v>
      </c>
      <c r="E83" s="12">
        <f t="shared" si="6"/>
        <v>4.1999999999999998E-5</v>
      </c>
      <c r="F83" s="12">
        <f>E83/Calculation!K$6*1000</f>
        <v>3.1200785829890525E-5</v>
      </c>
      <c r="G83" s="12">
        <f t="shared" si="7"/>
        <v>4.6801178744835788E-4</v>
      </c>
    </row>
    <row r="84" spans="1:7">
      <c r="A84" s="12">
        <v>39.5</v>
      </c>
      <c r="B84" s="77">
        <v>0.84</v>
      </c>
      <c r="C84" s="12">
        <f t="shared" si="4"/>
        <v>8.3999999999999993E-4</v>
      </c>
      <c r="D84" s="12">
        <f t="shared" si="5"/>
        <v>5.8799999999999993E-5</v>
      </c>
      <c r="E84" s="12">
        <f t="shared" si="6"/>
        <v>2.6249999999999999E-6</v>
      </c>
      <c r="F84" s="12">
        <f>E84/Calculation!K$6*1000</f>
        <v>1.9500491143681578E-6</v>
      </c>
      <c r="G84" s="12">
        <f t="shared" si="7"/>
        <v>2.9250736715522367E-5</v>
      </c>
    </row>
    <row r="85" spans="1:7">
      <c r="A85" s="12">
        <v>40</v>
      </c>
      <c r="B85" s="77">
        <v>0.84</v>
      </c>
      <c r="C85" s="12">
        <f t="shared" si="4"/>
        <v>8.3999999999999993E-4</v>
      </c>
      <c r="D85" s="12">
        <f t="shared" si="5"/>
        <v>5.8799999999999993E-5</v>
      </c>
      <c r="E85" s="12">
        <f t="shared" si="6"/>
        <v>2.6249999999999999E-6</v>
      </c>
      <c r="F85" s="12">
        <f>E85/Calculation!K$6*1000</f>
        <v>1.9500491143681578E-6</v>
      </c>
      <c r="G85" s="12">
        <f t="shared" si="7"/>
        <v>2.9250736715522367E-5</v>
      </c>
    </row>
    <row r="86" spans="1:7">
      <c r="A86" s="12">
        <v>40.5</v>
      </c>
      <c r="B86" s="77">
        <v>1.68</v>
      </c>
      <c r="C86" s="12">
        <f t="shared" si="4"/>
        <v>1.6799999999999999E-3</v>
      </c>
      <c r="D86" s="12">
        <f t="shared" si="5"/>
        <v>1.1759999999999999E-4</v>
      </c>
      <c r="E86" s="12">
        <f t="shared" si="6"/>
        <v>5.2499999999999997E-6</v>
      </c>
      <c r="F86" s="12">
        <f>E86/Calculation!K$6*1000</f>
        <v>3.9000982287363157E-6</v>
      </c>
      <c r="G86" s="12">
        <f t="shared" si="7"/>
        <v>5.8501473431044735E-5</v>
      </c>
    </row>
    <row r="87" spans="1:7">
      <c r="A87" s="12">
        <v>41</v>
      </c>
      <c r="B87" s="77">
        <v>27.72</v>
      </c>
      <c r="C87" s="12">
        <f t="shared" si="4"/>
        <v>2.7719999999999998E-2</v>
      </c>
      <c r="D87" s="12">
        <f t="shared" si="5"/>
        <v>1.9403999999999999E-3</v>
      </c>
      <c r="E87" s="12">
        <f t="shared" si="6"/>
        <v>8.6625000000000005E-5</v>
      </c>
      <c r="F87" s="12">
        <f>E87/Calculation!K$6*1000</f>
        <v>6.4351620774149201E-5</v>
      </c>
      <c r="G87" s="12">
        <f t="shared" si="7"/>
        <v>9.6527431161223798E-4</v>
      </c>
    </row>
    <row r="88" spans="1:7">
      <c r="A88" s="12">
        <v>41.5</v>
      </c>
      <c r="B88" s="77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E88/Calculation!K$6*1000</f>
        <v>0</v>
      </c>
      <c r="G88" s="12">
        <f t="shared" si="7"/>
        <v>0</v>
      </c>
    </row>
    <row r="89" spans="1:7">
      <c r="A89" s="12">
        <v>42</v>
      </c>
      <c r="B89" s="77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E89/Calculation!K$6*1000</f>
        <v>0</v>
      </c>
      <c r="G89" s="12">
        <f t="shared" si="7"/>
        <v>0</v>
      </c>
    </row>
    <row r="90" spans="1:7">
      <c r="A90" s="12">
        <v>42.5</v>
      </c>
      <c r="B90" s="77">
        <v>4.2</v>
      </c>
      <c r="C90" s="12">
        <f t="shared" si="4"/>
        <v>4.2000000000000006E-3</v>
      </c>
      <c r="D90" s="12">
        <f t="shared" si="5"/>
        <v>2.9400000000000004E-4</v>
      </c>
      <c r="E90" s="12">
        <f t="shared" si="6"/>
        <v>1.3125000000000002E-5</v>
      </c>
      <c r="F90" s="12">
        <f>E90/Calculation!K$6*1000</f>
        <v>9.7502455718407908E-6</v>
      </c>
      <c r="G90" s="12">
        <f t="shared" si="7"/>
        <v>1.4625368357761186E-4</v>
      </c>
    </row>
    <row r="91" spans="1:7">
      <c r="A91" s="12">
        <v>43</v>
      </c>
      <c r="B91" s="77">
        <v>0.84</v>
      </c>
      <c r="C91" s="12">
        <f t="shared" si="4"/>
        <v>8.3999999999999993E-4</v>
      </c>
      <c r="D91" s="12">
        <f t="shared" si="5"/>
        <v>5.8799999999999993E-5</v>
      </c>
      <c r="E91" s="12">
        <f t="shared" si="6"/>
        <v>2.6249999999999999E-6</v>
      </c>
      <c r="F91" s="12">
        <f>E91/Calculation!K$6*1000</f>
        <v>1.9500491143681578E-6</v>
      </c>
      <c r="G91" s="12">
        <f t="shared" si="7"/>
        <v>2.9250736715522367E-5</v>
      </c>
    </row>
    <row r="92" spans="1:7">
      <c r="A92" s="12">
        <v>43.5</v>
      </c>
      <c r="B92" s="77">
        <v>5.88</v>
      </c>
      <c r="C92" s="12">
        <f t="shared" si="4"/>
        <v>5.8799999999999998E-3</v>
      </c>
      <c r="D92" s="12">
        <f t="shared" si="5"/>
        <v>4.1159999999999998E-4</v>
      </c>
      <c r="E92" s="12">
        <f t="shared" si="6"/>
        <v>1.8374999999999999E-5</v>
      </c>
      <c r="F92" s="12">
        <f>E92/Calculation!K$6*1000</f>
        <v>1.3650343800577105E-5</v>
      </c>
      <c r="G92" s="12">
        <f t="shared" si="7"/>
        <v>2.0475515700865658E-4</v>
      </c>
    </row>
    <row r="93" spans="1:7">
      <c r="A93" s="12">
        <v>44</v>
      </c>
      <c r="B93" s="77">
        <v>0.84</v>
      </c>
      <c r="C93" s="12">
        <f t="shared" si="4"/>
        <v>8.3999999999999993E-4</v>
      </c>
      <c r="D93" s="12">
        <f t="shared" si="5"/>
        <v>5.8799999999999993E-5</v>
      </c>
      <c r="E93" s="12">
        <f t="shared" si="6"/>
        <v>2.6249999999999999E-6</v>
      </c>
      <c r="F93" s="12">
        <f>E93/Calculation!K$6*1000</f>
        <v>1.9500491143681578E-6</v>
      </c>
      <c r="G93" s="12">
        <f t="shared" si="7"/>
        <v>2.9250736715522367E-5</v>
      </c>
    </row>
    <row r="94" spans="1:7">
      <c r="A94" s="12">
        <v>44.5</v>
      </c>
      <c r="B94" s="77">
        <v>0.84</v>
      </c>
      <c r="C94" s="12">
        <f t="shared" si="4"/>
        <v>8.3999999999999993E-4</v>
      </c>
      <c r="D94" s="12">
        <f t="shared" si="5"/>
        <v>5.8799999999999993E-5</v>
      </c>
      <c r="E94" s="12">
        <f t="shared" si="6"/>
        <v>2.6249999999999999E-6</v>
      </c>
      <c r="F94" s="12">
        <f>E94/Calculation!K$6*1000</f>
        <v>1.9500491143681578E-6</v>
      </c>
      <c r="G94" s="12">
        <f t="shared" si="7"/>
        <v>2.9250736715522367E-5</v>
      </c>
    </row>
    <row r="95" spans="1:7">
      <c r="A95" s="12">
        <v>45</v>
      </c>
      <c r="B95" s="77">
        <v>0</v>
      </c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E95/Calculation!K$6*1000</f>
        <v>0</v>
      </c>
      <c r="G95" s="12">
        <f t="shared" si="7"/>
        <v>0</v>
      </c>
    </row>
    <row r="96" spans="1:7">
      <c r="A96" s="12">
        <v>45.5</v>
      </c>
      <c r="B96" s="77">
        <v>21.84</v>
      </c>
      <c r="C96" s="12">
        <f t="shared" si="4"/>
        <v>2.1839999999999998E-2</v>
      </c>
      <c r="D96" s="12">
        <f t="shared" si="5"/>
        <v>1.5287999999999999E-3</v>
      </c>
      <c r="E96" s="12">
        <f t="shared" si="6"/>
        <v>6.8249999999999992E-5</v>
      </c>
      <c r="F96" s="12">
        <f>E96/Calculation!K$6*1000</f>
        <v>5.0701276973572097E-5</v>
      </c>
      <c r="G96" s="12">
        <f t="shared" si="7"/>
        <v>7.6051915460358143E-4</v>
      </c>
    </row>
    <row r="97" spans="1:7">
      <c r="A97" s="12">
        <v>46</v>
      </c>
      <c r="B97" s="77">
        <v>1.68</v>
      </c>
      <c r="C97" s="12">
        <f t="shared" si="4"/>
        <v>1.6799999999999999E-3</v>
      </c>
      <c r="D97" s="12">
        <f t="shared" si="5"/>
        <v>1.1759999999999999E-4</v>
      </c>
      <c r="E97" s="12">
        <f t="shared" si="6"/>
        <v>5.2499999999999997E-6</v>
      </c>
      <c r="F97" s="12">
        <f>E97/Calculation!K$6*1000</f>
        <v>3.9000982287363157E-6</v>
      </c>
      <c r="G97" s="12">
        <f t="shared" si="7"/>
        <v>5.8501473431044735E-5</v>
      </c>
    </row>
    <row r="98" spans="1:7">
      <c r="A98" s="12">
        <v>46.5</v>
      </c>
      <c r="B98" s="77">
        <v>10.08</v>
      </c>
      <c r="C98" s="12">
        <f t="shared" si="4"/>
        <v>1.008E-2</v>
      </c>
      <c r="D98" s="12">
        <f t="shared" si="5"/>
        <v>7.0560000000000002E-4</v>
      </c>
      <c r="E98" s="12">
        <f t="shared" si="6"/>
        <v>3.15E-5</v>
      </c>
      <c r="F98" s="12">
        <f>E98/Calculation!K$6*1000</f>
        <v>2.3400589372417894E-5</v>
      </c>
      <c r="G98" s="12">
        <f t="shared" si="7"/>
        <v>3.5100884058626844E-4</v>
      </c>
    </row>
    <row r="99" spans="1:7">
      <c r="A99" s="12">
        <v>47</v>
      </c>
      <c r="B99" s="77">
        <v>5.04</v>
      </c>
      <c r="C99" s="12">
        <f t="shared" si="4"/>
        <v>5.0400000000000002E-3</v>
      </c>
      <c r="D99" s="12">
        <f t="shared" si="5"/>
        <v>3.5280000000000001E-4</v>
      </c>
      <c r="E99" s="12">
        <f t="shared" si="6"/>
        <v>1.575E-5</v>
      </c>
      <c r="F99" s="12">
        <f>E99/Calculation!K$6*1000</f>
        <v>1.1700294686208947E-5</v>
      </c>
      <c r="G99" s="12">
        <f t="shared" si="7"/>
        <v>1.7550442029313422E-4</v>
      </c>
    </row>
    <row r="100" spans="1:7">
      <c r="A100" s="12">
        <v>47.5</v>
      </c>
      <c r="B100" s="77">
        <v>1.68</v>
      </c>
      <c r="C100" s="12">
        <f t="shared" si="4"/>
        <v>1.6799999999999999E-3</v>
      </c>
      <c r="D100" s="12">
        <f t="shared" si="5"/>
        <v>1.1759999999999999E-4</v>
      </c>
      <c r="E100" s="12">
        <f t="shared" si="6"/>
        <v>5.2499999999999997E-6</v>
      </c>
      <c r="F100" s="12">
        <f>E100/Calculation!K$6*1000</f>
        <v>3.9000982287363157E-6</v>
      </c>
      <c r="G100" s="12">
        <f t="shared" si="7"/>
        <v>5.8501473431044735E-5</v>
      </c>
    </row>
    <row r="101" spans="1:7">
      <c r="A101" s="12">
        <v>48</v>
      </c>
      <c r="B101" s="77">
        <v>2.52</v>
      </c>
      <c r="C101" s="12">
        <f t="shared" si="4"/>
        <v>2.5200000000000001E-3</v>
      </c>
      <c r="D101" s="12">
        <f t="shared" si="5"/>
        <v>1.7640000000000001E-4</v>
      </c>
      <c r="E101" s="12">
        <f t="shared" si="6"/>
        <v>7.875E-6</v>
      </c>
      <c r="F101" s="12">
        <f>E101/Calculation!K$7*1000</f>
        <v>6.0920370494809211E-6</v>
      </c>
      <c r="G101" s="12">
        <f t="shared" si="7"/>
        <v>9.1380555742213813E-5</v>
      </c>
    </row>
    <row r="102" spans="1:7">
      <c r="B102">
        <v>0</v>
      </c>
    </row>
    <row r="103" spans="1:7">
      <c r="B103">
        <v>5.04</v>
      </c>
    </row>
    <row r="104" spans="1:7">
      <c r="B104">
        <v>0</v>
      </c>
    </row>
    <row r="105" spans="1:7">
      <c r="B105">
        <v>0</v>
      </c>
    </row>
    <row r="106" spans="1:7">
      <c r="B106">
        <v>0</v>
      </c>
    </row>
    <row r="107" spans="1:7">
      <c r="B107">
        <v>26.88</v>
      </c>
    </row>
    <row r="108" spans="1:7">
      <c r="B108">
        <v>25.2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2015-07-30T15:05:00Z</dcterms:modified>
</cp:coreProperties>
</file>