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520" windowHeight="16020" tabRatio="930" firstSheet="9" activeTab="21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F. prausnitzii" sheetId="28" r:id="rId5"/>
    <sheet name="Determination cell counts FP" sheetId="29" r:id="rId6"/>
    <sheet name="CalibrationB. hydrogenotrophica" sheetId="25" r:id="rId7"/>
    <sheet name="Determination cell counts BH" sheetId="26" r:id="rId8"/>
    <sheet name="Total cell count" sheetId="27" r:id="rId9"/>
    <sheet name="OD600nm" sheetId="4" r:id="rId10"/>
    <sheet name="CDM" sheetId="5" r:id="rId11"/>
    <sheet name="H2" sheetId="17" r:id="rId12"/>
    <sheet name="CO2" sheetId="7" r:id="rId13"/>
    <sheet name="Metabolites" sheetId="8" r:id="rId14"/>
    <sheet name="D-Fructose" sheetId="19" r:id="rId15"/>
    <sheet name="Formic acid" sheetId="18" r:id="rId16"/>
    <sheet name="Acetic acid" sheetId="15" r:id="rId17"/>
    <sheet name="Propionic acid" sheetId="20" r:id="rId18"/>
    <sheet name="Butyric acid" sheetId="21" r:id="rId19"/>
    <sheet name="Lactic acid" sheetId="14" r:id="rId20"/>
    <sheet name="Ethanol" sheetId="16" r:id="rId21"/>
    <sheet name="Graph" sheetId="13" r:id="rId22"/>
    <sheet name="Graph (2)" sheetId="24" r:id="rId23"/>
    <sheet name="Carbon recovery" sheetId="23" r:id="rId24"/>
  </sheets>
  <externalReferences>
    <externalReference r:id="rId25"/>
    <externalReference r:id="rId26"/>
  </externalReferences>
  <definedNames>
    <definedName name="_2012_05_10_FPRAU_fruc1" localSheetId="12">'CO2'!$I$5:$I$293</definedName>
    <definedName name="_2012_06_08_BIF_REC_OLI_1" localSheetId="12">'CO2'!$N$5:$N$201</definedName>
    <definedName name="_2012_06_08_BIF_REC_OLI_1" localSheetId="11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8" i="29" l="1"/>
  <c r="H67" i="26"/>
  <c r="H65" i="26"/>
  <c r="H64" i="26"/>
  <c r="H63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5" i="26"/>
  <c r="B25" i="26"/>
  <c r="B24" i="26"/>
  <c r="K5" i="26"/>
  <c r="I5" i="26"/>
  <c r="L5" i="26"/>
  <c r="J5" i="26"/>
  <c r="M5" i="26"/>
  <c r="O5" i="26"/>
  <c r="S5" i="26"/>
  <c r="M6" i="27"/>
  <c r="H6" i="26"/>
  <c r="K6" i="26"/>
  <c r="I6" i="26"/>
  <c r="L6" i="26"/>
  <c r="J6" i="26"/>
  <c r="M6" i="26"/>
  <c r="O6" i="26"/>
  <c r="S6" i="26"/>
  <c r="M7" i="27"/>
  <c r="H7" i="26"/>
  <c r="K7" i="26"/>
  <c r="I7" i="26"/>
  <c r="L7" i="26"/>
  <c r="J7" i="26"/>
  <c r="M7" i="26"/>
  <c r="O7" i="26"/>
  <c r="S7" i="26"/>
  <c r="M8" i="27"/>
  <c r="H8" i="26"/>
  <c r="K8" i="26"/>
  <c r="I8" i="26"/>
  <c r="L8" i="26"/>
  <c r="J8" i="26"/>
  <c r="M8" i="26"/>
  <c r="O8" i="26"/>
  <c r="S8" i="26"/>
  <c r="M9" i="27"/>
  <c r="H9" i="26"/>
  <c r="K9" i="26"/>
  <c r="I9" i="26"/>
  <c r="L9" i="26"/>
  <c r="J9" i="26"/>
  <c r="M9" i="26"/>
  <c r="O9" i="26"/>
  <c r="S9" i="26"/>
  <c r="M10" i="27"/>
  <c r="H10" i="26"/>
  <c r="K10" i="26"/>
  <c r="I10" i="26"/>
  <c r="L10" i="26"/>
  <c r="J10" i="26"/>
  <c r="M10" i="26"/>
  <c r="O10" i="26"/>
  <c r="S10" i="26"/>
  <c r="M11" i="27"/>
  <c r="H11" i="26"/>
  <c r="K11" i="26"/>
  <c r="I11" i="26"/>
  <c r="L11" i="26"/>
  <c r="J11" i="26"/>
  <c r="M11" i="26"/>
  <c r="O11" i="26"/>
  <c r="S11" i="26"/>
  <c r="M12" i="27"/>
  <c r="H12" i="26"/>
  <c r="K12" i="26"/>
  <c r="I12" i="26"/>
  <c r="L12" i="26"/>
  <c r="J12" i="26"/>
  <c r="M12" i="26"/>
  <c r="O12" i="26"/>
  <c r="S12" i="26"/>
  <c r="M13" i="27"/>
  <c r="H13" i="26"/>
  <c r="K13" i="26"/>
  <c r="I13" i="26"/>
  <c r="L13" i="26"/>
  <c r="J13" i="26"/>
  <c r="M13" i="26"/>
  <c r="O13" i="26"/>
  <c r="S13" i="26"/>
  <c r="M14" i="27"/>
  <c r="H14" i="26"/>
  <c r="K14" i="26"/>
  <c r="I14" i="26"/>
  <c r="L14" i="26"/>
  <c r="J14" i="26"/>
  <c r="M14" i="26"/>
  <c r="O14" i="26"/>
  <c r="S14" i="26"/>
  <c r="M15" i="27"/>
  <c r="H15" i="26"/>
  <c r="K15" i="26"/>
  <c r="I15" i="26"/>
  <c r="L15" i="26"/>
  <c r="J15" i="26"/>
  <c r="M15" i="26"/>
  <c r="O15" i="26"/>
  <c r="S15" i="26"/>
  <c r="M16" i="27"/>
  <c r="H16" i="26"/>
  <c r="K16" i="26"/>
  <c r="I16" i="26"/>
  <c r="L16" i="26"/>
  <c r="J16" i="26"/>
  <c r="M16" i="26"/>
  <c r="O16" i="26"/>
  <c r="S16" i="26"/>
  <c r="M17" i="27"/>
  <c r="H17" i="26"/>
  <c r="K17" i="26"/>
  <c r="I17" i="26"/>
  <c r="L17" i="26"/>
  <c r="J17" i="26"/>
  <c r="M17" i="26"/>
  <c r="O17" i="26"/>
  <c r="S17" i="26"/>
  <c r="M18" i="27"/>
  <c r="H18" i="26"/>
  <c r="K18" i="26"/>
  <c r="I18" i="26"/>
  <c r="L18" i="26"/>
  <c r="J18" i="26"/>
  <c r="M18" i="26"/>
  <c r="O18" i="26"/>
  <c r="S18" i="26"/>
  <c r="M19" i="27"/>
  <c r="H19" i="26"/>
  <c r="K19" i="26"/>
  <c r="I19" i="26"/>
  <c r="L19" i="26"/>
  <c r="J19" i="26"/>
  <c r="M19" i="26"/>
  <c r="O19" i="26"/>
  <c r="S19" i="26"/>
  <c r="M20" i="27"/>
  <c r="H20" i="26"/>
  <c r="K20" i="26"/>
  <c r="I20" i="26"/>
  <c r="L20" i="26"/>
  <c r="J20" i="26"/>
  <c r="M20" i="26"/>
  <c r="O20" i="26"/>
  <c r="S20" i="26"/>
  <c r="M21" i="27"/>
  <c r="H4" i="26"/>
  <c r="K4" i="26"/>
  <c r="I4" i="26"/>
  <c r="L4" i="26"/>
  <c r="J4" i="26"/>
  <c r="M4" i="26"/>
  <c r="O4" i="26"/>
  <c r="S4" i="26"/>
  <c r="M5" i="27"/>
  <c r="P5" i="26"/>
  <c r="R5" i="26"/>
  <c r="L6" i="27"/>
  <c r="P6" i="26"/>
  <c r="R6" i="26"/>
  <c r="L7" i="27"/>
  <c r="P7" i="26"/>
  <c r="R7" i="26"/>
  <c r="L8" i="27"/>
  <c r="P8" i="26"/>
  <c r="R8" i="26"/>
  <c r="L9" i="27"/>
  <c r="P9" i="26"/>
  <c r="R9" i="26"/>
  <c r="L10" i="27"/>
  <c r="P10" i="26"/>
  <c r="R10" i="26"/>
  <c r="L11" i="27"/>
  <c r="P11" i="26"/>
  <c r="R11" i="26"/>
  <c r="L12" i="27"/>
  <c r="P12" i="26"/>
  <c r="R12" i="26"/>
  <c r="L13" i="27"/>
  <c r="P13" i="26"/>
  <c r="R13" i="26"/>
  <c r="L14" i="27"/>
  <c r="P14" i="26"/>
  <c r="R14" i="26"/>
  <c r="L15" i="27"/>
  <c r="P15" i="26"/>
  <c r="R15" i="26"/>
  <c r="L16" i="27"/>
  <c r="P16" i="26"/>
  <c r="R16" i="26"/>
  <c r="L17" i="27"/>
  <c r="P17" i="26"/>
  <c r="R17" i="26"/>
  <c r="L18" i="27"/>
  <c r="P18" i="26"/>
  <c r="R18" i="26"/>
  <c r="L19" i="27"/>
  <c r="P19" i="26"/>
  <c r="R19" i="26"/>
  <c r="L20" i="27"/>
  <c r="P20" i="26"/>
  <c r="R20" i="26"/>
  <c r="L21" i="27"/>
  <c r="P4" i="26"/>
  <c r="R4" i="26"/>
  <c r="L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5" i="27"/>
  <c r="H76" i="29"/>
  <c r="H5" i="29"/>
  <c r="I5" i="29"/>
  <c r="J5" i="29"/>
  <c r="H6" i="29"/>
  <c r="I6" i="29"/>
  <c r="J6" i="29"/>
  <c r="H7" i="29"/>
  <c r="I7" i="29"/>
  <c r="J7" i="29"/>
  <c r="H8" i="29"/>
  <c r="I8" i="29"/>
  <c r="J8" i="29"/>
  <c r="H9" i="29"/>
  <c r="I9" i="29"/>
  <c r="J9" i="29"/>
  <c r="H10" i="29"/>
  <c r="I10" i="29"/>
  <c r="J10" i="29"/>
  <c r="H11" i="29"/>
  <c r="I11" i="29"/>
  <c r="J11" i="29"/>
  <c r="H12" i="29"/>
  <c r="I12" i="29"/>
  <c r="J12" i="29"/>
  <c r="H13" i="29"/>
  <c r="I13" i="29"/>
  <c r="J13" i="29"/>
  <c r="H14" i="29"/>
  <c r="I14" i="29"/>
  <c r="J14" i="29"/>
  <c r="H15" i="29"/>
  <c r="I15" i="29"/>
  <c r="J15" i="29"/>
  <c r="H16" i="29"/>
  <c r="I16" i="29"/>
  <c r="J16" i="29"/>
  <c r="H17" i="29"/>
  <c r="I17" i="29"/>
  <c r="J17" i="29"/>
  <c r="H18" i="29"/>
  <c r="I18" i="29"/>
  <c r="J18" i="29"/>
  <c r="H19" i="29"/>
  <c r="I19" i="29"/>
  <c r="J19" i="29"/>
  <c r="H20" i="29"/>
  <c r="I20" i="29"/>
  <c r="J20" i="29"/>
  <c r="I4" i="29"/>
  <c r="J4" i="29"/>
  <c r="H4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30" i="29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5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B28" i="29"/>
  <c r="B27" i="29"/>
  <c r="K4" i="29"/>
  <c r="L4" i="29"/>
  <c r="M4" i="29"/>
  <c r="P4" i="29"/>
  <c r="Q4" i="29"/>
  <c r="K5" i="29"/>
  <c r="L5" i="29"/>
  <c r="M5" i="29"/>
  <c r="Q5" i="29"/>
  <c r="K20" i="29"/>
  <c r="L20" i="29"/>
  <c r="M20" i="29"/>
  <c r="O20" i="29"/>
  <c r="S20" i="29"/>
  <c r="O5" i="29"/>
  <c r="S5" i="29"/>
  <c r="K6" i="29"/>
  <c r="L6" i="29"/>
  <c r="M6" i="29"/>
  <c r="O6" i="29"/>
  <c r="S6" i="29"/>
  <c r="K7" i="29"/>
  <c r="L7" i="29"/>
  <c r="M7" i="29"/>
  <c r="O7" i="29"/>
  <c r="S7" i="29"/>
  <c r="K8" i="29"/>
  <c r="L8" i="29"/>
  <c r="M8" i="29"/>
  <c r="O8" i="29"/>
  <c r="S8" i="29"/>
  <c r="K9" i="29"/>
  <c r="L9" i="29"/>
  <c r="M9" i="29"/>
  <c r="O9" i="29"/>
  <c r="S9" i="29"/>
  <c r="K10" i="29"/>
  <c r="L10" i="29"/>
  <c r="M10" i="29"/>
  <c r="O10" i="29"/>
  <c r="S10" i="29"/>
  <c r="K11" i="29"/>
  <c r="L11" i="29"/>
  <c r="M11" i="29"/>
  <c r="O11" i="29"/>
  <c r="S11" i="29"/>
  <c r="K12" i="29"/>
  <c r="L12" i="29"/>
  <c r="M12" i="29"/>
  <c r="O12" i="29"/>
  <c r="S12" i="29"/>
  <c r="K13" i="29"/>
  <c r="L13" i="29"/>
  <c r="M13" i="29"/>
  <c r="O13" i="29"/>
  <c r="S13" i="29"/>
  <c r="K14" i="29"/>
  <c r="L14" i="29"/>
  <c r="M14" i="29"/>
  <c r="O14" i="29"/>
  <c r="S14" i="29"/>
  <c r="K15" i="29"/>
  <c r="L15" i="29"/>
  <c r="M15" i="29"/>
  <c r="O15" i="29"/>
  <c r="S15" i="29"/>
  <c r="K16" i="29"/>
  <c r="L16" i="29"/>
  <c r="M16" i="29"/>
  <c r="O16" i="29"/>
  <c r="S16" i="29"/>
  <c r="K17" i="29"/>
  <c r="L17" i="29"/>
  <c r="M17" i="29"/>
  <c r="O17" i="29"/>
  <c r="S17" i="29"/>
  <c r="K18" i="29"/>
  <c r="L18" i="29"/>
  <c r="M18" i="29"/>
  <c r="O18" i="29"/>
  <c r="S18" i="29"/>
  <c r="K19" i="29"/>
  <c r="L19" i="29"/>
  <c r="M19" i="29"/>
  <c r="O19" i="29"/>
  <c r="S19" i="29"/>
  <c r="O4" i="29"/>
  <c r="S4" i="29"/>
  <c r="P5" i="29"/>
  <c r="R5" i="29"/>
  <c r="P6" i="29"/>
  <c r="R6" i="29"/>
  <c r="P7" i="29"/>
  <c r="R7" i="29"/>
  <c r="P8" i="29"/>
  <c r="R8" i="29"/>
  <c r="P9" i="29"/>
  <c r="R9" i="29"/>
  <c r="P10" i="29"/>
  <c r="R10" i="29"/>
  <c r="P11" i="29"/>
  <c r="R11" i="29"/>
  <c r="P12" i="29"/>
  <c r="R12" i="29"/>
  <c r="P13" i="29"/>
  <c r="R13" i="29"/>
  <c r="P14" i="29"/>
  <c r="R14" i="29"/>
  <c r="P15" i="29"/>
  <c r="R15" i="29"/>
  <c r="P16" i="29"/>
  <c r="R16" i="29"/>
  <c r="P17" i="29"/>
  <c r="R17" i="29"/>
  <c r="P18" i="29"/>
  <c r="R18" i="29"/>
  <c r="P19" i="29"/>
  <c r="R19" i="29"/>
  <c r="P20" i="29"/>
  <c r="R20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R4" i="29"/>
  <c r="N4" i="29"/>
  <c r="D48" i="28"/>
  <c r="F40" i="28"/>
  <c r="I38" i="28"/>
  <c r="J38" i="28"/>
  <c r="K38" i="28"/>
  <c r="L38" i="28"/>
  <c r="F38" i="28"/>
  <c r="G37" i="28"/>
  <c r="H37" i="28"/>
  <c r="I37" i="28"/>
  <c r="J37" i="28"/>
  <c r="K37" i="28"/>
  <c r="L37" i="28"/>
  <c r="F37" i="28"/>
  <c r="G36" i="28"/>
  <c r="H36" i="28"/>
  <c r="I36" i="28"/>
  <c r="J36" i="28"/>
  <c r="K36" i="28"/>
  <c r="L36" i="28"/>
  <c r="F36" i="28"/>
  <c r="G35" i="28"/>
  <c r="H35" i="28"/>
  <c r="I35" i="28"/>
  <c r="J35" i="28"/>
  <c r="K35" i="28"/>
  <c r="L35" i="28"/>
  <c r="F35" i="28"/>
  <c r="G34" i="28"/>
  <c r="H34" i="28"/>
  <c r="I34" i="28"/>
  <c r="J34" i="28"/>
  <c r="K34" i="28"/>
  <c r="L34" i="28"/>
  <c r="F34" i="28"/>
  <c r="G33" i="28"/>
  <c r="H33" i="28"/>
  <c r="I33" i="28"/>
  <c r="J33" i="28"/>
  <c r="K33" i="28"/>
  <c r="L33" i="28"/>
  <c r="F33" i="28"/>
  <c r="G32" i="28"/>
  <c r="H32" i="28"/>
  <c r="I32" i="28"/>
  <c r="J32" i="28"/>
  <c r="K32" i="28"/>
  <c r="L32" i="28"/>
  <c r="F32" i="28"/>
  <c r="G31" i="28"/>
  <c r="H31" i="28"/>
  <c r="I31" i="28"/>
  <c r="J31" i="28"/>
  <c r="K31" i="28"/>
  <c r="L31" i="28"/>
  <c r="F31" i="28"/>
  <c r="G30" i="28"/>
  <c r="H30" i="28"/>
  <c r="I30" i="28"/>
  <c r="J30" i="28"/>
  <c r="K30" i="28"/>
  <c r="L30" i="28"/>
  <c r="F30" i="28"/>
  <c r="G29" i="28"/>
  <c r="H29" i="28"/>
  <c r="I29" i="28"/>
  <c r="J29" i="28"/>
  <c r="K29" i="28"/>
  <c r="L29" i="28"/>
  <c r="F29" i="28"/>
  <c r="G28" i="28"/>
  <c r="H28" i="28"/>
  <c r="I28" i="28"/>
  <c r="J28" i="28"/>
  <c r="K28" i="28"/>
  <c r="L28" i="28"/>
  <c r="F28" i="28"/>
  <c r="G27" i="28"/>
  <c r="H27" i="28"/>
  <c r="I27" i="28"/>
  <c r="J27" i="28"/>
  <c r="K27" i="28"/>
  <c r="L27" i="28"/>
  <c r="F27" i="28"/>
  <c r="G26" i="28"/>
  <c r="H26" i="28"/>
  <c r="I26" i="28"/>
  <c r="J26" i="28"/>
  <c r="K26" i="28"/>
  <c r="L26" i="28"/>
  <c r="F26" i="28"/>
  <c r="G25" i="28"/>
  <c r="H25" i="28"/>
  <c r="I25" i="28"/>
  <c r="J25" i="28"/>
  <c r="K25" i="28"/>
  <c r="L25" i="28"/>
  <c r="F25" i="28"/>
  <c r="G24" i="28"/>
  <c r="H24" i="28"/>
  <c r="I24" i="28"/>
  <c r="J24" i="28"/>
  <c r="K24" i="28"/>
  <c r="L24" i="28"/>
  <c r="F24" i="28"/>
  <c r="G23" i="28"/>
  <c r="H23" i="28"/>
  <c r="I23" i="28"/>
  <c r="J23" i="28"/>
  <c r="K23" i="28"/>
  <c r="L23" i="28"/>
  <c r="F23" i="28"/>
  <c r="O19" i="28"/>
  <c r="K19" i="28"/>
  <c r="G19" i="28"/>
  <c r="P19" i="28"/>
  <c r="R19" i="28"/>
  <c r="Q19" i="28"/>
  <c r="O18" i="28"/>
  <c r="K18" i="28"/>
  <c r="G18" i="28"/>
  <c r="P18" i="28"/>
  <c r="R18" i="28"/>
  <c r="Q18" i="28"/>
  <c r="O17" i="28"/>
  <c r="K17" i="28"/>
  <c r="G17" i="28"/>
  <c r="P17" i="28"/>
  <c r="R17" i="28"/>
  <c r="Q17" i="28"/>
  <c r="O16" i="28"/>
  <c r="K16" i="28"/>
  <c r="G16" i="28"/>
  <c r="P16" i="28"/>
  <c r="R16" i="28"/>
  <c r="Q16" i="28"/>
  <c r="O15" i="28"/>
  <c r="K15" i="28"/>
  <c r="G15" i="28"/>
  <c r="P15" i="28"/>
  <c r="R15" i="28"/>
  <c r="Q15" i="28"/>
  <c r="O14" i="28"/>
  <c r="K14" i="28"/>
  <c r="G14" i="28"/>
  <c r="P14" i="28"/>
  <c r="R14" i="28"/>
  <c r="Q14" i="28"/>
  <c r="O13" i="28"/>
  <c r="K13" i="28"/>
  <c r="G13" i="28"/>
  <c r="P13" i="28"/>
  <c r="R13" i="28"/>
  <c r="Q13" i="28"/>
  <c r="O12" i="28"/>
  <c r="K12" i="28"/>
  <c r="G12" i="28"/>
  <c r="P12" i="28"/>
  <c r="R12" i="28"/>
  <c r="Q12" i="28"/>
  <c r="O11" i="28"/>
  <c r="K11" i="28"/>
  <c r="G11" i="28"/>
  <c r="P11" i="28"/>
  <c r="R11" i="28"/>
  <c r="Q11" i="28"/>
  <c r="O10" i="28"/>
  <c r="K10" i="28"/>
  <c r="G10" i="28"/>
  <c r="P10" i="28"/>
  <c r="R10" i="28"/>
  <c r="Q10" i="28"/>
  <c r="O9" i="28"/>
  <c r="K9" i="28"/>
  <c r="G9" i="28"/>
  <c r="P9" i="28"/>
  <c r="R9" i="28"/>
  <c r="Q9" i="28"/>
  <c r="L8" i="28"/>
  <c r="O8" i="28"/>
  <c r="H8" i="28"/>
  <c r="K8" i="28"/>
  <c r="D8" i="28"/>
  <c r="G8" i="28"/>
  <c r="P8" i="28"/>
  <c r="R8" i="28"/>
  <c r="Q8" i="28"/>
  <c r="L7" i="28"/>
  <c r="O7" i="28"/>
  <c r="H7" i="28"/>
  <c r="K7" i="28"/>
  <c r="D7" i="28"/>
  <c r="G7" i="28"/>
  <c r="P7" i="28"/>
  <c r="R7" i="28"/>
  <c r="Q7" i="28"/>
  <c r="O6" i="28"/>
  <c r="K6" i="28"/>
  <c r="G6" i="28"/>
  <c r="P6" i="28"/>
  <c r="R6" i="28"/>
  <c r="Q6" i="28"/>
  <c r="O5" i="28"/>
  <c r="K5" i="28"/>
  <c r="G5" i="28"/>
  <c r="P5" i="28"/>
  <c r="R5" i="28"/>
  <c r="Q5" i="28"/>
  <c r="O4" i="28"/>
  <c r="K4" i="28"/>
  <c r="G4" i="28"/>
  <c r="P4" i="28"/>
  <c r="R4" i="28"/>
  <c r="Q4" i="28"/>
  <c r="Q21" i="27"/>
  <c r="P21" i="27"/>
  <c r="Q20" i="27"/>
  <c r="P20" i="27"/>
  <c r="Q19" i="27"/>
  <c r="P19" i="27"/>
  <c r="Q18" i="27"/>
  <c r="P18" i="27"/>
  <c r="Q17" i="27"/>
  <c r="P17" i="27"/>
  <c r="Q16" i="27"/>
  <c r="P16" i="27"/>
  <c r="Q15" i="27"/>
  <c r="P15" i="27"/>
  <c r="Q14" i="27"/>
  <c r="P14" i="27"/>
  <c r="Q13" i="27"/>
  <c r="P13" i="27"/>
  <c r="Q12" i="27"/>
  <c r="P12" i="27"/>
  <c r="Q11" i="27"/>
  <c r="P11" i="27"/>
  <c r="Q10" i="27"/>
  <c r="P10" i="27"/>
  <c r="Q9" i="27"/>
  <c r="P9" i="27"/>
  <c r="Q8" i="27"/>
  <c r="P8" i="27"/>
  <c r="Q7" i="27"/>
  <c r="P7" i="27"/>
  <c r="Q6" i="27"/>
  <c r="P6" i="27"/>
  <c r="Q5" i="27"/>
  <c r="P5" i="27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D48" i="25"/>
  <c r="F40" i="25"/>
  <c r="G38" i="25"/>
  <c r="H38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K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O8" i="25"/>
  <c r="K8" i="25"/>
  <c r="G8" i="25"/>
  <c r="P8" i="25"/>
  <c r="R8" i="25"/>
  <c r="Q8" i="25"/>
  <c r="O7" i="25"/>
  <c r="K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B12" i="23"/>
  <c r="B4" i="23"/>
  <c r="B3" i="23"/>
  <c r="B8" i="23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5" i="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5" i="17"/>
  <c r="D101" i="7"/>
  <c r="E101" i="7"/>
  <c r="F101" i="7"/>
  <c r="D100" i="7"/>
  <c r="E100" i="7"/>
  <c r="F100" i="7"/>
  <c r="D99" i="7"/>
  <c r="E99" i="7"/>
  <c r="F99" i="7"/>
  <c r="D98" i="7"/>
  <c r="E98" i="7"/>
  <c r="F98" i="7"/>
  <c r="D97" i="7"/>
  <c r="E97" i="7"/>
  <c r="F97" i="7"/>
  <c r="D96" i="7"/>
  <c r="E96" i="7"/>
  <c r="F96" i="7"/>
  <c r="D95" i="7"/>
  <c r="E95" i="7"/>
  <c r="F95" i="7"/>
  <c r="D94" i="7"/>
  <c r="E94" i="7"/>
  <c r="F94" i="7"/>
  <c r="D93" i="7"/>
  <c r="E93" i="7"/>
  <c r="F93" i="7"/>
  <c r="D92" i="7"/>
  <c r="E92" i="7"/>
  <c r="F92" i="7"/>
  <c r="D91" i="7"/>
  <c r="E91" i="7"/>
  <c r="F91" i="7"/>
  <c r="D90" i="7"/>
  <c r="E90" i="7"/>
  <c r="F90" i="7"/>
  <c r="D89" i="7"/>
  <c r="E89" i="7"/>
  <c r="F89" i="7"/>
  <c r="D88" i="7"/>
  <c r="E88" i="7"/>
  <c r="F88" i="7"/>
  <c r="D87" i="7"/>
  <c r="E87" i="7"/>
  <c r="F87" i="7"/>
  <c r="D86" i="7"/>
  <c r="E86" i="7"/>
  <c r="F86" i="7"/>
  <c r="D85" i="7"/>
  <c r="E85" i="7"/>
  <c r="F85" i="7"/>
  <c r="D84" i="7"/>
  <c r="E84" i="7"/>
  <c r="F84" i="7"/>
  <c r="D83" i="7"/>
  <c r="E83" i="7"/>
  <c r="F83" i="7"/>
  <c r="D82" i="7"/>
  <c r="E82" i="7"/>
  <c r="F82" i="7"/>
  <c r="D81" i="7"/>
  <c r="E81" i="7"/>
  <c r="F81" i="7"/>
  <c r="D80" i="7"/>
  <c r="E80" i="7"/>
  <c r="F80" i="7"/>
  <c r="D79" i="7"/>
  <c r="E79" i="7"/>
  <c r="F79" i="7"/>
  <c r="D78" i="7"/>
  <c r="E78" i="7"/>
  <c r="F78" i="7"/>
  <c r="D77" i="7"/>
  <c r="E77" i="7"/>
  <c r="F77" i="7"/>
  <c r="D76" i="7"/>
  <c r="E76" i="7"/>
  <c r="F76" i="7"/>
  <c r="D75" i="7"/>
  <c r="E75" i="7"/>
  <c r="F75" i="7"/>
  <c r="D74" i="7"/>
  <c r="E74" i="7"/>
  <c r="F74" i="7"/>
  <c r="D73" i="7"/>
  <c r="E73" i="7"/>
  <c r="F73" i="7"/>
  <c r="D72" i="7"/>
  <c r="E72" i="7"/>
  <c r="F72" i="7"/>
  <c r="D71" i="7"/>
  <c r="E71" i="7"/>
  <c r="F71" i="7"/>
  <c r="D70" i="7"/>
  <c r="E70" i="7"/>
  <c r="F70" i="7"/>
  <c r="D69" i="7"/>
  <c r="E69" i="7"/>
  <c r="F69" i="7"/>
  <c r="D68" i="7"/>
  <c r="E68" i="7"/>
  <c r="F68" i="7"/>
  <c r="D67" i="7"/>
  <c r="E67" i="7"/>
  <c r="F67" i="7"/>
  <c r="D66" i="7"/>
  <c r="E66" i="7"/>
  <c r="F66" i="7"/>
  <c r="D65" i="7"/>
  <c r="E65" i="7"/>
  <c r="F65" i="7"/>
  <c r="D64" i="7"/>
  <c r="E64" i="7"/>
  <c r="F64" i="7"/>
  <c r="D63" i="7"/>
  <c r="E63" i="7"/>
  <c r="F63" i="7"/>
  <c r="D62" i="7"/>
  <c r="E62" i="7"/>
  <c r="F62" i="7"/>
  <c r="D61" i="7"/>
  <c r="E61" i="7"/>
  <c r="F61" i="7"/>
  <c r="D60" i="7"/>
  <c r="E60" i="7"/>
  <c r="F60" i="7"/>
  <c r="D59" i="7"/>
  <c r="E59" i="7"/>
  <c r="F59" i="7"/>
  <c r="D58" i="7"/>
  <c r="E58" i="7"/>
  <c r="F58" i="7"/>
  <c r="D57" i="7"/>
  <c r="E57" i="7"/>
  <c r="F57" i="7"/>
  <c r="D56" i="7"/>
  <c r="E56" i="7"/>
  <c r="F56" i="7"/>
  <c r="D55" i="7"/>
  <c r="E55" i="7"/>
  <c r="F55" i="7"/>
  <c r="D54" i="7"/>
  <c r="E54" i="7"/>
  <c r="F54" i="7"/>
  <c r="D53" i="7"/>
  <c r="E53" i="7"/>
  <c r="F53" i="7"/>
  <c r="D52" i="7"/>
  <c r="E52" i="7"/>
  <c r="F52" i="7"/>
  <c r="D51" i="7"/>
  <c r="E51" i="7"/>
  <c r="F51" i="7"/>
  <c r="D50" i="7"/>
  <c r="E50" i="7"/>
  <c r="F50" i="7"/>
  <c r="D49" i="7"/>
  <c r="E49" i="7"/>
  <c r="F49" i="7"/>
  <c r="D48" i="7"/>
  <c r="E48" i="7"/>
  <c r="F48" i="7"/>
  <c r="D47" i="7"/>
  <c r="E47" i="7"/>
  <c r="F47" i="7"/>
  <c r="D46" i="7"/>
  <c r="E46" i="7"/>
  <c r="F46" i="7"/>
  <c r="D45" i="7"/>
  <c r="E45" i="7"/>
  <c r="F45" i="7"/>
  <c r="D44" i="7"/>
  <c r="E44" i="7"/>
  <c r="F44" i="7"/>
  <c r="D43" i="7"/>
  <c r="E43" i="7"/>
  <c r="F43" i="7"/>
  <c r="D42" i="7"/>
  <c r="E42" i="7"/>
  <c r="F42" i="7"/>
  <c r="D41" i="7"/>
  <c r="E41" i="7"/>
  <c r="F41" i="7"/>
  <c r="D40" i="7"/>
  <c r="E40" i="7"/>
  <c r="F40" i="7"/>
  <c r="D39" i="7"/>
  <c r="E39" i="7"/>
  <c r="F39" i="7"/>
  <c r="D38" i="7"/>
  <c r="E38" i="7"/>
  <c r="F38" i="7"/>
  <c r="D37" i="7"/>
  <c r="E37" i="7"/>
  <c r="F37" i="7"/>
  <c r="D36" i="7"/>
  <c r="E36" i="7"/>
  <c r="F36" i="7"/>
  <c r="D35" i="7"/>
  <c r="E35" i="7"/>
  <c r="F35" i="7"/>
  <c r="D34" i="7"/>
  <c r="E34" i="7"/>
  <c r="F34" i="7"/>
  <c r="D33" i="7"/>
  <c r="E33" i="7"/>
  <c r="F33" i="7"/>
  <c r="D32" i="7"/>
  <c r="E32" i="7"/>
  <c r="F32" i="7"/>
  <c r="D31" i="7"/>
  <c r="E31" i="7"/>
  <c r="F31" i="7"/>
  <c r="D30" i="7"/>
  <c r="E30" i="7"/>
  <c r="F30" i="7"/>
  <c r="D29" i="7"/>
  <c r="E29" i="7"/>
  <c r="F29" i="7"/>
  <c r="D28" i="7"/>
  <c r="E28" i="7"/>
  <c r="F28" i="7"/>
  <c r="D27" i="7"/>
  <c r="E27" i="7"/>
  <c r="F27" i="7"/>
  <c r="D26" i="7"/>
  <c r="E26" i="7"/>
  <c r="F26" i="7"/>
  <c r="D25" i="7"/>
  <c r="E25" i="7"/>
  <c r="F25" i="7"/>
  <c r="D24" i="7"/>
  <c r="E24" i="7"/>
  <c r="F24" i="7"/>
  <c r="D23" i="7"/>
  <c r="E23" i="7"/>
  <c r="F23" i="7"/>
  <c r="D22" i="7"/>
  <c r="E22" i="7"/>
  <c r="F22" i="7"/>
  <c r="D21" i="7"/>
  <c r="E21" i="7"/>
  <c r="F21" i="7"/>
  <c r="D20" i="7"/>
  <c r="E20" i="7"/>
  <c r="F20" i="7"/>
  <c r="D19" i="7"/>
  <c r="E19" i="7"/>
  <c r="F19" i="7"/>
  <c r="D18" i="7"/>
  <c r="E18" i="7"/>
  <c r="F18" i="7"/>
  <c r="D17" i="7"/>
  <c r="E17" i="7"/>
  <c r="F17" i="7"/>
  <c r="D16" i="7"/>
  <c r="E16" i="7"/>
  <c r="F16" i="7"/>
  <c r="D15" i="7"/>
  <c r="E15" i="7"/>
  <c r="F15" i="7"/>
  <c r="D14" i="7"/>
  <c r="E14" i="7"/>
  <c r="F14" i="7"/>
  <c r="D13" i="7"/>
  <c r="E13" i="7"/>
  <c r="F13" i="7"/>
  <c r="D12" i="7"/>
  <c r="E12" i="7"/>
  <c r="F12" i="7"/>
  <c r="D11" i="7"/>
  <c r="E11" i="7"/>
  <c r="F11" i="7"/>
  <c r="D10" i="7"/>
  <c r="E10" i="7"/>
  <c r="F10" i="7"/>
  <c r="D9" i="7"/>
  <c r="E9" i="7"/>
  <c r="F9" i="7"/>
  <c r="D8" i="7"/>
  <c r="E8" i="7"/>
  <c r="F8" i="7"/>
  <c r="D7" i="7"/>
  <c r="E7" i="7"/>
  <c r="F7" i="7"/>
  <c r="D6" i="7"/>
  <c r="E6" i="7"/>
  <c r="F6" i="7"/>
  <c r="D5" i="7"/>
  <c r="E5" i="7"/>
  <c r="F5" i="7"/>
  <c r="D101" i="17"/>
  <c r="E101" i="17"/>
  <c r="F101" i="17"/>
  <c r="D67" i="17"/>
  <c r="E67" i="17"/>
  <c r="F67" i="17"/>
  <c r="D68" i="17"/>
  <c r="E68" i="17"/>
  <c r="F68" i="17"/>
  <c r="D69" i="17"/>
  <c r="E69" i="17"/>
  <c r="F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D75" i="17"/>
  <c r="E75" i="17"/>
  <c r="F75" i="17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D81" i="17"/>
  <c r="E81" i="17"/>
  <c r="F81" i="17"/>
  <c r="D82" i="17"/>
  <c r="E82" i="17"/>
  <c r="F82" i="17"/>
  <c r="D83" i="17"/>
  <c r="E83" i="17"/>
  <c r="F83" i="17"/>
  <c r="D84" i="17"/>
  <c r="E84" i="17"/>
  <c r="F84" i="17"/>
  <c r="D85" i="17"/>
  <c r="E85" i="17"/>
  <c r="F85" i="17"/>
  <c r="D86" i="17"/>
  <c r="E86" i="17"/>
  <c r="F86" i="17"/>
  <c r="D87" i="17"/>
  <c r="E87" i="17"/>
  <c r="F87" i="17"/>
  <c r="D88" i="17"/>
  <c r="E88" i="17"/>
  <c r="F88" i="17"/>
  <c r="D89" i="17"/>
  <c r="E89" i="17"/>
  <c r="F89" i="17"/>
  <c r="D90" i="17"/>
  <c r="E90" i="17"/>
  <c r="F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D95" i="17"/>
  <c r="E95" i="17"/>
  <c r="F95" i="17"/>
  <c r="D96" i="17"/>
  <c r="E96" i="17"/>
  <c r="F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66" i="17"/>
  <c r="E66" i="17"/>
  <c r="F66" i="17"/>
  <c r="D65" i="17"/>
  <c r="E65" i="17"/>
  <c r="F65" i="17"/>
  <c r="D54" i="17"/>
  <c r="E54" i="17"/>
  <c r="F54" i="17"/>
  <c r="D55" i="17"/>
  <c r="E55" i="17"/>
  <c r="F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53" i="17"/>
  <c r="E53" i="17"/>
  <c r="F53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41" i="17"/>
  <c r="E41" i="17"/>
  <c r="F41" i="17"/>
  <c r="D40" i="17"/>
  <c r="E40" i="17"/>
  <c r="F40" i="17"/>
  <c r="D39" i="17"/>
  <c r="E39" i="17"/>
  <c r="F39" i="17"/>
  <c r="D37" i="17"/>
  <c r="E37" i="17"/>
  <c r="F37" i="17"/>
  <c r="D38" i="17"/>
  <c r="E38" i="17"/>
  <c r="F38" i="17"/>
  <c r="D36" i="17"/>
  <c r="E36" i="17"/>
  <c r="F36" i="17"/>
  <c r="D34" i="17"/>
  <c r="E34" i="17"/>
  <c r="F34" i="17"/>
  <c r="D35" i="17"/>
  <c r="E35" i="17"/>
  <c r="F35" i="17"/>
  <c r="D33" i="17"/>
  <c r="E33" i="17"/>
  <c r="F33" i="17"/>
  <c r="D32" i="17"/>
  <c r="E32" i="17"/>
  <c r="F32" i="17"/>
  <c r="D31" i="17"/>
  <c r="E31" i="17"/>
  <c r="F31" i="17"/>
  <c r="D29" i="17"/>
  <c r="E29" i="17"/>
  <c r="F29" i="17"/>
  <c r="D30" i="17"/>
  <c r="E30" i="17"/>
  <c r="F30" i="17"/>
  <c r="D28" i="17"/>
  <c r="E28" i="17"/>
  <c r="F28" i="17"/>
  <c r="D26" i="17"/>
  <c r="E26" i="17"/>
  <c r="F26" i="17"/>
  <c r="D27" i="17"/>
  <c r="E27" i="17"/>
  <c r="F27" i="17"/>
  <c r="D25" i="17"/>
  <c r="E25" i="17"/>
  <c r="F25" i="17"/>
  <c r="D24" i="17"/>
  <c r="E24" i="17"/>
  <c r="F24" i="17"/>
  <c r="D23" i="17"/>
  <c r="E23" i="17"/>
  <c r="F23" i="17"/>
  <c r="D21" i="17"/>
  <c r="E21" i="17"/>
  <c r="F21" i="17"/>
  <c r="D22" i="17"/>
  <c r="E22" i="17"/>
  <c r="F22" i="17"/>
  <c r="D20" i="17"/>
  <c r="E20" i="17"/>
  <c r="F20" i="17"/>
  <c r="D18" i="17"/>
  <c r="E18" i="17"/>
  <c r="F18" i="17"/>
  <c r="D19" i="17"/>
  <c r="E19" i="17"/>
  <c r="F19" i="17"/>
  <c r="D17" i="17"/>
  <c r="E17" i="17"/>
  <c r="F17" i="17"/>
  <c r="D16" i="17"/>
  <c r="E16" i="17"/>
  <c r="F16" i="17"/>
  <c r="D15" i="17"/>
  <c r="E15" i="17"/>
  <c r="F15" i="17"/>
  <c r="D13" i="17"/>
  <c r="E13" i="17"/>
  <c r="F13" i="17"/>
  <c r="D14" i="17"/>
  <c r="E14" i="17"/>
  <c r="F14" i="17"/>
  <c r="D12" i="17"/>
  <c r="E12" i="17"/>
  <c r="F12" i="17"/>
  <c r="D10" i="17"/>
  <c r="E10" i="17"/>
  <c r="F10" i="17"/>
  <c r="D11" i="17"/>
  <c r="E11" i="17"/>
  <c r="F11" i="17"/>
  <c r="D9" i="17"/>
  <c r="E9" i="17"/>
  <c r="F9" i="17"/>
  <c r="D6" i="17"/>
  <c r="E6" i="17"/>
  <c r="F6" i="17"/>
  <c r="D7" i="17"/>
  <c r="E7" i="17"/>
  <c r="F7" i="17"/>
  <c r="D8" i="17"/>
  <c r="E8" i="17"/>
  <c r="F8" i="17"/>
  <c r="X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4" i="22"/>
  <c r="L41" i="8"/>
  <c r="L25" i="8"/>
  <c r="B6" i="23"/>
  <c r="P4" i="8"/>
  <c r="P20" i="8"/>
  <c r="L20" i="8"/>
  <c r="L4" i="8"/>
  <c r="B5" i="2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D25" i="23"/>
  <c r="C25" i="23"/>
  <c r="C24" i="23"/>
  <c r="C20" i="23"/>
  <c r="D5" i="17"/>
  <c r="E5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N6" i="23"/>
  <c r="C21" i="23"/>
  <c r="C22" i="23"/>
  <c r="C23" i="23"/>
  <c r="B28" i="23"/>
  <c r="N7" i="23"/>
  <c r="N12" i="23"/>
  <c r="L8" i="23"/>
  <c r="L10" i="23"/>
  <c r="L12" i="23"/>
  <c r="N11" i="23"/>
  <c r="L9" i="23"/>
  <c r="L11" i="23"/>
  <c r="J28" i="23"/>
  <c r="L26" i="23"/>
  <c r="K26" i="23"/>
  <c r="F20" i="19"/>
  <c r="E20" i="19"/>
  <c r="D20" i="19"/>
  <c r="F19" i="19"/>
  <c r="E19" i="19"/>
  <c r="D19" i="19"/>
  <c r="F18" i="19"/>
  <c r="E18" i="19"/>
  <c r="F17" i="19"/>
  <c r="E17" i="19"/>
  <c r="F16" i="19"/>
  <c r="E16" i="19"/>
  <c r="D16" i="19"/>
  <c r="F15" i="19"/>
  <c r="E15" i="19"/>
  <c r="D15" i="19"/>
  <c r="F14" i="19"/>
  <c r="E14" i="19"/>
  <c r="D14" i="19"/>
  <c r="F13" i="19"/>
  <c r="D13" i="19"/>
  <c r="F12" i="19"/>
  <c r="E12" i="19"/>
  <c r="D12" i="19"/>
  <c r="F11" i="19"/>
  <c r="E11" i="19"/>
  <c r="D11" i="19"/>
  <c r="F10" i="19"/>
  <c r="E10" i="19"/>
  <c r="D10" i="19"/>
  <c r="F9" i="19"/>
  <c r="E9" i="19"/>
  <c r="D9" i="19"/>
  <c r="F8" i="19"/>
  <c r="K19" i="2"/>
  <c r="I20" i="2"/>
  <c r="F20" i="2"/>
  <c r="H20" i="22"/>
  <c r="U20" i="22"/>
  <c r="L20" i="22"/>
  <c r="V20" i="22"/>
  <c r="P20" i="22"/>
  <c r="X20" i="22"/>
  <c r="H5" i="22"/>
  <c r="U5" i="22"/>
  <c r="L5" i="22"/>
  <c r="V5" i="22"/>
  <c r="P5" i="22"/>
  <c r="X5" i="22"/>
  <c r="H6" i="22"/>
  <c r="U6" i="22"/>
  <c r="L6" i="22"/>
  <c r="V6" i="22"/>
  <c r="P6" i="22"/>
  <c r="X6" i="22"/>
  <c r="H7" i="22"/>
  <c r="U7" i="22"/>
  <c r="L7" i="22"/>
  <c r="V7" i="22"/>
  <c r="P7" i="22"/>
  <c r="X7" i="22"/>
  <c r="H8" i="22"/>
  <c r="U8" i="22"/>
  <c r="L8" i="22"/>
  <c r="V8" i="22"/>
  <c r="P8" i="22"/>
  <c r="X8" i="22"/>
  <c r="H9" i="22"/>
  <c r="U9" i="22"/>
  <c r="L9" i="22"/>
  <c r="V9" i="22"/>
  <c r="P9" i="22"/>
  <c r="X9" i="22"/>
  <c r="H10" i="22"/>
  <c r="U10" i="22"/>
  <c r="L10" i="22"/>
  <c r="V10" i="22"/>
  <c r="P10" i="22"/>
  <c r="X10" i="22"/>
  <c r="H11" i="22"/>
  <c r="U11" i="22"/>
  <c r="L11" i="22"/>
  <c r="V11" i="22"/>
  <c r="P11" i="22"/>
  <c r="X11" i="22"/>
  <c r="H12" i="22"/>
  <c r="U12" i="22"/>
  <c r="L12" i="22"/>
  <c r="V12" i="22"/>
  <c r="P12" i="22"/>
  <c r="X12" i="22"/>
  <c r="H13" i="22"/>
  <c r="U13" i="22"/>
  <c r="L13" i="22"/>
  <c r="V13" i="22"/>
  <c r="P13" i="22"/>
  <c r="X13" i="22"/>
  <c r="H14" i="22"/>
  <c r="U14" i="22"/>
  <c r="L14" i="22"/>
  <c r="V14" i="22"/>
  <c r="P14" i="22"/>
  <c r="X14" i="22"/>
  <c r="H15" i="22"/>
  <c r="U15" i="22"/>
  <c r="L15" i="22"/>
  <c r="V15" i="22"/>
  <c r="P15" i="22"/>
  <c r="X15" i="22"/>
  <c r="H16" i="22"/>
  <c r="U16" i="22"/>
  <c r="L16" i="22"/>
  <c r="V16" i="22"/>
  <c r="P16" i="22"/>
  <c r="X16" i="22"/>
  <c r="H17" i="22"/>
  <c r="U17" i="22"/>
  <c r="L17" i="22"/>
  <c r="V17" i="22"/>
  <c r="P17" i="22"/>
  <c r="X17" i="22"/>
  <c r="H18" i="22"/>
  <c r="U18" i="22"/>
  <c r="L18" i="22"/>
  <c r="V18" i="22"/>
  <c r="P18" i="22"/>
  <c r="X18" i="22"/>
  <c r="H19" i="22"/>
  <c r="U19" i="22"/>
  <c r="L19" i="22"/>
  <c r="V19" i="22"/>
  <c r="P19" i="22"/>
  <c r="X19" i="22"/>
  <c r="H4" i="22"/>
  <c r="U4" i="22"/>
  <c r="L4" i="22"/>
  <c r="V4" i="22"/>
  <c r="P4" i="22"/>
  <c r="B10" i="23"/>
  <c r="B9" i="2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M41" i="8"/>
  <c r="M25" i="8"/>
  <c r="C6" i="23"/>
  <c r="M20" i="8"/>
  <c r="M4" i="8"/>
  <c r="C5" i="23"/>
  <c r="U4" i="8"/>
  <c r="U20" i="8"/>
  <c r="C4" i="23"/>
  <c r="Q4" i="8"/>
  <c r="Q20" i="8"/>
  <c r="C3" i="23"/>
  <c r="T20" i="8"/>
  <c r="T4" i="8"/>
  <c r="I4" i="8"/>
  <c r="I20" i="8"/>
  <c r="C2" i="23"/>
  <c r="H4" i="8"/>
  <c r="H20" i="8"/>
  <c r="B2" i="23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9" i="2"/>
  <c r="C4" i="2"/>
  <c r="C5" i="2"/>
  <c r="C6" i="2"/>
  <c r="C7" i="2"/>
  <c r="C8" i="2"/>
  <c r="C9" i="2"/>
  <c r="C10" i="2"/>
  <c r="C11" i="2"/>
  <c r="C12" i="2"/>
  <c r="C13" i="2"/>
  <c r="D13" i="2"/>
  <c r="J20" i="2"/>
  <c r="K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19" i="2"/>
  <c r="C20" i="2"/>
  <c r="D20" i="2"/>
  <c r="C3" i="2"/>
  <c r="H19" i="8"/>
  <c r="L40" i="8"/>
  <c r="L19" i="8"/>
  <c r="T19" i="8"/>
  <c r="I20" i="4"/>
  <c r="J20" i="4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4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C18" i="23"/>
  <c r="C19" i="23"/>
  <c r="G7" i="19"/>
  <c r="H7" i="19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<sst xmlns="http://schemas.openxmlformats.org/spreadsheetml/2006/main" count="783" uniqueCount="326">
  <si>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</si>
  <si>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</si>
  <si>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</si>
  <si>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</si>
  <si>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</si>
  <si>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</si>
  <si>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</si>
  <si>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</si>
  <si>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</si>
  <si>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</si>
  <si>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</si>
  <si>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</si>
  <si>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</si>
  <si>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</si>
  <si>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</si>
  <si>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</si>
  <si>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</si>
  <si>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</si>
  <si>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</si>
  <si>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</si>
  <si>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</si>
  <si>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</si>
  <si>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</si>
  <si>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</si>
  <si>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</si>
  <si>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</si>
  <si>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</si>
  <si>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</si>
  <si>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</si>
  <si>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</si>
  <si>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</si>
  <si>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</si>
  <si>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</si>
  <si>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</si>
  <si>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</si>
  <si>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</si>
  <si>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</si>
  <si>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</si>
  <si>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</si>
  <si>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</si>
  <si>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</si>
  <si>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</si>
  <si>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</si>
  <si>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</si>
  <si>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</si>
  <si>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</si>
  <si>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</si>
  <si>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</si>
  <si>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</si>
  <si>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</si>
  <si>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</si>
  <si>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</si>
  <si>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</si>
  <si>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</si>
  <si>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</si>
  <si>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</si>
  <si>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</si>
  <si>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</si>
  <si>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</si>
  <si>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</si>
  <si>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</si>
  <si>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</si>
  <si>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</si>
  <si>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</si>
  <si>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</si>
  <si>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</si>
  <si>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</si>
  <si>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</si>
  <si>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</si>
  <si>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</si>
  <si>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</si>
  <si>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</si>
  <si>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</si>
  <si>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</si>
  <si>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</si>
  <si>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</si>
  <si>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</si>
  <si>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</si>
  <si>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</si>
  <si>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</si>
  <si>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</si>
  <si>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</si>
  <si>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</si>
  <si>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</si>
  <si>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</si>
  <si>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</si>
  <si>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</si>
  <si>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</si>
  <si>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</si>
  <si>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</si>
  <si>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</si>
  <si>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</si>
  <si>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Na-acetate trihydrate (50 mM)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</si>
  <si>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</si>
  <si>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</si>
  <si>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</si>
  <si>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</si>
  <si>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</si>
  <si>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</si>
  <si>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</si>
  <si>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</si>
  <si>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</si>
  <si>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</si>
  <si>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</si>
  <si>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</si>
  <si>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</si>
  <si>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</si>
  <si>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</si>
  <si>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</si>
  <si>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</si>
  <si>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</si>
  <si>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</si>
  <si>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</si>
  <si>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</si>
  <si>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</si>
  <si>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</si>
  <si>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</si>
  <si>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</si>
  <si>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</si>
  <si>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</si>
  <si>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</si>
  <si>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</si>
  <si>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</si>
  <si>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</si>
  <si>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</si>
  <si>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</si>
  <si>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</si>
  <si>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</si>
  <si>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</si>
  <si>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</si>
  <si>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</si>
  <si>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</si>
  <si>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</si>
  <si>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</si>
  <si>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</si>
  <si>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</si>
  <si>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</si>
  <si>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</si>
  <si>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</si>
  <si>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</si>
  <si>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</si>
  <si>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</si>
  <si>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6.80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</si>
  <si>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</si>
  <si>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</si>
  <si>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</si>
  <si>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Blautia hydrogenotrophica DSM 10507</t>
    </r>
    <r>
      <rPr>
        <vertAlign val="superscript"/>
        <sz val="11"/>
        <color theme="1"/>
        <rFont val="Calibri"/>
        <family val="2"/>
        <scheme val="minor"/>
      </rPr>
      <t>T</t>
    </r>
  </si>
  <si>
    <t>total amount</t>
  </si>
  <si>
    <t>LOG</t>
  </si>
  <si>
    <t>STDEV LOG(Count/mL)</t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</si>
  <si>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 xml:space="preserve">DSM 17677T </t>
    </r>
  </si>
  <si>
    <r>
      <rPr>
        <i/>
        <sz val="11"/>
        <color theme="1"/>
        <rFont val="Calibri"/>
        <family val="2"/>
        <scheme val="minor"/>
      </rPr>
      <t>Blautia hydrogenotrophic</t>
    </r>
    <r>
      <rPr>
        <sz val="11"/>
        <color theme="1"/>
        <rFont val="Calibri"/>
        <family val="2"/>
        <scheme val="minor"/>
      </rPr>
      <t>a DSM 10507T</t>
    </r>
  </si>
  <si>
    <t>Total nett reaction in absence of formate</t>
  </si>
  <si>
    <t>4H2 + 2CO2</t>
  </si>
  <si>
    <t>&gt;</t>
  </si>
  <si>
    <t xml:space="preserve">CH3COOH </t>
  </si>
  <si>
    <t>en 2 H2O</t>
  </si>
  <si>
    <t xml:space="preserve"> en cell biomass</t>
  </si>
  <si>
    <t>Wood-Ljungdahl pathway</t>
  </si>
  <si>
    <t>mM formate consumed</t>
  </si>
  <si>
    <t>mM acetate produced</t>
  </si>
  <si>
    <t xml:space="preserve">Total amount of  H2 en CO2 produced </t>
  </si>
  <si>
    <t>Total amount of  H2 converted into acetate</t>
  </si>
  <si>
    <t>Total amount of  CO2 converted into acetate</t>
  </si>
  <si>
    <t>Total amount of left-over hydrogen</t>
  </si>
  <si>
    <t>Total amount of left-over carbon dioxide</t>
  </si>
  <si>
    <r>
      <rPr>
        <sz val="11"/>
        <color rgb="FFFF0000"/>
        <rFont val="Calibri"/>
        <scheme val="minor"/>
      </rPr>
      <t>red means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scheme val="minor"/>
      </rPr>
      <t>wrong values</t>
    </r>
  </si>
  <si>
    <t>0.40</t>
  </si>
  <si>
    <t>0.20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</si>
  <si>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</si>
  <si>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</si>
  <si>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</si>
  <si>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</si>
  <si>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</si>
  <si>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</si>
  <si>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</si>
  <si>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</si>
  <si>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</si>
  <si>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</si>
  <si>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</si>
  <si>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</si>
  <si>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</si>
  <si>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</si>
  <si>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</si>
  <si>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</si>
  <si>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</si>
  <si>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</si>
  <si>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x moles D-fructose consumed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</si>
  <si>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</si>
  <si>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</si>
  <si>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</si>
  <si>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</si>
  <si>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</si>
  <si>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</si>
  <si>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moles H2 produced</t>
  </si>
  <si>
    <t>(2x-2+y)/2 moles butyrate produced</t>
  </si>
  <si>
    <t>Formic acid consumed</t>
  </si>
  <si>
    <t>Acetic acid produced</t>
  </si>
  <si>
    <t xml:space="preserve">Volume (ul) </t>
  </si>
  <si>
    <t>Outliers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</si>
  <si>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</si>
  <si>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</si>
  <si>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</si>
  <si>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</si>
  <si>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</si>
  <si>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</si>
  <si>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</si>
  <si>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</si>
  <si>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</si>
  <si>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</si>
  <si>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</si>
  <si>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</si>
  <si>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</si>
  <si>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</si>
  <si>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</si>
  <si>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</si>
  <si>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</si>
  <si>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</si>
  <si>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</si>
  <si>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</si>
  <si>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</si>
  <si>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</si>
  <si>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</si>
  <si>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</si>
  <si>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</si>
  <si>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</si>
  <si>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IPC BH10 epp</t>
  </si>
  <si>
    <t>Threshold</t>
  </si>
  <si>
    <t>AUTO</t>
  </si>
  <si>
    <t>Ct Threshold</t>
  </si>
  <si>
    <t>baseline</t>
  </si>
  <si>
    <t>Rico</t>
  </si>
  <si>
    <t>intercept</t>
  </si>
  <si>
    <t>Efficiency E (%)</t>
  </si>
  <si>
    <t>Taqman probe BH4O</t>
  </si>
  <si>
    <t>B. hydrogenotrophica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</si>
  <si>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</si>
  <si>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</si>
  <si>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</si>
  <si>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</si>
  <si>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</si>
  <si>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</si>
  <si>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</si>
  <si>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</si>
  <si>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</si>
  <si>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</si>
  <si>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</si>
  <si>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</si>
  <si>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</si>
  <si>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Log (cells/ml medium)</t>
  </si>
  <si>
    <t>STDV Log (cells/ml medium)</t>
  </si>
  <si>
    <t>Dilution log (10x)</t>
  </si>
  <si>
    <t xml:space="preserve">Dilution per ml </t>
  </si>
  <si>
    <t>IPC value  epp 10 plate  20150724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</si>
  <si>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</si>
  <si>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</si>
  <si>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</si>
  <si>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</si>
  <si>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</si>
  <si>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Total Average</t>
  </si>
  <si>
    <t xml:space="preserve">Total cell count </t>
  </si>
  <si>
    <t>outliers</t>
  </si>
  <si>
    <t>IPC FP10 epp</t>
  </si>
  <si>
    <t>F. prausnitzii</t>
  </si>
  <si>
    <t xml:space="preserve">Dilution </t>
  </si>
  <si>
    <t>IPC value epp 10 plate 20150709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</si>
  <si>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</si>
  <si>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</si>
  <si>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</si>
  <si>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</si>
  <si>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</si>
  <si>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</si>
  <si>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</si>
  <si>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</si>
  <si>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</si>
  <si>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</si>
  <si>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</si>
  <si>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</si>
  <si>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>IPC value epp 5 plate 20150907</t>
  </si>
  <si>
    <t>IPC value  epp 8 plate  20150907</t>
  </si>
  <si>
    <t>IPC value  epp 7 plate  20150910</t>
  </si>
  <si>
    <t>IPC value epp 5 plate 20150910</t>
  </si>
  <si>
    <t>IPC value  epp 8 plate  20150908</t>
  </si>
  <si>
    <t>IPC value  epp 7 plate  20150914</t>
  </si>
  <si>
    <t>IPC value  epp 6 plate  20150910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</si>
  <si>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</si>
  <si>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</si>
  <si>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</si>
  <si>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</si>
  <si>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</si>
  <si>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</si>
  <si>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</si>
  <si>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</si>
  <si>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</si>
  <si>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</si>
  <si>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IPC value epp 5 plate 20150911</t>
  </si>
  <si>
    <t>IPC value epp 5 plate 20150922</t>
  </si>
  <si>
    <t>IPC value epp 4 plate 20150929</t>
  </si>
  <si>
    <t>IPC value epp 4 plate 20151002</t>
  </si>
  <si>
    <t>IPC value epp 4 plate 20151007</t>
  </si>
  <si>
    <t>IPC value epp 4 plate 20151009</t>
  </si>
  <si>
    <t>IPC value epp 3 plate 20151020</t>
  </si>
  <si>
    <t>IPC value epp 3 plate 20151111</t>
  </si>
  <si>
    <t>IPC value epp 2 plate 20151111</t>
  </si>
  <si>
    <t>IPC value epp 2 plate 20151112</t>
  </si>
  <si>
    <t>IPC value epp 2 plate 20151204</t>
  </si>
  <si>
    <t>IPC value epp 1 plate 20160119</t>
  </si>
  <si>
    <t>IPC value epp 1 plate 20160208</t>
  </si>
  <si>
    <t>IPC value epp 1 plate 20160222</t>
  </si>
  <si>
    <t>IPC value epp 1 plate 20160223</t>
  </si>
  <si>
    <t>IPC value epp 9 plate 20160223</t>
  </si>
  <si>
    <t>IPC value epp 9 plate 20160225</t>
  </si>
  <si>
    <t>IPC value epp 9 plate 20160308</t>
  </si>
  <si>
    <t>IPC value epp 9 plate 20160310</t>
  </si>
  <si>
    <t>IPC value epp 8 plate 20160325</t>
  </si>
  <si>
    <t>IPC value epp 8 plate 20160405</t>
  </si>
  <si>
    <t>IPC value  epp 3 plate  20160222</t>
  </si>
  <si>
    <t>IPC value  epp 2 plate  20160223</t>
  </si>
  <si>
    <t>IPC value  epp 2 plate  20160224</t>
  </si>
  <si>
    <t>IPC value  epp 2 plate  20160308</t>
  </si>
  <si>
    <t>IPC value  epp 2 plate  20160310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</si>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</sst>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0000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name val="Calibri"/>
      <scheme val="minor"/>
    </font>
    <font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36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20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" fontId="26" fillId="0" borderId="0" xfId="0" applyNumberFormat="1" applyFont="1"/>
    <xf numFmtId="1" fontId="27" fillId="0" borderId="0" xfId="0" applyNumberFormat="1" applyFont="1"/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164" fontId="24" fillId="0" borderId="1" xfId="0" applyNumberFormat="1" applyFont="1" applyFill="1" applyBorder="1" applyAlignment="1">
      <alignment horizontal="center"/>
    </xf>
    <xf numFmtId="0" fontId="24" fillId="0" borderId="0" xfId="0" applyFont="1"/>
    <xf numFmtId="164" fontId="24" fillId="0" borderId="18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1" fontId="24" fillId="0" borderId="0" xfId="0" applyNumberFormat="1" applyFont="1"/>
    <xf numFmtId="1" fontId="28" fillId="0" borderId="0" xfId="0" applyNumberFormat="1" applyFont="1"/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4" fillId="11" borderId="0" xfId="0" applyFont="1" applyFill="1"/>
    <xf numFmtId="165" fontId="0" fillId="0" borderId="16" xfId="0" applyNumberFormat="1" applyBorder="1" applyAlignment="1">
      <alignment horizontal="center" vertical="center"/>
    </xf>
    <xf numFmtId="165" fontId="0" fillId="0" borderId="0" xfId="0" applyNumberFormat="1"/>
    <xf numFmtId="0" fontId="29" fillId="0" borderId="0" xfId="381"/>
    <xf numFmtId="0" fontId="29" fillId="2" borderId="4" xfId="381" applyFill="1" applyBorder="1" applyAlignment="1">
      <alignment horizontal="center" vertical="center"/>
    </xf>
    <xf numFmtId="0" fontId="29" fillId="2" borderId="16" xfId="381" applyFill="1" applyBorder="1" applyAlignment="1">
      <alignment horizontal="center" vertical="center"/>
    </xf>
    <xf numFmtId="0" fontId="29" fillId="2" borderId="3" xfId="381" applyFill="1" applyBorder="1" applyAlignment="1">
      <alignment horizontal="center" vertical="center"/>
    </xf>
    <xf numFmtId="0" fontId="29" fillId="0" borderId="3" xfId="381" applyFill="1" applyBorder="1" applyAlignment="1">
      <alignment horizontal="center" vertical="center"/>
    </xf>
    <xf numFmtId="0" fontId="29" fillId="0" borderId="16" xfId="381" applyFill="1" applyBorder="1" applyAlignment="1">
      <alignment horizontal="center" vertical="center"/>
    </xf>
    <xf numFmtId="11" fontId="29" fillId="0" borderId="16" xfId="381" applyNumberFormat="1" applyFill="1" applyBorder="1" applyAlignment="1">
      <alignment horizontal="center" vertical="center"/>
    </xf>
    <xf numFmtId="0" fontId="0" fillId="0" borderId="16" xfId="381" applyFont="1" applyBorder="1" applyAlignment="1">
      <alignment horizontal="center" vertical="center"/>
    </xf>
    <xf numFmtId="0" fontId="29" fillId="0" borderId="16" xfId="381" applyBorder="1" applyAlignment="1">
      <alignment horizontal="center" vertical="center"/>
    </xf>
    <xf numFmtId="11" fontId="29" fillId="0" borderId="16" xfId="381" applyNumberFormat="1" applyBorder="1" applyAlignment="1">
      <alignment horizontal="center" vertical="center"/>
    </xf>
    <xf numFmtId="2" fontId="29" fillId="0" borderId="16" xfId="381" applyNumberFormat="1" applyBorder="1" applyAlignment="1">
      <alignment horizontal="center" vertical="center"/>
    </xf>
    <xf numFmtId="0" fontId="0" fillId="0" borderId="0" xfId="381" applyFont="1"/>
    <xf numFmtId="0" fontId="29" fillId="2" borderId="22" xfId="381" applyFill="1" applyBorder="1" applyAlignment="1">
      <alignment wrapText="1"/>
    </xf>
    <xf numFmtId="0" fontId="0" fillId="2" borderId="22" xfId="381" applyFont="1" applyFill="1" applyBorder="1" applyAlignment="1">
      <alignment wrapText="1"/>
    </xf>
    <xf numFmtId="0" fontId="0" fillId="2" borderId="22" xfId="381" applyFont="1" applyFill="1" applyBorder="1" applyAlignment="1">
      <alignment horizontal="center" vertical="center" wrapText="1"/>
    </xf>
    <xf numFmtId="165" fontId="29" fillId="0" borderId="16" xfId="381" applyNumberFormat="1" applyBorder="1" applyAlignment="1">
      <alignment horizontal="center" vertical="center"/>
    </xf>
    <xf numFmtId="165" fontId="29" fillId="0" borderId="16" xfId="381" applyNumberFormat="1" applyBorder="1"/>
    <xf numFmtId="1" fontId="29" fillId="0" borderId="0" xfId="381" applyNumberFormat="1"/>
    <xf numFmtId="165" fontId="29" fillId="0" borderId="0" xfId="381" applyNumberFormat="1"/>
    <xf numFmtId="0" fontId="29" fillId="2" borderId="16" xfId="381" applyFill="1" applyBorder="1"/>
    <xf numFmtId="0" fontId="29" fillId="0" borderId="16" xfId="381" applyBorder="1"/>
    <xf numFmtId="0" fontId="30" fillId="2" borderId="0" xfId="381" applyFont="1" applyFill="1"/>
    <xf numFmtId="0" fontId="31" fillId="12" borderId="0" xfId="381" applyFont="1" applyFill="1"/>
    <xf numFmtId="165" fontId="25" fillId="0" borderId="18" xfId="0" applyNumberFormat="1" applyFont="1" applyBorder="1" applyAlignment="1">
      <alignment horizontal="center" vertical="center"/>
    </xf>
    <xf numFmtId="2" fontId="29" fillId="0" borderId="16" xfId="381" applyNumberFormat="1" applyBorder="1"/>
    <xf numFmtId="1" fontId="29" fillId="0" borderId="16" xfId="381" applyNumberFormat="1" applyBorder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65" fontId="29" fillId="0" borderId="0" xfId="381" applyNumberFormat="1" applyBorder="1" applyAlignment="1">
      <alignment horizontal="center" vertical="center"/>
    </xf>
    <xf numFmtId="165" fontId="29" fillId="0" borderId="0" xfId="381" applyNumberFormat="1" applyBorder="1"/>
    <xf numFmtId="165" fontId="25" fillId="0" borderId="0" xfId="0" applyNumberFormat="1" applyFont="1" applyBorder="1" applyAlignment="1">
      <alignment horizontal="center" vertical="center"/>
    </xf>
    <xf numFmtId="2" fontId="29" fillId="0" borderId="0" xfId="381" applyNumberFormat="1" applyBorder="1"/>
    <xf numFmtId="1" fontId="29" fillId="0" borderId="0" xfId="381" applyNumberFormat="1" applyBorder="1"/>
    <xf numFmtId="0" fontId="0" fillId="0" borderId="16" xfId="381" applyFont="1" applyBorder="1"/>
    <xf numFmtId="0" fontId="0" fillId="0" borderId="0" xfId="381" applyFont="1" applyFill="1" applyBorder="1"/>
    <xf numFmtId="165" fontId="25" fillId="0" borderId="16" xfId="0" applyNumberFormat="1" applyFont="1" applyBorder="1" applyAlignment="1">
      <alignment horizontal="center" vertical="center"/>
    </xf>
    <xf numFmtId="2" fontId="0" fillId="0" borderId="0" xfId="0" applyNumberFormat="1"/>
    <xf numFmtId="0" fontId="32" fillId="0" borderId="16" xfId="381" applyFont="1" applyBorder="1"/>
    <xf numFmtId="1" fontId="0" fillId="0" borderId="0" xfId="0" applyNumberFormat="1" applyBorder="1" applyAlignment="1">
      <alignment horizontal="center" vertical="center"/>
    </xf>
    <xf numFmtId="0" fontId="14" fillId="0" borderId="0" xfId="0" applyFon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0" fontId="0" fillId="0" borderId="0" xfId="381" applyFont="1" applyFill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1" xfId="381" applyFont="1" applyBorder="1" applyAlignment="1">
      <alignment horizontal="center"/>
    </xf>
    <xf numFmtId="0" fontId="29" fillId="0" borderId="21" xfId="381" applyBorder="1" applyAlignment="1">
      <alignment horizontal="center"/>
    </xf>
    <xf numFmtId="0" fontId="29" fillId="0" borderId="17" xfId="381" applyNumberFormat="1" applyFill="1" applyBorder="1" applyAlignment="1">
      <alignment horizontal="center" vertical="center"/>
    </xf>
    <xf numFmtId="0" fontId="29" fillId="0" borderId="5" xfId="381" applyNumberFormat="1" applyFill="1" applyBorder="1" applyAlignment="1">
      <alignment horizontal="center" vertical="center"/>
    </xf>
    <xf numFmtId="0" fontId="29" fillId="0" borderId="18" xfId="381" applyNumberFormat="1" applyFill="1" applyBorder="1" applyAlignment="1">
      <alignment horizontal="center" vertical="center"/>
    </xf>
    <xf numFmtId="0" fontId="29" fillId="2" borderId="4" xfId="381" applyFill="1" applyBorder="1" applyAlignment="1">
      <alignment horizontal="center" vertical="center"/>
    </xf>
    <xf numFmtId="0" fontId="29" fillId="2" borderId="3" xfId="381" applyFill="1" applyBorder="1" applyAlignment="1">
      <alignment horizontal="center" vertical="center"/>
    </xf>
    <xf numFmtId="0" fontId="0" fillId="2" borderId="4" xfId="381" applyFont="1" applyFill="1" applyBorder="1" applyAlignment="1">
      <alignment horizontal="center" vertical="center"/>
    </xf>
    <xf numFmtId="0" fontId="29" fillId="2" borderId="16" xfId="381" applyFill="1" applyBorder="1" applyAlignment="1">
      <alignment horizontal="center" vertical="center"/>
    </xf>
    <xf numFmtId="0" fontId="0" fillId="2" borderId="3" xfId="381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</cellXfs>
  <cellStyles count="436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Input" xfId="10"/>
    <cellStyle name="Linked Cell" xfId="11"/>
    <cellStyle name="Neutral" xfId="12"/>
    <cellStyle name="Normal" xfId="0" builtinId="0"/>
    <cellStyle name="Normal 2" xfId="381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chartsheet" Target="chartsheets/sheet2.xml"/><Relationship Id="rId24" Type="http://schemas.openxmlformats.org/officeDocument/2006/relationships/worksheet" Target="worksheets/sheet22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28" Type="http://schemas.openxmlformats.org/officeDocument/2006/relationships/connections" Target="connections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59320"/>
        <c:axId val="2078746408"/>
      </c:scatterChart>
      <c:valAx>
        <c:axId val="2118259320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8746408"/>
        <c:crosses val="autoZero"/>
        <c:crossBetween val="midCat"/>
        <c:majorUnit val="2.0"/>
      </c:valAx>
      <c:valAx>
        <c:axId val="207874640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2118259320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81176"/>
        <c:axId val="-2089568488"/>
      </c:scatterChart>
      <c:valAx>
        <c:axId val="2118981176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89568488"/>
        <c:crosses val="autoZero"/>
        <c:crossBetween val="midCat"/>
        <c:majorUnit val="2.0"/>
      </c:valAx>
      <c:valAx>
        <c:axId val="-2089568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18981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3122714168925"/>
          <c:y val="0.0470910618390274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0.0256372233210313</c:v>
                  </c:pt>
                  <c:pt idx="1">
                    <c:v>0.0339148586068372</c:v>
                  </c:pt>
                  <c:pt idx="2">
                    <c:v>0.0128271688111569</c:v>
                  </c:pt>
                  <c:pt idx="3">
                    <c:v>0.0222784706807005</c:v>
                  </c:pt>
                  <c:pt idx="4">
                    <c:v>0.0258526746670194</c:v>
                  </c:pt>
                  <c:pt idx="5">
                    <c:v>1.92352468854787E-16</c:v>
                  </c:pt>
                  <c:pt idx="6">
                    <c:v>0.0131763323745244</c:v>
                  </c:pt>
                  <c:pt idx="7">
                    <c:v>0.0351587961608977</c:v>
                  </c:pt>
                  <c:pt idx="8">
                    <c:v>0.0133418884759523</c:v>
                  </c:pt>
                  <c:pt idx="9">
                    <c:v>0.0267502095916188</c:v>
                  </c:pt>
                  <c:pt idx="10">
                    <c:v>0.0354792752929789</c:v>
                  </c:pt>
                  <c:pt idx="11">
                    <c:v>0.0134463125723592</c:v>
                  </c:pt>
                  <c:pt idx="12">
                    <c:v>0.0673579379799575</c:v>
                  </c:pt>
                  <c:pt idx="13">
                    <c:v>0.0588363159506392</c:v>
                  </c:pt>
                  <c:pt idx="14">
                    <c:v>0.0135532395564146</c:v>
                  </c:pt>
                  <c:pt idx="15">
                    <c:v>0.0846399539016231</c:v>
                  </c:pt>
                  <c:pt idx="16">
                    <c:v>0.130702708962137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0.0256372233210313</c:v>
                  </c:pt>
                  <c:pt idx="1">
                    <c:v>0.0339148586068372</c:v>
                  </c:pt>
                  <c:pt idx="2">
                    <c:v>0.0128271688111569</c:v>
                  </c:pt>
                  <c:pt idx="3">
                    <c:v>0.0222784706807005</c:v>
                  </c:pt>
                  <c:pt idx="4">
                    <c:v>0.0258526746670194</c:v>
                  </c:pt>
                  <c:pt idx="5">
                    <c:v>1.92352468854787E-16</c:v>
                  </c:pt>
                  <c:pt idx="6">
                    <c:v>0.0131763323745244</c:v>
                  </c:pt>
                  <c:pt idx="7">
                    <c:v>0.0351587961608977</c:v>
                  </c:pt>
                  <c:pt idx="8">
                    <c:v>0.0133418884759523</c:v>
                  </c:pt>
                  <c:pt idx="9">
                    <c:v>0.0267502095916188</c:v>
                  </c:pt>
                  <c:pt idx="10">
                    <c:v>0.0354792752929789</c:v>
                  </c:pt>
                  <c:pt idx="11">
                    <c:v>0.0134463125723592</c:v>
                  </c:pt>
                  <c:pt idx="12">
                    <c:v>0.0673579379799575</c:v>
                  </c:pt>
                  <c:pt idx="13">
                    <c:v>0.0588363159506392</c:v>
                  </c:pt>
                  <c:pt idx="14">
                    <c:v>0.0135532395564146</c:v>
                  </c:pt>
                  <c:pt idx="15">
                    <c:v>0.0846399539016231</c:v>
                  </c:pt>
                  <c:pt idx="16">
                    <c:v>0.130702708962137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0.947306098283008</c:v>
                </c:pt>
                <c:pt idx="1">
                  <c:v>0.984310242747188</c:v>
                </c:pt>
                <c:pt idx="2">
                  <c:v>1.029401941882644</c:v>
                </c:pt>
                <c:pt idx="3">
                  <c:v>1.069366592673624</c:v>
                </c:pt>
                <c:pt idx="4">
                  <c:v>1.089601553514109</c:v>
                </c:pt>
                <c:pt idx="5">
                  <c:v>1.086433442525504</c:v>
                </c:pt>
                <c:pt idx="6">
                  <c:v>1.156318574591281</c:v>
                </c:pt>
                <c:pt idx="7">
                  <c:v>1.181530861506137</c:v>
                </c:pt>
                <c:pt idx="8">
                  <c:v>1.217064978688062</c:v>
                </c:pt>
                <c:pt idx="9">
                  <c:v>1.490369228379902</c:v>
                </c:pt>
                <c:pt idx="10">
                  <c:v>2.446539182085321</c:v>
                </c:pt>
                <c:pt idx="11">
                  <c:v>3.811747001980391</c:v>
                </c:pt>
                <c:pt idx="12">
                  <c:v>5.148919967921739</c:v>
                </c:pt>
                <c:pt idx="13">
                  <c:v>5.720106351738877</c:v>
                </c:pt>
                <c:pt idx="14">
                  <c:v>5.524426353438935</c:v>
                </c:pt>
                <c:pt idx="15">
                  <c:v>5.258377492225162</c:v>
                </c:pt>
                <c:pt idx="16">
                  <c:v>5.986099377309894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0.264354835410283</c:v>
                  </c:pt>
                  <c:pt idx="1">
                    <c:v>0.272617910803412</c:v>
                  </c:pt>
                  <c:pt idx="2">
                    <c:v>0.300566856479481</c:v>
                  </c:pt>
                  <c:pt idx="3">
                    <c:v>0.120495940841082</c:v>
                  </c:pt>
                  <c:pt idx="4">
                    <c:v>0.051302658537575</c:v>
                  </c:pt>
                  <c:pt idx="5">
                    <c:v>0.326254500419833</c:v>
                  </c:pt>
                  <c:pt idx="6">
                    <c:v>0.381225003549695</c:v>
                  </c:pt>
                  <c:pt idx="7">
                    <c:v>0.732703079178522</c:v>
                  </c:pt>
                  <c:pt idx="8">
                    <c:v>1.664409416436655</c:v>
                  </c:pt>
                  <c:pt idx="9">
                    <c:v>0.56500091727172</c:v>
                  </c:pt>
                  <c:pt idx="10">
                    <c:v>1.087937686799733</c:v>
                  </c:pt>
                  <c:pt idx="11">
                    <c:v>0.665629418902545</c:v>
                  </c:pt>
                  <c:pt idx="12">
                    <c:v>1.764168754475265</c:v>
                  </c:pt>
                  <c:pt idx="13">
                    <c:v>1.454624728557383</c:v>
                  </c:pt>
                  <c:pt idx="14">
                    <c:v>0.193945262953675</c:v>
                  </c:pt>
                  <c:pt idx="15">
                    <c:v>1.426215535836151</c:v>
                  </c:pt>
                  <c:pt idx="16">
                    <c:v>2.130683644708787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0.264354835410283</c:v>
                  </c:pt>
                  <c:pt idx="1">
                    <c:v>0.272617910803412</c:v>
                  </c:pt>
                  <c:pt idx="2">
                    <c:v>0.300566856479481</c:v>
                  </c:pt>
                  <c:pt idx="3">
                    <c:v>0.120495940841082</c:v>
                  </c:pt>
                  <c:pt idx="4">
                    <c:v>0.051302658537575</c:v>
                  </c:pt>
                  <c:pt idx="5">
                    <c:v>0.326254500419833</c:v>
                  </c:pt>
                  <c:pt idx="6">
                    <c:v>0.381225003549695</c:v>
                  </c:pt>
                  <c:pt idx="7">
                    <c:v>0.732703079178522</c:v>
                  </c:pt>
                  <c:pt idx="8">
                    <c:v>1.664409416436655</c:v>
                  </c:pt>
                  <c:pt idx="9">
                    <c:v>0.56500091727172</c:v>
                  </c:pt>
                  <c:pt idx="10">
                    <c:v>1.087937686799733</c:v>
                  </c:pt>
                  <c:pt idx="11">
                    <c:v>0.665629418902545</c:v>
                  </c:pt>
                  <c:pt idx="12">
                    <c:v>1.764168754475265</c:v>
                  </c:pt>
                  <c:pt idx="13">
                    <c:v>1.454624728557383</c:v>
                  </c:pt>
                  <c:pt idx="14">
                    <c:v>0.193945262953675</c:v>
                  </c:pt>
                  <c:pt idx="15">
                    <c:v>1.426215535836151</c:v>
                  </c:pt>
                  <c:pt idx="16">
                    <c:v>2.130683644708787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47.92672772689426</c:v>
                </c:pt>
                <c:pt idx="1">
                  <c:v>48.1931723563697</c:v>
                </c:pt>
                <c:pt idx="2">
                  <c:v>48.30310892828887</c:v>
                </c:pt>
                <c:pt idx="3">
                  <c:v>48.2578461048605</c:v>
                </c:pt>
                <c:pt idx="4">
                  <c:v>47.9152758529488</c:v>
                </c:pt>
                <c:pt idx="5">
                  <c:v>49.0167128112201</c:v>
                </c:pt>
                <c:pt idx="6">
                  <c:v>49.74347817731241</c:v>
                </c:pt>
                <c:pt idx="7">
                  <c:v>53.74729295077565</c:v>
                </c:pt>
                <c:pt idx="8">
                  <c:v>56.86242925747168</c:v>
                </c:pt>
                <c:pt idx="9">
                  <c:v>63.29401163496825</c:v>
                </c:pt>
                <c:pt idx="10">
                  <c:v>67.00095571695717</c:v>
                </c:pt>
                <c:pt idx="11">
                  <c:v>71.89928410640972</c:v>
                </c:pt>
                <c:pt idx="12">
                  <c:v>74.92794454224012</c:v>
                </c:pt>
                <c:pt idx="13">
                  <c:v>78.58179004024115</c:v>
                </c:pt>
                <c:pt idx="14">
                  <c:v>80.31208907424753</c:v>
                </c:pt>
                <c:pt idx="15">
                  <c:v>78.50442147450561</c:v>
                </c:pt>
                <c:pt idx="16">
                  <c:v>80.992898949475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0.0434499239626331</c:v>
                  </c:pt>
                  <c:pt idx="1">
                    <c:v>0.0663708551662805</c:v>
                  </c:pt>
                  <c:pt idx="2">
                    <c:v>0.0</c:v>
                  </c:pt>
                  <c:pt idx="3">
                    <c:v>0.0503433540082891</c:v>
                  </c:pt>
                  <c:pt idx="4">
                    <c:v>0.087630141099656</c:v>
                  </c:pt>
                  <c:pt idx="5">
                    <c:v>0.0255734112970363</c:v>
                  </c:pt>
                  <c:pt idx="6">
                    <c:v>0.0893249058387401</c:v>
                  </c:pt>
                  <c:pt idx="7">
                    <c:v>0.281297135617174</c:v>
                  </c:pt>
                  <c:pt idx="8">
                    <c:v>0.326112171183666</c:v>
                  </c:pt>
                  <c:pt idx="9">
                    <c:v>0.0692522066153909</c:v>
                  </c:pt>
                  <c:pt idx="10">
                    <c:v>0.189240808436017</c:v>
                  </c:pt>
                  <c:pt idx="11">
                    <c:v>0.0789426788953805</c:v>
                  </c:pt>
                  <c:pt idx="12">
                    <c:v>0.488262355558565</c:v>
                  </c:pt>
                  <c:pt idx="13">
                    <c:v>0.158491992046041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0.0434499239626331</c:v>
                  </c:pt>
                  <c:pt idx="1">
                    <c:v>0.0663708551662805</c:v>
                  </c:pt>
                  <c:pt idx="2">
                    <c:v>0.0</c:v>
                  </c:pt>
                  <c:pt idx="3">
                    <c:v>0.0503433540082891</c:v>
                  </c:pt>
                  <c:pt idx="4">
                    <c:v>0.087630141099656</c:v>
                  </c:pt>
                  <c:pt idx="5">
                    <c:v>0.0255734112970363</c:v>
                  </c:pt>
                  <c:pt idx="6">
                    <c:v>0.0893249058387401</c:v>
                  </c:pt>
                  <c:pt idx="7">
                    <c:v>0.281297135617174</c:v>
                  </c:pt>
                  <c:pt idx="8">
                    <c:v>0.326112171183666</c:v>
                  </c:pt>
                  <c:pt idx="9">
                    <c:v>0.0692522066153909</c:v>
                  </c:pt>
                  <c:pt idx="10">
                    <c:v>0.189240808436017</c:v>
                  </c:pt>
                  <c:pt idx="11">
                    <c:v>0.0789426788953805</c:v>
                  </c:pt>
                  <c:pt idx="12">
                    <c:v>0.488262355558565</c:v>
                  </c:pt>
                  <c:pt idx="13">
                    <c:v>0.158491992046041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1.216597870953726</c:v>
                </c:pt>
                <c:pt idx="1">
                  <c:v>1.274531102903903</c:v>
                </c:pt>
                <c:pt idx="2">
                  <c:v>1.478283594579143</c:v>
                </c:pt>
                <c:pt idx="3">
                  <c:v>2.543253036502011</c:v>
                </c:pt>
                <c:pt idx="4">
                  <c:v>4.819657760481074</c:v>
                </c:pt>
                <c:pt idx="5">
                  <c:v>10.12866370495848</c:v>
                </c:pt>
                <c:pt idx="6">
                  <c:v>13.04143625245605</c:v>
                </c:pt>
                <c:pt idx="7">
                  <c:v>13.60316448110526</c:v>
                </c:pt>
                <c:pt idx="8">
                  <c:v>13.38619191567908</c:v>
                </c:pt>
                <c:pt idx="9">
                  <c:v>10.94113898538148</c:v>
                </c:pt>
                <c:pt idx="10">
                  <c:v>7.666603663698711</c:v>
                </c:pt>
                <c:pt idx="11">
                  <c:v>5.469309229295767</c:v>
                </c:pt>
                <c:pt idx="12">
                  <c:v>3.637838840811924</c:v>
                </c:pt>
                <c:pt idx="13">
                  <c:v>1.509839005491004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0.0254763297688261</c:v>
                </c:pt>
                <c:pt idx="2">
                  <c:v>0.0833675136697121</c:v>
                </c:pt>
                <c:pt idx="3">
                  <c:v>0.151401606191168</c:v>
                </c:pt>
                <c:pt idx="4">
                  <c:v>0.23350467480658</c:v>
                </c:pt>
                <c:pt idx="5">
                  <c:v>0.340494226202489</c:v>
                </c:pt>
                <c:pt idx="6">
                  <c:v>0.475716114464219</c:v>
                </c:pt>
                <c:pt idx="7">
                  <c:v>0.656185132038749</c:v>
                </c:pt>
                <c:pt idx="8">
                  <c:v>0.9039349381518</c:v>
                </c:pt>
                <c:pt idx="9">
                  <c:v>1.241976473475309</c:v>
                </c:pt>
                <c:pt idx="10">
                  <c:v>1.713868391810298</c:v>
                </c:pt>
                <c:pt idx="11">
                  <c:v>2.361340947546462</c:v>
                </c:pt>
                <c:pt idx="12">
                  <c:v>3.219356986581911</c:v>
                </c:pt>
                <c:pt idx="13">
                  <c:v>4.320040594232288</c:v>
                </c:pt>
                <c:pt idx="14">
                  <c:v>5.686501301897687</c:v>
                </c:pt>
                <c:pt idx="15">
                  <c:v>7.372474144789641</c:v>
                </c:pt>
                <c:pt idx="16">
                  <c:v>9.385331833055472</c:v>
                </c:pt>
                <c:pt idx="17">
                  <c:v>11.65013772505138</c:v>
                </c:pt>
                <c:pt idx="18">
                  <c:v>14.17214907795365</c:v>
                </c:pt>
                <c:pt idx="19">
                  <c:v>16.92285998979714</c:v>
                </c:pt>
                <c:pt idx="20">
                  <c:v>19.83933045311703</c:v>
                </c:pt>
                <c:pt idx="21">
                  <c:v>22.87587920252427</c:v>
                </c:pt>
                <c:pt idx="22">
                  <c:v>25.93999807906211</c:v>
                </c:pt>
                <c:pt idx="23">
                  <c:v>29.03967225708179</c:v>
                </c:pt>
                <c:pt idx="24">
                  <c:v>32.1126753811253</c:v>
                </c:pt>
                <c:pt idx="25">
                  <c:v>35.03859947716836</c:v>
                </c:pt>
                <c:pt idx="26">
                  <c:v>37.92303946419972</c:v>
                </c:pt>
                <c:pt idx="27">
                  <c:v>40.77235762574448</c:v>
                </c:pt>
                <c:pt idx="28">
                  <c:v>43.57986192756928</c:v>
                </c:pt>
                <c:pt idx="29">
                  <c:v>46.38146264996249</c:v>
                </c:pt>
                <c:pt idx="30">
                  <c:v>49.095202447722</c:v>
                </c:pt>
                <c:pt idx="31">
                  <c:v>51.7606994180215</c:v>
                </c:pt>
                <c:pt idx="32">
                  <c:v>54.3741394769199</c:v>
                </c:pt>
                <c:pt idx="33">
                  <c:v>56.92175415555815</c:v>
                </c:pt>
                <c:pt idx="34">
                  <c:v>59.44881790745127</c:v>
                </c:pt>
                <c:pt idx="35">
                  <c:v>61.91232178209867</c:v>
                </c:pt>
                <c:pt idx="36">
                  <c:v>64.29675927041763</c:v>
                </c:pt>
                <c:pt idx="37">
                  <c:v>66.4714450510359</c:v>
                </c:pt>
                <c:pt idx="38">
                  <c:v>68.31886995446511</c:v>
                </c:pt>
                <c:pt idx="39">
                  <c:v>69.92696056871614</c:v>
                </c:pt>
                <c:pt idx="40">
                  <c:v>71.3412698032514</c:v>
                </c:pt>
                <c:pt idx="41">
                  <c:v>72.551931184347</c:v>
                </c:pt>
                <c:pt idx="42">
                  <c:v>73.55936279152309</c:v>
                </c:pt>
                <c:pt idx="43">
                  <c:v>74.3900401192457</c:v>
                </c:pt>
                <c:pt idx="44">
                  <c:v>75.06734314844657</c:v>
                </c:pt>
                <c:pt idx="45">
                  <c:v>75.6130754364299</c:v>
                </c:pt>
                <c:pt idx="46">
                  <c:v>76.04779644950066</c:v>
                </c:pt>
                <c:pt idx="47">
                  <c:v>76.406233678867</c:v>
                </c:pt>
                <c:pt idx="48">
                  <c:v>76.7274054680006</c:v>
                </c:pt>
                <c:pt idx="49">
                  <c:v>77.01089819549189</c:v>
                </c:pt>
                <c:pt idx="50">
                  <c:v>77.2396462278314</c:v>
                </c:pt>
                <c:pt idx="51">
                  <c:v>77.42019996802164</c:v>
                </c:pt>
                <c:pt idx="52">
                  <c:v>77.56771965971203</c:v>
                </c:pt>
                <c:pt idx="53">
                  <c:v>77.69030931675964</c:v>
                </c:pt>
                <c:pt idx="54">
                  <c:v>77.79432736526163</c:v>
                </c:pt>
                <c:pt idx="55">
                  <c:v>77.8826912070657</c:v>
                </c:pt>
                <c:pt idx="56">
                  <c:v>77.95765171746059</c:v>
                </c:pt>
                <c:pt idx="57">
                  <c:v>78.02335689182749</c:v>
                </c:pt>
                <c:pt idx="58">
                  <c:v>78.0826027982958</c:v>
                </c:pt>
                <c:pt idx="59">
                  <c:v>78.13600527289326</c:v>
                </c:pt>
                <c:pt idx="60">
                  <c:v>78.18371530869148</c:v>
                </c:pt>
                <c:pt idx="61">
                  <c:v>78.22912940807438</c:v>
                </c:pt>
                <c:pt idx="62">
                  <c:v>78.27252352489858</c:v>
                </c:pt>
                <c:pt idx="63">
                  <c:v>78.30960149962131</c:v>
                </c:pt>
                <c:pt idx="64">
                  <c:v>78.34105049026945</c:v>
                </c:pt>
                <c:pt idx="65">
                  <c:v>78.36852865170864</c:v>
                </c:pt>
                <c:pt idx="66">
                  <c:v>78.39207969628157</c:v>
                </c:pt>
                <c:pt idx="67">
                  <c:v>78.40275891301364</c:v>
                </c:pt>
                <c:pt idx="68">
                  <c:v>78.40275891301364</c:v>
                </c:pt>
                <c:pt idx="69">
                  <c:v>78.40275891301364</c:v>
                </c:pt>
                <c:pt idx="70">
                  <c:v>78.40275891301364</c:v>
                </c:pt>
                <c:pt idx="71">
                  <c:v>78.40275891301364</c:v>
                </c:pt>
                <c:pt idx="72">
                  <c:v>78.40275891301364</c:v>
                </c:pt>
                <c:pt idx="73">
                  <c:v>78.40275891301364</c:v>
                </c:pt>
                <c:pt idx="74">
                  <c:v>78.40275891301364</c:v>
                </c:pt>
                <c:pt idx="75">
                  <c:v>78.40275891301364</c:v>
                </c:pt>
                <c:pt idx="76">
                  <c:v>78.40275891301364</c:v>
                </c:pt>
                <c:pt idx="77">
                  <c:v>78.40275891301364</c:v>
                </c:pt>
                <c:pt idx="78">
                  <c:v>78.40275891301364</c:v>
                </c:pt>
                <c:pt idx="79">
                  <c:v>78.40275891301364</c:v>
                </c:pt>
                <c:pt idx="80">
                  <c:v>78.40275891301364</c:v>
                </c:pt>
                <c:pt idx="81">
                  <c:v>78.40275891301364</c:v>
                </c:pt>
                <c:pt idx="82">
                  <c:v>78.40275891301364</c:v>
                </c:pt>
                <c:pt idx="83">
                  <c:v>78.40275891301364</c:v>
                </c:pt>
                <c:pt idx="84">
                  <c:v>78.40275891301364</c:v>
                </c:pt>
                <c:pt idx="85">
                  <c:v>78.40275891301364</c:v>
                </c:pt>
                <c:pt idx="86">
                  <c:v>78.40275891301364</c:v>
                </c:pt>
                <c:pt idx="87">
                  <c:v>78.40275891301364</c:v>
                </c:pt>
                <c:pt idx="88">
                  <c:v>78.40275891301364</c:v>
                </c:pt>
                <c:pt idx="89">
                  <c:v>78.40275891301364</c:v>
                </c:pt>
                <c:pt idx="90">
                  <c:v>78.40275891301364</c:v>
                </c:pt>
                <c:pt idx="91">
                  <c:v>78.40275891301364</c:v>
                </c:pt>
                <c:pt idx="92">
                  <c:v>78.40275891301364</c:v>
                </c:pt>
                <c:pt idx="93">
                  <c:v>78.40275891301364</c:v>
                </c:pt>
                <c:pt idx="94">
                  <c:v>78.40275891301364</c:v>
                </c:pt>
                <c:pt idx="95">
                  <c:v>78.40275891301364</c:v>
                </c:pt>
                <c:pt idx="96">
                  <c:v>78.40275891301364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0.155945141398055</c:v>
                  </c:pt>
                  <c:pt idx="1">
                    <c:v>0.260110446577707</c:v>
                  </c:pt>
                  <c:pt idx="2">
                    <c:v>0.114010370217292</c:v>
                  </c:pt>
                  <c:pt idx="3">
                    <c:v>0.170518857675916</c:v>
                  </c:pt>
                  <c:pt idx="4">
                    <c:v>0.0193895060002653</c:v>
                  </c:pt>
                  <c:pt idx="5">
                    <c:v>0.21242653189961</c:v>
                  </c:pt>
                  <c:pt idx="6">
                    <c:v>0.196433441829709</c:v>
                  </c:pt>
                  <c:pt idx="7">
                    <c:v>0.397387727592367</c:v>
                  </c:pt>
                  <c:pt idx="8">
                    <c:v>0.598417535312699</c:v>
                  </c:pt>
                  <c:pt idx="9">
                    <c:v>0.179570433119914</c:v>
                  </c:pt>
                  <c:pt idx="10">
                    <c:v>0.156241226450369</c:v>
                  </c:pt>
                  <c:pt idx="11">
                    <c:v>0.0232896965497784</c:v>
                  </c:pt>
                  <c:pt idx="12">
                    <c:v>0.0816671596120516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0.155945141398055</c:v>
                  </c:pt>
                  <c:pt idx="1">
                    <c:v>0.260110446577707</c:v>
                  </c:pt>
                  <c:pt idx="2">
                    <c:v>0.114010370217292</c:v>
                  </c:pt>
                  <c:pt idx="3">
                    <c:v>0.170518857675916</c:v>
                  </c:pt>
                  <c:pt idx="4">
                    <c:v>0.0193895060002653</c:v>
                  </c:pt>
                  <c:pt idx="5">
                    <c:v>0.21242653189961</c:v>
                  </c:pt>
                  <c:pt idx="6">
                    <c:v>0.196433441829709</c:v>
                  </c:pt>
                  <c:pt idx="7">
                    <c:v>0.397387727592367</c:v>
                  </c:pt>
                  <c:pt idx="8">
                    <c:v>0.598417535312699</c:v>
                  </c:pt>
                  <c:pt idx="9">
                    <c:v>0.179570433119914</c:v>
                  </c:pt>
                  <c:pt idx="10">
                    <c:v>0.156241226450369</c:v>
                  </c:pt>
                  <c:pt idx="11">
                    <c:v>0.0232896965497784</c:v>
                  </c:pt>
                  <c:pt idx="12">
                    <c:v>0.0816671596120516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48.5827412670219</c:v>
                </c:pt>
                <c:pt idx="1">
                  <c:v>48.65674955595028</c:v>
                </c:pt>
                <c:pt idx="2">
                  <c:v>48.12639222535514</c:v>
                </c:pt>
                <c:pt idx="3">
                  <c:v>46.42090674168629</c:v>
                </c:pt>
                <c:pt idx="4">
                  <c:v>43.266883606151</c:v>
                </c:pt>
                <c:pt idx="5">
                  <c:v>37.22543475986691</c:v>
                </c:pt>
                <c:pt idx="6">
                  <c:v>30.12894549124189</c:v>
                </c:pt>
                <c:pt idx="7">
                  <c:v>22.46826706442027</c:v>
                </c:pt>
                <c:pt idx="8">
                  <c:v>17.6050760050099</c:v>
                </c:pt>
                <c:pt idx="9">
                  <c:v>14.56778004838696</c:v>
                </c:pt>
                <c:pt idx="10">
                  <c:v>10.2429472718319</c:v>
                </c:pt>
                <c:pt idx="11">
                  <c:v>6.590984123587275</c:v>
                </c:pt>
                <c:pt idx="12">
                  <c:v>2.765016689722323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0.0226988991033935</c:v>
                  </c:pt>
                  <c:pt idx="1">
                    <c:v>0.0524208620306095</c:v>
                  </c:pt>
                  <c:pt idx="2">
                    <c:v>0.0131139639826241</c:v>
                  </c:pt>
                  <c:pt idx="3">
                    <c:v>0.034791803676676</c:v>
                  </c:pt>
                  <c:pt idx="4">
                    <c:v>0.034964528943156</c:v>
                  </c:pt>
                  <c:pt idx="5">
                    <c:v>0.0481699408749444</c:v>
                  </c:pt>
                  <c:pt idx="6">
                    <c:v>0.0971402886224331</c:v>
                  </c:pt>
                  <c:pt idx="7">
                    <c:v>0.329440368974132</c:v>
                  </c:pt>
                  <c:pt idx="8">
                    <c:v>0.856512826243024</c:v>
                  </c:pt>
                  <c:pt idx="9">
                    <c:v>0.314505471798319</c:v>
                  </c:pt>
                  <c:pt idx="10">
                    <c:v>0.477484520646035</c:v>
                  </c:pt>
                  <c:pt idx="11">
                    <c:v>0.0991306721065896</c:v>
                  </c:pt>
                  <c:pt idx="12">
                    <c:v>0.714594194184896</c:v>
                  </c:pt>
                  <c:pt idx="13">
                    <c:v>0.552508047943502</c:v>
                  </c:pt>
                  <c:pt idx="14">
                    <c:v>0.123157208498704</c:v>
                  </c:pt>
                  <c:pt idx="15">
                    <c:v>0.717722609121884</c:v>
                  </c:pt>
                  <c:pt idx="16">
                    <c:v>0.805453340071447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0.0226988991033935</c:v>
                  </c:pt>
                  <c:pt idx="1">
                    <c:v>0.0524208620306095</c:v>
                  </c:pt>
                  <c:pt idx="2">
                    <c:v>0.0131139639826241</c:v>
                  </c:pt>
                  <c:pt idx="3">
                    <c:v>0.034791803676676</c:v>
                  </c:pt>
                  <c:pt idx="4">
                    <c:v>0.034964528943156</c:v>
                  </c:pt>
                  <c:pt idx="5">
                    <c:v>0.0481699408749444</c:v>
                  </c:pt>
                  <c:pt idx="6">
                    <c:v>0.0971402886224331</c:v>
                  </c:pt>
                  <c:pt idx="7">
                    <c:v>0.329440368974132</c:v>
                  </c:pt>
                  <c:pt idx="8">
                    <c:v>0.856512826243024</c:v>
                  </c:pt>
                  <c:pt idx="9">
                    <c:v>0.314505471798319</c:v>
                  </c:pt>
                  <c:pt idx="10">
                    <c:v>0.477484520646035</c:v>
                  </c:pt>
                  <c:pt idx="11">
                    <c:v>0.0991306721065896</c:v>
                  </c:pt>
                  <c:pt idx="12">
                    <c:v>0.714594194184896</c:v>
                  </c:pt>
                  <c:pt idx="13">
                    <c:v>0.552508047943502</c:v>
                  </c:pt>
                  <c:pt idx="14">
                    <c:v>0.123157208498704</c:v>
                  </c:pt>
                  <c:pt idx="15">
                    <c:v>0.717722609121884</c:v>
                  </c:pt>
                  <c:pt idx="16">
                    <c:v>0.805453340071447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0.680966973101804</c:v>
                </c:pt>
                <c:pt idx="1">
                  <c:v>0.832292967124428</c:v>
                </c:pt>
                <c:pt idx="2">
                  <c:v>1.302272309307908</c:v>
                </c:pt>
                <c:pt idx="3">
                  <c:v>2.831888360444247</c:v>
                </c:pt>
                <c:pt idx="4">
                  <c:v>6.485402878210166</c:v>
                </c:pt>
                <c:pt idx="5">
                  <c:v>13.48295974970641</c:v>
                </c:pt>
                <c:pt idx="6">
                  <c:v>20.17469891513296</c:v>
                </c:pt>
                <c:pt idx="7">
                  <c:v>25.24925113637455</c:v>
                </c:pt>
                <c:pt idx="8">
                  <c:v>26.99607762481853</c:v>
                </c:pt>
                <c:pt idx="9">
                  <c:v>28.54750542593901</c:v>
                </c:pt>
                <c:pt idx="10">
                  <c:v>28.89090416166346</c:v>
                </c:pt>
                <c:pt idx="11">
                  <c:v>29.96937853066407</c:v>
                </c:pt>
                <c:pt idx="12">
                  <c:v>30.32787748233941</c:v>
                </c:pt>
                <c:pt idx="13">
                  <c:v>31.03263703905642</c:v>
                </c:pt>
                <c:pt idx="14">
                  <c:v>31.20768932288889</c:v>
                </c:pt>
                <c:pt idx="15">
                  <c:v>31.21568924324852</c:v>
                </c:pt>
                <c:pt idx="16">
                  <c:v>32.67967466905951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5.50435181339978E-5</c:v>
                </c:pt>
                <c:pt idx="1">
                  <c:v>0.0276044763981174</c:v>
                </c:pt>
                <c:pt idx="2">
                  <c:v>0.0878695260589701</c:v>
                </c:pt>
                <c:pt idx="3">
                  <c:v>0.181425260416667</c:v>
                </c:pt>
                <c:pt idx="4">
                  <c:v>0.361254519877324</c:v>
                </c:pt>
                <c:pt idx="5">
                  <c:v>0.646689045673624</c:v>
                </c:pt>
                <c:pt idx="6">
                  <c:v>1.053072162150355</c:v>
                </c:pt>
                <c:pt idx="7">
                  <c:v>1.633920268593306</c:v>
                </c:pt>
                <c:pt idx="8">
                  <c:v>2.449719820819457</c:v>
                </c:pt>
                <c:pt idx="9">
                  <c:v>3.505260934981899</c:v>
                </c:pt>
                <c:pt idx="10">
                  <c:v>4.815954264085313</c:v>
                </c:pt>
                <c:pt idx="11">
                  <c:v>6.150932231893455</c:v>
                </c:pt>
                <c:pt idx="12">
                  <c:v>7.675379530713625</c:v>
                </c:pt>
                <c:pt idx="13">
                  <c:v>9.763018023543104</c:v>
                </c:pt>
                <c:pt idx="14">
                  <c:v>12.35198822615382</c:v>
                </c:pt>
                <c:pt idx="15">
                  <c:v>15.12373148922747</c:v>
                </c:pt>
                <c:pt idx="16">
                  <c:v>17.64048051038768</c:v>
                </c:pt>
                <c:pt idx="17">
                  <c:v>20.07734499212908</c:v>
                </c:pt>
                <c:pt idx="18">
                  <c:v>22.73542498665888</c:v>
                </c:pt>
                <c:pt idx="19">
                  <c:v>25.55774050745611</c:v>
                </c:pt>
                <c:pt idx="20">
                  <c:v>28.70735813080652</c:v>
                </c:pt>
                <c:pt idx="21">
                  <c:v>32.1478250615706</c:v>
                </c:pt>
                <c:pt idx="22">
                  <c:v>35.55897535013942</c:v>
                </c:pt>
                <c:pt idx="23">
                  <c:v>38.82410400892974</c:v>
                </c:pt>
                <c:pt idx="24">
                  <c:v>41.76515189784516</c:v>
                </c:pt>
                <c:pt idx="25">
                  <c:v>44.44874480221826</c:v>
                </c:pt>
                <c:pt idx="26">
                  <c:v>47.00655916243844</c:v>
                </c:pt>
                <c:pt idx="27">
                  <c:v>49.7391252038497</c:v>
                </c:pt>
                <c:pt idx="28">
                  <c:v>52.62808870105193</c:v>
                </c:pt>
                <c:pt idx="29">
                  <c:v>55.22958587790131</c:v>
                </c:pt>
                <c:pt idx="30">
                  <c:v>57.72477106853722</c:v>
                </c:pt>
                <c:pt idx="31">
                  <c:v>60.54925561768287</c:v>
                </c:pt>
                <c:pt idx="32">
                  <c:v>63.47401382180904</c:v>
                </c:pt>
                <c:pt idx="33">
                  <c:v>66.11677994342867</c:v>
                </c:pt>
                <c:pt idx="34">
                  <c:v>69.07582079025174</c:v>
                </c:pt>
                <c:pt idx="35">
                  <c:v>72.03967708364051</c:v>
                </c:pt>
                <c:pt idx="36">
                  <c:v>74.421864204951</c:v>
                </c:pt>
                <c:pt idx="37">
                  <c:v>76.36046443809908</c:v>
                </c:pt>
                <c:pt idx="38">
                  <c:v>77.81366115654342</c:v>
                </c:pt>
                <c:pt idx="39">
                  <c:v>78.918979183017</c:v>
                </c:pt>
                <c:pt idx="40">
                  <c:v>79.73681680159341</c:v>
                </c:pt>
                <c:pt idx="41">
                  <c:v>80.30576518739556</c:v>
                </c:pt>
                <c:pt idx="42">
                  <c:v>80.65460789767729</c:v>
                </c:pt>
                <c:pt idx="43">
                  <c:v>80.83361087668564</c:v>
                </c:pt>
                <c:pt idx="44">
                  <c:v>80.9074394579654</c:v>
                </c:pt>
                <c:pt idx="45">
                  <c:v>80.9428189299786</c:v>
                </c:pt>
                <c:pt idx="46">
                  <c:v>80.96756375788743</c:v>
                </c:pt>
                <c:pt idx="47">
                  <c:v>80.99102999308907</c:v>
                </c:pt>
                <c:pt idx="48">
                  <c:v>81.01574714333242</c:v>
                </c:pt>
                <c:pt idx="49">
                  <c:v>81.04438729344876</c:v>
                </c:pt>
                <c:pt idx="50">
                  <c:v>81.07297891007781</c:v>
                </c:pt>
                <c:pt idx="51">
                  <c:v>81.0979628708176</c:v>
                </c:pt>
                <c:pt idx="52">
                  <c:v>81.12460236273526</c:v>
                </c:pt>
                <c:pt idx="53">
                  <c:v>81.15231498398322</c:v>
                </c:pt>
                <c:pt idx="54">
                  <c:v>81.17954227035818</c:v>
                </c:pt>
                <c:pt idx="55">
                  <c:v>81.20501695858067</c:v>
                </c:pt>
                <c:pt idx="56">
                  <c:v>81.23643430269249</c:v>
                </c:pt>
                <c:pt idx="57">
                  <c:v>81.25620900246214</c:v>
                </c:pt>
                <c:pt idx="58">
                  <c:v>81.27028371377897</c:v>
                </c:pt>
                <c:pt idx="59">
                  <c:v>81.29989453364129</c:v>
                </c:pt>
                <c:pt idx="60">
                  <c:v>81.33004461447362</c:v>
                </c:pt>
                <c:pt idx="61">
                  <c:v>81.366244748743</c:v>
                </c:pt>
                <c:pt idx="62">
                  <c:v>81.4064076491964</c:v>
                </c:pt>
                <c:pt idx="63">
                  <c:v>81.44415180002154</c:v>
                </c:pt>
                <c:pt idx="64">
                  <c:v>81.48468771246579</c:v>
                </c:pt>
                <c:pt idx="65">
                  <c:v>81.52406379075094</c:v>
                </c:pt>
                <c:pt idx="66">
                  <c:v>81.55938919194785</c:v>
                </c:pt>
                <c:pt idx="67">
                  <c:v>81.59387531616534</c:v>
                </c:pt>
                <c:pt idx="68">
                  <c:v>81.62941053660711</c:v>
                </c:pt>
                <c:pt idx="69">
                  <c:v>81.66457274505802</c:v>
                </c:pt>
                <c:pt idx="70">
                  <c:v>81.699262860208</c:v>
                </c:pt>
                <c:pt idx="71">
                  <c:v>81.73453580659371</c:v>
                </c:pt>
                <c:pt idx="72">
                  <c:v>81.76712190098274</c:v>
                </c:pt>
                <c:pt idx="73">
                  <c:v>81.7989677997024</c:v>
                </c:pt>
                <c:pt idx="74">
                  <c:v>81.83113425560173</c:v>
                </c:pt>
                <c:pt idx="75">
                  <c:v>81.86425072641526</c:v>
                </c:pt>
                <c:pt idx="76">
                  <c:v>81.89557207702279</c:v>
                </c:pt>
                <c:pt idx="77">
                  <c:v>81.92541886460394</c:v>
                </c:pt>
                <c:pt idx="78">
                  <c:v>81.95721813682475</c:v>
                </c:pt>
                <c:pt idx="79">
                  <c:v>81.98959441196892</c:v>
                </c:pt>
                <c:pt idx="80">
                  <c:v>82.01944119955007</c:v>
                </c:pt>
                <c:pt idx="81">
                  <c:v>82.0465020538245</c:v>
                </c:pt>
                <c:pt idx="82">
                  <c:v>82.07256043837348</c:v>
                </c:pt>
                <c:pt idx="83">
                  <c:v>82.10098511773948</c:v>
                </c:pt>
                <c:pt idx="84">
                  <c:v>82.13278438996029</c:v>
                </c:pt>
                <c:pt idx="85">
                  <c:v>82.16005506347958</c:v>
                </c:pt>
                <c:pt idx="86">
                  <c:v>82.18411433689005</c:v>
                </c:pt>
                <c:pt idx="87">
                  <c:v>82.20754415256594</c:v>
                </c:pt>
                <c:pt idx="88">
                  <c:v>82.23102642305305</c:v>
                </c:pt>
                <c:pt idx="89">
                  <c:v>82.253086585325</c:v>
                </c:pt>
                <c:pt idx="90">
                  <c:v>82.27609093419882</c:v>
                </c:pt>
                <c:pt idx="91">
                  <c:v>82.30167722544687</c:v>
                </c:pt>
                <c:pt idx="92">
                  <c:v>82.32763070037341</c:v>
                </c:pt>
                <c:pt idx="93">
                  <c:v>82.35184733821754</c:v>
                </c:pt>
                <c:pt idx="94">
                  <c:v>82.37511978945979</c:v>
                </c:pt>
                <c:pt idx="95">
                  <c:v>82.39844469551324</c:v>
                </c:pt>
                <c:pt idx="96">
                  <c:v>82.42177811416542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355272"/>
        <c:axId val="-208034760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3003.0</c:v>
                </c:pt>
                <c:pt idx="1">
                  <c:v>5859.0</c:v>
                </c:pt>
                <c:pt idx="2">
                  <c:v>10724.0</c:v>
                </c:pt>
                <c:pt idx="3">
                  <c:v>18595.0</c:v>
                </c:pt>
                <c:pt idx="4">
                  <c:v>6790.0</c:v>
                </c:pt>
                <c:pt idx="5">
                  <c:v>14719.0</c:v>
                </c:pt>
                <c:pt idx="6">
                  <c:v>15519.0</c:v>
                </c:pt>
                <c:pt idx="7">
                  <c:v>20860.0</c:v>
                </c:pt>
                <c:pt idx="8">
                  <c:v>18736.0</c:v>
                </c:pt>
                <c:pt idx="9">
                  <c:v>23791.0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0.0164061368297913</c:v>
                  </c:pt>
                  <c:pt idx="1">
                    <c:v>0.0140392971743993</c:v>
                  </c:pt>
                  <c:pt idx="2">
                    <c:v>0.0179176665596348</c:v>
                  </c:pt>
                  <c:pt idx="3">
                    <c:v>0.0389265402923083</c:v>
                  </c:pt>
                  <c:pt idx="4">
                    <c:v>0.0421712839753975</c:v>
                  </c:pt>
                  <c:pt idx="5">
                    <c:v>0.00758758961969531</c:v>
                  </c:pt>
                  <c:pt idx="6">
                    <c:v>0.0224089090295118</c:v>
                  </c:pt>
                  <c:pt idx="7">
                    <c:v>0.0150943350420472</c:v>
                  </c:pt>
                  <c:pt idx="8">
                    <c:v>0.00588565686020637</c:v>
                  </c:pt>
                  <c:pt idx="9">
                    <c:v>0.0282889376205232</c:v>
                  </c:pt>
                  <c:pt idx="10">
                    <c:v>0.0108384190328919</c:v>
                  </c:pt>
                  <c:pt idx="11">
                    <c:v>0.0232699635824667</c:v>
                  </c:pt>
                  <c:pt idx="12">
                    <c:v>0.0266077423702333</c:v>
                  </c:pt>
                  <c:pt idx="13">
                    <c:v>0.00929254539623071</c:v>
                  </c:pt>
                  <c:pt idx="14">
                    <c:v>0.043757991551629</c:v>
                  </c:pt>
                  <c:pt idx="15">
                    <c:v>0.0363187093667926</c:v>
                  </c:pt>
                  <c:pt idx="16">
                    <c:v>0.00758111283722827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0.0164061368297913</c:v>
                  </c:pt>
                  <c:pt idx="1">
                    <c:v>0.0140392971743993</c:v>
                  </c:pt>
                  <c:pt idx="2">
                    <c:v>0.0179176665596348</c:v>
                  </c:pt>
                  <c:pt idx="3">
                    <c:v>0.0389265402923083</c:v>
                  </c:pt>
                  <c:pt idx="4">
                    <c:v>0.0421712839753975</c:v>
                  </c:pt>
                  <c:pt idx="5">
                    <c:v>0.00758758961969531</c:v>
                  </c:pt>
                  <c:pt idx="6">
                    <c:v>0.0224089090295118</c:v>
                  </c:pt>
                  <c:pt idx="7">
                    <c:v>0.0150943350420472</c:v>
                  </c:pt>
                  <c:pt idx="8">
                    <c:v>0.00588565686020637</c:v>
                  </c:pt>
                  <c:pt idx="9">
                    <c:v>0.0282889376205232</c:v>
                  </c:pt>
                  <c:pt idx="10">
                    <c:v>0.0108384190328919</c:v>
                  </c:pt>
                  <c:pt idx="11">
                    <c:v>0.0232699635824667</c:v>
                  </c:pt>
                  <c:pt idx="12">
                    <c:v>0.0266077423702333</c:v>
                  </c:pt>
                  <c:pt idx="13">
                    <c:v>0.00929254539623071</c:v>
                  </c:pt>
                  <c:pt idx="14">
                    <c:v>0.043757991551629</c:v>
                  </c:pt>
                  <c:pt idx="15">
                    <c:v>0.0363187093667926</c:v>
                  </c:pt>
                  <c:pt idx="16">
                    <c:v>0.00758111283722827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7.634108603991314</c:v>
                </c:pt>
                <c:pt idx="1">
                  <c:v>7.915832331179761</c:v>
                </c:pt>
                <c:pt idx="2">
                  <c:v>8.180045087222936</c:v>
                </c:pt>
                <c:pt idx="3">
                  <c:v>8.462147966740513</c:v>
                </c:pt>
                <c:pt idx="4">
                  <c:v>8.972410876319404</c:v>
                </c:pt>
                <c:pt idx="5">
                  <c:v>9.346125782777939</c:v>
                </c:pt>
                <c:pt idx="6">
                  <c:v>9.390925804428068</c:v>
                </c:pt>
                <c:pt idx="7">
                  <c:v>9.491372854678456</c:v>
                </c:pt>
                <c:pt idx="8">
                  <c:v>9.460104181754861</c:v>
                </c:pt>
                <c:pt idx="9">
                  <c:v>9.547727022417339</c:v>
                </c:pt>
                <c:pt idx="10">
                  <c:v>9.529309397305944</c:v>
                </c:pt>
                <c:pt idx="11">
                  <c:v>9.476948589506322</c:v>
                </c:pt>
                <c:pt idx="12">
                  <c:v>9.50139281066591</c:v>
                </c:pt>
                <c:pt idx="13">
                  <c:v>9.543483531676095</c:v>
                </c:pt>
                <c:pt idx="14">
                  <c:v>9.481927914570774</c:v>
                </c:pt>
                <c:pt idx="15">
                  <c:v>9.255072726509457</c:v>
                </c:pt>
                <c:pt idx="16">
                  <c:v>9.265060046497895</c:v>
                </c:pt>
              </c:numCache>
            </c:numRef>
          </c:yVal>
          <c:smooth val="0"/>
        </c:ser>
        <c:ser>
          <c:idx val="5"/>
          <c:order val="9"/>
          <c:tx>
            <c:v>QPCR FP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0.0756103440253112</c:v>
                  </c:pt>
                  <c:pt idx="1">
                    <c:v>0.00877284031398622</c:v>
                  </c:pt>
                  <c:pt idx="2">
                    <c:v>0.104345608997837</c:v>
                  </c:pt>
                  <c:pt idx="3">
                    <c:v>0.0647676528816888</c:v>
                  </c:pt>
                  <c:pt idx="4">
                    <c:v>0.087291471729133</c:v>
                  </c:pt>
                  <c:pt idx="5">
                    <c:v>0.114832054909521</c:v>
                  </c:pt>
                  <c:pt idx="6">
                    <c:v>0.0254234364613474</c:v>
                  </c:pt>
                  <c:pt idx="7">
                    <c:v>0.0386509922560914</c:v>
                  </c:pt>
                  <c:pt idx="8">
                    <c:v>0.00439079898010828</c:v>
                  </c:pt>
                  <c:pt idx="9">
                    <c:v>0.00455169525507494</c:v>
                  </c:pt>
                  <c:pt idx="10">
                    <c:v>0.0447874884530176</c:v>
                  </c:pt>
                  <c:pt idx="11">
                    <c:v>0.035612500981434</c:v>
                  </c:pt>
                  <c:pt idx="12">
                    <c:v>0.0277502822836834</c:v>
                  </c:pt>
                  <c:pt idx="13">
                    <c:v>0.0699917011002281</c:v>
                  </c:pt>
                  <c:pt idx="14">
                    <c:v>0.0904259597026351</c:v>
                  </c:pt>
                  <c:pt idx="15">
                    <c:v>0.0469825610806204</c:v>
                  </c:pt>
                  <c:pt idx="16">
                    <c:v>0.0738447424219284</c:v>
                  </c:pt>
                </c:numCache>
              </c:numRef>
            </c:plus>
            <c:min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0.0756103440253112</c:v>
                  </c:pt>
                  <c:pt idx="1">
                    <c:v>0.00877284031398622</c:v>
                  </c:pt>
                  <c:pt idx="2">
                    <c:v>0.104345608997837</c:v>
                  </c:pt>
                  <c:pt idx="3">
                    <c:v>0.0647676528816888</c:v>
                  </c:pt>
                  <c:pt idx="4">
                    <c:v>0.087291471729133</c:v>
                  </c:pt>
                  <c:pt idx="5">
                    <c:v>0.114832054909521</c:v>
                  </c:pt>
                  <c:pt idx="6">
                    <c:v>0.0254234364613474</c:v>
                  </c:pt>
                  <c:pt idx="7">
                    <c:v>0.0386509922560914</c:v>
                  </c:pt>
                  <c:pt idx="8">
                    <c:v>0.00439079898010828</c:v>
                  </c:pt>
                  <c:pt idx="9">
                    <c:v>0.00455169525507494</c:v>
                  </c:pt>
                  <c:pt idx="10">
                    <c:v>0.0447874884530176</c:v>
                  </c:pt>
                  <c:pt idx="11">
                    <c:v>0.035612500981434</c:v>
                  </c:pt>
                  <c:pt idx="12">
                    <c:v>0.0277502822836834</c:v>
                  </c:pt>
                  <c:pt idx="13">
                    <c:v>0.0699917011002281</c:v>
                  </c:pt>
                  <c:pt idx="14">
                    <c:v>0.0904259597026351</c:v>
                  </c:pt>
                  <c:pt idx="15">
                    <c:v>0.0469825610806204</c:v>
                  </c:pt>
                  <c:pt idx="16">
                    <c:v>0.0738447424219284</c:v>
                  </c:pt>
                </c:numCache>
              </c:numRef>
            </c:minus>
          </c:errBars>
          <c:xVal>
            <c:numRef>
              <c:f>'Determination cell counts FP'!$D$4:$D$20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FP'!$R$4:$R$20</c:f>
              <c:numCache>
                <c:formatCode>0.00</c:formatCode>
                <c:ptCount val="17"/>
                <c:pt idx="0">
                  <c:v>7.01973070797938</c:v>
                </c:pt>
                <c:pt idx="1">
                  <c:v>7.31663621026941</c:v>
                </c:pt>
                <c:pt idx="2">
                  <c:v>7.634317700366401</c:v>
                </c:pt>
                <c:pt idx="3">
                  <c:v>8.036323630149434</c:v>
                </c:pt>
                <c:pt idx="4">
                  <c:v>8.323430158509806</c:v>
                </c:pt>
                <c:pt idx="5">
                  <c:v>8.679449777810772</c:v>
                </c:pt>
                <c:pt idx="6">
                  <c:v>9.107121811095396</c:v>
                </c:pt>
                <c:pt idx="7">
                  <c:v>9.302940429496235</c:v>
                </c:pt>
                <c:pt idx="8">
                  <c:v>9.424660336572504</c:v>
                </c:pt>
                <c:pt idx="9">
                  <c:v>9.40373565960936</c:v>
                </c:pt>
                <c:pt idx="10">
                  <c:v>9.381842901712058</c:v>
                </c:pt>
                <c:pt idx="11">
                  <c:v>9.400832266837182</c:v>
                </c:pt>
                <c:pt idx="12">
                  <c:v>9.413949450037515</c:v>
                </c:pt>
                <c:pt idx="13">
                  <c:v>9.392567387112448</c:v>
                </c:pt>
                <c:pt idx="14">
                  <c:v>9.412720018716317</c:v>
                </c:pt>
                <c:pt idx="15">
                  <c:v>9.26318483442249</c:v>
                </c:pt>
                <c:pt idx="16">
                  <c:v>9.110280162343074</c:v>
                </c:pt>
              </c:numCache>
            </c:numRef>
          </c:yVal>
          <c:smooth val="0"/>
        </c:ser>
        <c:ser>
          <c:idx val="7"/>
          <c:order val="10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0.00952853806968096</c:v>
                  </c:pt>
                  <c:pt idx="1">
                    <c:v>0.0421716266560564</c:v>
                  </c:pt>
                  <c:pt idx="2">
                    <c:v>0.0318130493563804</c:v>
                  </c:pt>
                  <c:pt idx="3">
                    <c:v>0.0824434448152282</c:v>
                  </c:pt>
                  <c:pt idx="4">
                    <c:v>0.0719516558310117</c:v>
                  </c:pt>
                  <c:pt idx="5">
                    <c:v>0.156069669798748</c:v>
                  </c:pt>
                  <c:pt idx="6">
                    <c:v>0.0885882985344616</c:v>
                  </c:pt>
                  <c:pt idx="7">
                    <c:v>0.0917064400878824</c:v>
                  </c:pt>
                  <c:pt idx="8">
                    <c:v>0.0559778857506647</c:v>
                  </c:pt>
                  <c:pt idx="9">
                    <c:v>0.0350303025968751</c:v>
                  </c:pt>
                  <c:pt idx="10">
                    <c:v>0.0362063362990057</c:v>
                  </c:pt>
                  <c:pt idx="11">
                    <c:v>0.0957284007521306</c:v>
                  </c:pt>
                  <c:pt idx="12">
                    <c:v>0.0869627979563142</c:v>
                  </c:pt>
                  <c:pt idx="13">
                    <c:v>0.0478549291423231</c:v>
                  </c:pt>
                  <c:pt idx="14">
                    <c:v>0.0271571995009619</c:v>
                  </c:pt>
                  <c:pt idx="15">
                    <c:v>0.0261052898471301</c:v>
                  </c:pt>
                  <c:pt idx="16">
                    <c:v>0.0641807299136037</c:v>
                  </c:pt>
                </c:numCache>
              </c:numRef>
            </c:plus>
            <c:min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0.00952853806968096</c:v>
                  </c:pt>
                  <c:pt idx="1">
                    <c:v>0.0421716266560564</c:v>
                  </c:pt>
                  <c:pt idx="2">
                    <c:v>0.0318130493563804</c:v>
                  </c:pt>
                  <c:pt idx="3">
                    <c:v>0.0824434448152282</c:v>
                  </c:pt>
                  <c:pt idx="4">
                    <c:v>0.0719516558310117</c:v>
                  </c:pt>
                  <c:pt idx="5">
                    <c:v>0.156069669798748</c:v>
                  </c:pt>
                  <c:pt idx="6">
                    <c:v>0.0885882985344616</c:v>
                  </c:pt>
                  <c:pt idx="7">
                    <c:v>0.0917064400878824</c:v>
                  </c:pt>
                  <c:pt idx="8">
                    <c:v>0.0559778857506647</c:v>
                  </c:pt>
                  <c:pt idx="9">
                    <c:v>0.0350303025968751</c:v>
                  </c:pt>
                  <c:pt idx="10">
                    <c:v>0.0362063362990057</c:v>
                  </c:pt>
                  <c:pt idx="11">
                    <c:v>0.0957284007521306</c:v>
                  </c:pt>
                  <c:pt idx="12">
                    <c:v>0.0869627979563142</c:v>
                  </c:pt>
                  <c:pt idx="13">
                    <c:v>0.0478549291423231</c:v>
                  </c:pt>
                  <c:pt idx="14">
                    <c:v>0.0271571995009619</c:v>
                  </c:pt>
                  <c:pt idx="15">
                    <c:v>0.0261052898471301</c:v>
                  </c:pt>
                  <c:pt idx="16">
                    <c:v>0.0641807299136037</c:v>
                  </c:pt>
                </c:numCache>
              </c:numRef>
            </c:minus>
          </c:errBars>
          <c:xVal>
            <c:numRef>
              <c:f>'Determination cell counts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BH'!$R$4:$R$20</c:f>
              <c:numCache>
                <c:formatCode>0.00</c:formatCode>
                <c:ptCount val="17"/>
                <c:pt idx="0">
                  <c:v>7.588224682563937</c:v>
                </c:pt>
                <c:pt idx="1">
                  <c:v>7.790487558296473</c:v>
                </c:pt>
                <c:pt idx="2">
                  <c:v>8.136731023288353</c:v>
                </c:pt>
                <c:pt idx="3">
                  <c:v>8.317767743054478</c:v>
                </c:pt>
                <c:pt idx="4">
                  <c:v>8.62892472253842</c:v>
                </c:pt>
                <c:pt idx="5">
                  <c:v>8.78638567236678</c:v>
                </c:pt>
                <c:pt idx="6">
                  <c:v>9.125053453863558</c:v>
                </c:pt>
                <c:pt idx="7">
                  <c:v>9.130920561582743</c:v>
                </c:pt>
                <c:pt idx="8">
                  <c:v>9.232983625609027</c:v>
                </c:pt>
                <c:pt idx="9">
                  <c:v>9.314181785313464</c:v>
                </c:pt>
                <c:pt idx="10">
                  <c:v>9.626445912953693</c:v>
                </c:pt>
                <c:pt idx="11">
                  <c:v>9.78070868791205</c:v>
                </c:pt>
                <c:pt idx="12">
                  <c:v>9.798400297560023</c:v>
                </c:pt>
                <c:pt idx="13">
                  <c:v>9.84227928642761</c:v>
                </c:pt>
                <c:pt idx="14">
                  <c:v>10.00983809559268</c:v>
                </c:pt>
                <c:pt idx="15">
                  <c:v>9.907269444363321</c:v>
                </c:pt>
                <c:pt idx="16">
                  <c:v>9.594832509072626</c:v>
                </c:pt>
              </c:numCache>
            </c:numRef>
          </c:yVal>
          <c:smooth val="0"/>
        </c:ser>
        <c:ser>
          <c:idx val="11"/>
          <c:order val="11"/>
          <c:tx>
            <c:v>qPCR Total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count'!$D$5:$D$21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7.692058651939684</c:v>
                </c:pt>
                <c:pt idx="1">
                  <c:v>7.91624608258923</c:v>
                </c:pt>
                <c:pt idx="2">
                  <c:v>8.255483485851494</c:v>
                </c:pt>
                <c:pt idx="3">
                  <c:v>8.5004862588885</c:v>
                </c:pt>
                <c:pt idx="4">
                  <c:v>8.803532885852744</c:v>
                </c:pt>
                <c:pt idx="5">
                  <c:v>9.037230779387924</c:v>
                </c:pt>
                <c:pt idx="6">
                  <c:v>9.417210169318897</c:v>
                </c:pt>
                <c:pt idx="7">
                  <c:v>9.526422318597672</c:v>
                </c:pt>
                <c:pt idx="8">
                  <c:v>9.640341859194526</c:v>
                </c:pt>
                <c:pt idx="9">
                  <c:v>9.662292951794926</c:v>
                </c:pt>
                <c:pt idx="10">
                  <c:v>9.822172133069368</c:v>
                </c:pt>
                <c:pt idx="11">
                  <c:v>9.932074866699002</c:v>
                </c:pt>
                <c:pt idx="12">
                  <c:v>9.948425320495339</c:v>
                </c:pt>
                <c:pt idx="13">
                  <c:v>9.974234235870756</c:v>
                </c:pt>
                <c:pt idx="14">
                  <c:v>10.10774100052561</c:v>
                </c:pt>
                <c:pt idx="15">
                  <c:v>9.996093572338585</c:v>
                </c:pt>
                <c:pt idx="16">
                  <c:v>9.717925359086971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40840"/>
        <c:axId val="-2079763848"/>
      </c:scatterChart>
      <c:valAx>
        <c:axId val="-208035527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80347608"/>
        <c:crosses val="autoZero"/>
        <c:crossBetween val="midCat"/>
        <c:majorUnit val="6.0"/>
      </c:valAx>
      <c:valAx>
        <c:axId val="-20803476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80355272"/>
        <c:crosses val="autoZero"/>
        <c:crossBetween val="midCat"/>
      </c:valAx>
      <c:valAx>
        <c:axId val="-2079763848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79440840"/>
        <c:crosses val="max"/>
        <c:crossBetween val="midCat"/>
        <c:majorUnit val="1.0"/>
        <c:minorUnit val="0.2"/>
      </c:valAx>
      <c:valAx>
        <c:axId val="-207944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7976384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0.0256372233210313</c:v>
                  </c:pt>
                  <c:pt idx="1">
                    <c:v>0.0339148586068372</c:v>
                  </c:pt>
                  <c:pt idx="2">
                    <c:v>0.0128271688111569</c:v>
                  </c:pt>
                  <c:pt idx="3">
                    <c:v>0.0222784706807005</c:v>
                  </c:pt>
                  <c:pt idx="4">
                    <c:v>0.0258526746670194</c:v>
                  </c:pt>
                  <c:pt idx="5">
                    <c:v>1.92352468854787E-16</c:v>
                  </c:pt>
                  <c:pt idx="6">
                    <c:v>0.0131763323745244</c:v>
                  </c:pt>
                  <c:pt idx="7">
                    <c:v>0.0351587961608977</c:v>
                  </c:pt>
                  <c:pt idx="8">
                    <c:v>0.0133418884759523</c:v>
                  </c:pt>
                  <c:pt idx="9">
                    <c:v>0.0267502095916188</c:v>
                  </c:pt>
                  <c:pt idx="10">
                    <c:v>0.0354792752929789</c:v>
                  </c:pt>
                  <c:pt idx="11">
                    <c:v>0.0134463125723592</c:v>
                  </c:pt>
                  <c:pt idx="12">
                    <c:v>0.0673579379799575</c:v>
                  </c:pt>
                  <c:pt idx="13">
                    <c:v>0.0588363159506392</c:v>
                  </c:pt>
                  <c:pt idx="14">
                    <c:v>0.0135532395564146</c:v>
                  </c:pt>
                  <c:pt idx="15">
                    <c:v>0.0846399539016231</c:v>
                  </c:pt>
                  <c:pt idx="16">
                    <c:v>0.130702708962137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0.0256372233210313</c:v>
                  </c:pt>
                  <c:pt idx="1">
                    <c:v>0.0339148586068372</c:v>
                  </c:pt>
                  <c:pt idx="2">
                    <c:v>0.0128271688111569</c:v>
                  </c:pt>
                  <c:pt idx="3">
                    <c:v>0.0222784706807005</c:v>
                  </c:pt>
                  <c:pt idx="4">
                    <c:v>0.0258526746670194</c:v>
                  </c:pt>
                  <c:pt idx="5">
                    <c:v>1.92352468854787E-16</c:v>
                  </c:pt>
                  <c:pt idx="6">
                    <c:v>0.0131763323745244</c:v>
                  </c:pt>
                  <c:pt idx="7">
                    <c:v>0.0351587961608977</c:v>
                  </c:pt>
                  <c:pt idx="8">
                    <c:v>0.0133418884759523</c:v>
                  </c:pt>
                  <c:pt idx="9">
                    <c:v>0.0267502095916188</c:v>
                  </c:pt>
                  <c:pt idx="10">
                    <c:v>0.0354792752929789</c:v>
                  </c:pt>
                  <c:pt idx="11">
                    <c:v>0.0134463125723592</c:v>
                  </c:pt>
                  <c:pt idx="12">
                    <c:v>0.0673579379799575</c:v>
                  </c:pt>
                  <c:pt idx="13">
                    <c:v>0.0588363159506392</c:v>
                  </c:pt>
                  <c:pt idx="14">
                    <c:v>0.0135532395564146</c:v>
                  </c:pt>
                  <c:pt idx="15">
                    <c:v>0.0846399539016231</c:v>
                  </c:pt>
                  <c:pt idx="16">
                    <c:v>0.130702708962137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0.947306098283008</c:v>
                </c:pt>
                <c:pt idx="1">
                  <c:v>0.984310242747188</c:v>
                </c:pt>
                <c:pt idx="2">
                  <c:v>1.029401941882644</c:v>
                </c:pt>
                <c:pt idx="3">
                  <c:v>1.069366592673624</c:v>
                </c:pt>
                <c:pt idx="4">
                  <c:v>1.089601553514109</c:v>
                </c:pt>
                <c:pt idx="5">
                  <c:v>1.086433442525504</c:v>
                </c:pt>
                <c:pt idx="6">
                  <c:v>1.156318574591281</c:v>
                </c:pt>
                <c:pt idx="7">
                  <c:v>1.181530861506137</c:v>
                </c:pt>
                <c:pt idx="8">
                  <c:v>1.217064978688062</c:v>
                </c:pt>
                <c:pt idx="9">
                  <c:v>1.490369228379902</c:v>
                </c:pt>
                <c:pt idx="10">
                  <c:v>2.446539182085321</c:v>
                </c:pt>
                <c:pt idx="11">
                  <c:v>3.811747001980391</c:v>
                </c:pt>
                <c:pt idx="12">
                  <c:v>5.148919967921739</c:v>
                </c:pt>
                <c:pt idx="13">
                  <c:v>5.720106351738877</c:v>
                </c:pt>
                <c:pt idx="14">
                  <c:v>5.524426353438935</c:v>
                </c:pt>
                <c:pt idx="15">
                  <c:v>5.258377492225162</c:v>
                </c:pt>
                <c:pt idx="16">
                  <c:v>5.986099377309894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0.264354835410283</c:v>
                  </c:pt>
                  <c:pt idx="1">
                    <c:v>0.272617910803412</c:v>
                  </c:pt>
                  <c:pt idx="2">
                    <c:v>0.300566856479481</c:v>
                  </c:pt>
                  <c:pt idx="3">
                    <c:v>0.120495940841082</c:v>
                  </c:pt>
                  <c:pt idx="4">
                    <c:v>0.051302658537575</c:v>
                  </c:pt>
                  <c:pt idx="5">
                    <c:v>0.326254500419833</c:v>
                  </c:pt>
                  <c:pt idx="6">
                    <c:v>0.381225003549695</c:v>
                  </c:pt>
                  <c:pt idx="7">
                    <c:v>0.732703079178522</c:v>
                  </c:pt>
                  <c:pt idx="8">
                    <c:v>1.664409416436655</c:v>
                  </c:pt>
                  <c:pt idx="9">
                    <c:v>0.56500091727172</c:v>
                  </c:pt>
                  <c:pt idx="10">
                    <c:v>1.087937686799733</c:v>
                  </c:pt>
                  <c:pt idx="11">
                    <c:v>0.665629418902545</c:v>
                  </c:pt>
                  <c:pt idx="12">
                    <c:v>1.764168754475265</c:v>
                  </c:pt>
                  <c:pt idx="13">
                    <c:v>1.454624728557383</c:v>
                  </c:pt>
                  <c:pt idx="14">
                    <c:v>0.193945262953675</c:v>
                  </c:pt>
                  <c:pt idx="15">
                    <c:v>1.426215535836151</c:v>
                  </c:pt>
                  <c:pt idx="16">
                    <c:v>2.130683644708787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0.264354835410283</c:v>
                  </c:pt>
                  <c:pt idx="1">
                    <c:v>0.272617910803412</c:v>
                  </c:pt>
                  <c:pt idx="2">
                    <c:v>0.300566856479481</c:v>
                  </c:pt>
                  <c:pt idx="3">
                    <c:v>0.120495940841082</c:v>
                  </c:pt>
                  <c:pt idx="4">
                    <c:v>0.051302658537575</c:v>
                  </c:pt>
                  <c:pt idx="5">
                    <c:v>0.326254500419833</c:v>
                  </c:pt>
                  <c:pt idx="6">
                    <c:v>0.381225003549695</c:v>
                  </c:pt>
                  <c:pt idx="7">
                    <c:v>0.732703079178522</c:v>
                  </c:pt>
                  <c:pt idx="8">
                    <c:v>1.664409416436655</c:v>
                  </c:pt>
                  <c:pt idx="9">
                    <c:v>0.56500091727172</c:v>
                  </c:pt>
                  <c:pt idx="10">
                    <c:v>1.087937686799733</c:v>
                  </c:pt>
                  <c:pt idx="11">
                    <c:v>0.665629418902545</c:v>
                  </c:pt>
                  <c:pt idx="12">
                    <c:v>1.764168754475265</c:v>
                  </c:pt>
                  <c:pt idx="13">
                    <c:v>1.454624728557383</c:v>
                  </c:pt>
                  <c:pt idx="14">
                    <c:v>0.193945262953675</c:v>
                  </c:pt>
                  <c:pt idx="15">
                    <c:v>1.426215535836151</c:v>
                  </c:pt>
                  <c:pt idx="16">
                    <c:v>2.130683644708787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47.92672772689426</c:v>
                </c:pt>
                <c:pt idx="1">
                  <c:v>48.1931723563697</c:v>
                </c:pt>
                <c:pt idx="2">
                  <c:v>48.30310892828887</c:v>
                </c:pt>
                <c:pt idx="3">
                  <c:v>48.2578461048605</c:v>
                </c:pt>
                <c:pt idx="4">
                  <c:v>47.9152758529488</c:v>
                </c:pt>
                <c:pt idx="5">
                  <c:v>49.0167128112201</c:v>
                </c:pt>
                <c:pt idx="6">
                  <c:v>49.74347817731241</c:v>
                </c:pt>
                <c:pt idx="7">
                  <c:v>53.74729295077565</c:v>
                </c:pt>
                <c:pt idx="8">
                  <c:v>56.86242925747168</c:v>
                </c:pt>
                <c:pt idx="9">
                  <c:v>63.29401163496825</c:v>
                </c:pt>
                <c:pt idx="10">
                  <c:v>67.00095571695717</c:v>
                </c:pt>
                <c:pt idx="11">
                  <c:v>71.89928410640972</c:v>
                </c:pt>
                <c:pt idx="12">
                  <c:v>74.92794454224012</c:v>
                </c:pt>
                <c:pt idx="13">
                  <c:v>78.58179004024115</c:v>
                </c:pt>
                <c:pt idx="14">
                  <c:v>80.31208907424753</c:v>
                </c:pt>
                <c:pt idx="15">
                  <c:v>78.50442147450561</c:v>
                </c:pt>
                <c:pt idx="16">
                  <c:v>80.992898949475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0.0434499239626331</c:v>
                  </c:pt>
                  <c:pt idx="1">
                    <c:v>0.0663708551662805</c:v>
                  </c:pt>
                  <c:pt idx="2">
                    <c:v>0.0</c:v>
                  </c:pt>
                  <c:pt idx="3">
                    <c:v>0.0503433540082891</c:v>
                  </c:pt>
                  <c:pt idx="4">
                    <c:v>0.087630141099656</c:v>
                  </c:pt>
                  <c:pt idx="5">
                    <c:v>0.0255734112970363</c:v>
                  </c:pt>
                  <c:pt idx="6">
                    <c:v>0.0893249058387401</c:v>
                  </c:pt>
                  <c:pt idx="7">
                    <c:v>0.281297135617174</c:v>
                  </c:pt>
                  <c:pt idx="8">
                    <c:v>0.326112171183666</c:v>
                  </c:pt>
                  <c:pt idx="9">
                    <c:v>0.0692522066153909</c:v>
                  </c:pt>
                  <c:pt idx="10">
                    <c:v>0.189240808436017</c:v>
                  </c:pt>
                  <c:pt idx="11">
                    <c:v>0.0789426788953805</c:v>
                  </c:pt>
                  <c:pt idx="12">
                    <c:v>0.488262355558565</c:v>
                  </c:pt>
                  <c:pt idx="13">
                    <c:v>0.158491992046041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0.0434499239626331</c:v>
                  </c:pt>
                  <c:pt idx="1">
                    <c:v>0.0663708551662805</c:v>
                  </c:pt>
                  <c:pt idx="2">
                    <c:v>0.0</c:v>
                  </c:pt>
                  <c:pt idx="3">
                    <c:v>0.0503433540082891</c:v>
                  </c:pt>
                  <c:pt idx="4">
                    <c:v>0.087630141099656</c:v>
                  </c:pt>
                  <c:pt idx="5">
                    <c:v>0.0255734112970363</c:v>
                  </c:pt>
                  <c:pt idx="6">
                    <c:v>0.0893249058387401</c:v>
                  </c:pt>
                  <c:pt idx="7">
                    <c:v>0.281297135617174</c:v>
                  </c:pt>
                  <c:pt idx="8">
                    <c:v>0.326112171183666</c:v>
                  </c:pt>
                  <c:pt idx="9">
                    <c:v>0.0692522066153909</c:v>
                  </c:pt>
                  <c:pt idx="10">
                    <c:v>0.189240808436017</c:v>
                  </c:pt>
                  <c:pt idx="11">
                    <c:v>0.0789426788953805</c:v>
                  </c:pt>
                  <c:pt idx="12">
                    <c:v>0.488262355558565</c:v>
                  </c:pt>
                  <c:pt idx="13">
                    <c:v>0.158491992046041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1.216597870953726</c:v>
                </c:pt>
                <c:pt idx="1">
                  <c:v>1.274531102903903</c:v>
                </c:pt>
                <c:pt idx="2">
                  <c:v>1.478283594579143</c:v>
                </c:pt>
                <c:pt idx="3">
                  <c:v>2.543253036502011</c:v>
                </c:pt>
                <c:pt idx="4">
                  <c:v>4.819657760481074</c:v>
                </c:pt>
                <c:pt idx="5">
                  <c:v>10.12866370495848</c:v>
                </c:pt>
                <c:pt idx="6">
                  <c:v>13.04143625245605</c:v>
                </c:pt>
                <c:pt idx="7">
                  <c:v>13.60316448110526</c:v>
                </c:pt>
                <c:pt idx="8">
                  <c:v>13.38619191567908</c:v>
                </c:pt>
                <c:pt idx="9">
                  <c:v>10.94113898538148</c:v>
                </c:pt>
                <c:pt idx="10">
                  <c:v>7.666603663698711</c:v>
                </c:pt>
                <c:pt idx="11">
                  <c:v>5.469309229295767</c:v>
                </c:pt>
                <c:pt idx="12">
                  <c:v>3.637838840811924</c:v>
                </c:pt>
                <c:pt idx="13">
                  <c:v>1.509839005491004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0.0254763297688261</c:v>
                </c:pt>
                <c:pt idx="2">
                  <c:v>0.0833675136697121</c:v>
                </c:pt>
                <c:pt idx="3">
                  <c:v>0.151401606191168</c:v>
                </c:pt>
                <c:pt idx="4">
                  <c:v>0.23350467480658</c:v>
                </c:pt>
                <c:pt idx="5">
                  <c:v>0.340494226202489</c:v>
                </c:pt>
                <c:pt idx="6">
                  <c:v>0.475716114464219</c:v>
                </c:pt>
                <c:pt idx="7">
                  <c:v>0.656185132038749</c:v>
                </c:pt>
                <c:pt idx="8">
                  <c:v>0.9039349381518</c:v>
                </c:pt>
                <c:pt idx="9">
                  <c:v>1.241976473475309</c:v>
                </c:pt>
                <c:pt idx="10">
                  <c:v>1.713868391810298</c:v>
                </c:pt>
                <c:pt idx="11">
                  <c:v>2.361340947546462</c:v>
                </c:pt>
                <c:pt idx="12">
                  <c:v>3.219356986581911</c:v>
                </c:pt>
                <c:pt idx="13">
                  <c:v>4.320040594232288</c:v>
                </c:pt>
                <c:pt idx="14">
                  <c:v>5.686501301897687</c:v>
                </c:pt>
                <c:pt idx="15">
                  <c:v>7.372474144789641</c:v>
                </c:pt>
                <c:pt idx="16">
                  <c:v>9.385331833055472</c:v>
                </c:pt>
                <c:pt idx="17">
                  <c:v>11.65013772505138</c:v>
                </c:pt>
                <c:pt idx="18">
                  <c:v>14.17214907795365</c:v>
                </c:pt>
                <c:pt idx="19">
                  <c:v>16.92285998979714</c:v>
                </c:pt>
                <c:pt idx="20">
                  <c:v>19.83933045311703</c:v>
                </c:pt>
                <c:pt idx="21">
                  <c:v>22.87587920252427</c:v>
                </c:pt>
                <c:pt idx="22">
                  <c:v>25.93999807906211</c:v>
                </c:pt>
                <c:pt idx="23">
                  <c:v>29.03967225708179</c:v>
                </c:pt>
                <c:pt idx="24">
                  <c:v>32.1126753811253</c:v>
                </c:pt>
                <c:pt idx="25">
                  <c:v>35.03859947716836</c:v>
                </c:pt>
                <c:pt idx="26">
                  <c:v>37.92303946419972</c:v>
                </c:pt>
                <c:pt idx="27">
                  <c:v>40.77235762574448</c:v>
                </c:pt>
                <c:pt idx="28">
                  <c:v>43.57986192756928</c:v>
                </c:pt>
                <c:pt idx="29">
                  <c:v>46.38146264996249</c:v>
                </c:pt>
                <c:pt idx="30">
                  <c:v>49.095202447722</c:v>
                </c:pt>
                <c:pt idx="31">
                  <c:v>51.7606994180215</c:v>
                </c:pt>
                <c:pt idx="32">
                  <c:v>54.3741394769199</c:v>
                </c:pt>
                <c:pt idx="33">
                  <c:v>56.92175415555815</c:v>
                </c:pt>
                <c:pt idx="34">
                  <c:v>59.44881790745127</c:v>
                </c:pt>
                <c:pt idx="35">
                  <c:v>61.91232178209867</c:v>
                </c:pt>
                <c:pt idx="36">
                  <c:v>64.29675927041763</c:v>
                </c:pt>
                <c:pt idx="37">
                  <c:v>66.4714450510359</c:v>
                </c:pt>
                <c:pt idx="38">
                  <c:v>68.31886995446511</c:v>
                </c:pt>
                <c:pt idx="39">
                  <c:v>69.92696056871614</c:v>
                </c:pt>
                <c:pt idx="40">
                  <c:v>71.3412698032514</c:v>
                </c:pt>
                <c:pt idx="41">
                  <c:v>72.551931184347</c:v>
                </c:pt>
                <c:pt idx="42">
                  <c:v>73.55936279152309</c:v>
                </c:pt>
                <c:pt idx="43">
                  <c:v>74.3900401192457</c:v>
                </c:pt>
                <c:pt idx="44">
                  <c:v>75.06734314844657</c:v>
                </c:pt>
                <c:pt idx="45">
                  <c:v>75.6130754364299</c:v>
                </c:pt>
                <c:pt idx="46">
                  <c:v>76.04779644950066</c:v>
                </c:pt>
                <c:pt idx="47">
                  <c:v>76.406233678867</c:v>
                </c:pt>
                <c:pt idx="48">
                  <c:v>76.7274054680006</c:v>
                </c:pt>
                <c:pt idx="49">
                  <c:v>77.01089819549189</c:v>
                </c:pt>
                <c:pt idx="50">
                  <c:v>77.2396462278314</c:v>
                </c:pt>
                <c:pt idx="51">
                  <c:v>77.42019996802164</c:v>
                </c:pt>
                <c:pt idx="52">
                  <c:v>77.56771965971203</c:v>
                </c:pt>
                <c:pt idx="53">
                  <c:v>77.69030931675964</c:v>
                </c:pt>
                <c:pt idx="54">
                  <c:v>77.79432736526163</c:v>
                </c:pt>
                <c:pt idx="55">
                  <c:v>77.8826912070657</c:v>
                </c:pt>
                <c:pt idx="56">
                  <c:v>77.95765171746059</c:v>
                </c:pt>
                <c:pt idx="57">
                  <c:v>78.02335689182749</c:v>
                </c:pt>
                <c:pt idx="58">
                  <c:v>78.0826027982958</c:v>
                </c:pt>
                <c:pt idx="59">
                  <c:v>78.13600527289326</c:v>
                </c:pt>
                <c:pt idx="60">
                  <c:v>78.18371530869148</c:v>
                </c:pt>
                <c:pt idx="61">
                  <c:v>78.22912940807438</c:v>
                </c:pt>
                <c:pt idx="62">
                  <c:v>78.27252352489858</c:v>
                </c:pt>
                <c:pt idx="63">
                  <c:v>78.30960149962131</c:v>
                </c:pt>
                <c:pt idx="64">
                  <c:v>78.34105049026945</c:v>
                </c:pt>
                <c:pt idx="65">
                  <c:v>78.36852865170864</c:v>
                </c:pt>
                <c:pt idx="66">
                  <c:v>78.39207969628157</c:v>
                </c:pt>
                <c:pt idx="67">
                  <c:v>78.40275891301364</c:v>
                </c:pt>
                <c:pt idx="68">
                  <c:v>78.40275891301364</c:v>
                </c:pt>
                <c:pt idx="69">
                  <c:v>78.40275891301364</c:v>
                </c:pt>
                <c:pt idx="70">
                  <c:v>78.40275891301364</c:v>
                </c:pt>
                <c:pt idx="71">
                  <c:v>78.40275891301364</c:v>
                </c:pt>
                <c:pt idx="72">
                  <c:v>78.40275891301364</c:v>
                </c:pt>
                <c:pt idx="73">
                  <c:v>78.40275891301364</c:v>
                </c:pt>
                <c:pt idx="74">
                  <c:v>78.40275891301364</c:v>
                </c:pt>
                <c:pt idx="75">
                  <c:v>78.40275891301364</c:v>
                </c:pt>
                <c:pt idx="76">
                  <c:v>78.40275891301364</c:v>
                </c:pt>
                <c:pt idx="77">
                  <c:v>78.40275891301364</c:v>
                </c:pt>
                <c:pt idx="78">
                  <c:v>78.40275891301364</c:v>
                </c:pt>
                <c:pt idx="79">
                  <c:v>78.40275891301364</c:v>
                </c:pt>
                <c:pt idx="80">
                  <c:v>78.40275891301364</c:v>
                </c:pt>
                <c:pt idx="81">
                  <c:v>78.40275891301364</c:v>
                </c:pt>
                <c:pt idx="82">
                  <c:v>78.40275891301364</c:v>
                </c:pt>
                <c:pt idx="83">
                  <c:v>78.40275891301364</c:v>
                </c:pt>
                <c:pt idx="84">
                  <c:v>78.40275891301364</c:v>
                </c:pt>
                <c:pt idx="85">
                  <c:v>78.40275891301364</c:v>
                </c:pt>
                <c:pt idx="86">
                  <c:v>78.40275891301364</c:v>
                </c:pt>
                <c:pt idx="87">
                  <c:v>78.40275891301364</c:v>
                </c:pt>
                <c:pt idx="88">
                  <c:v>78.40275891301364</c:v>
                </c:pt>
                <c:pt idx="89">
                  <c:v>78.40275891301364</c:v>
                </c:pt>
                <c:pt idx="90">
                  <c:v>78.40275891301364</c:v>
                </c:pt>
                <c:pt idx="91">
                  <c:v>78.40275891301364</c:v>
                </c:pt>
                <c:pt idx="92">
                  <c:v>78.40275891301364</c:v>
                </c:pt>
                <c:pt idx="93">
                  <c:v>78.40275891301364</c:v>
                </c:pt>
                <c:pt idx="94">
                  <c:v>78.40275891301364</c:v>
                </c:pt>
                <c:pt idx="95">
                  <c:v>78.40275891301364</c:v>
                </c:pt>
                <c:pt idx="96">
                  <c:v>78.40275891301364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0.155945141398055</c:v>
                  </c:pt>
                  <c:pt idx="1">
                    <c:v>0.260110446577707</c:v>
                  </c:pt>
                  <c:pt idx="2">
                    <c:v>0.114010370217292</c:v>
                  </c:pt>
                  <c:pt idx="3">
                    <c:v>0.170518857675916</c:v>
                  </c:pt>
                  <c:pt idx="4">
                    <c:v>0.0193895060002653</c:v>
                  </c:pt>
                  <c:pt idx="5">
                    <c:v>0.21242653189961</c:v>
                  </c:pt>
                  <c:pt idx="6">
                    <c:v>0.196433441829709</c:v>
                  </c:pt>
                  <c:pt idx="7">
                    <c:v>0.397387727592367</c:v>
                  </c:pt>
                  <c:pt idx="8">
                    <c:v>0.598417535312699</c:v>
                  </c:pt>
                  <c:pt idx="9">
                    <c:v>0.179570433119914</c:v>
                  </c:pt>
                  <c:pt idx="10">
                    <c:v>0.156241226450369</c:v>
                  </c:pt>
                  <c:pt idx="11">
                    <c:v>0.0232896965497784</c:v>
                  </c:pt>
                  <c:pt idx="12">
                    <c:v>0.0816671596120516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0.155945141398055</c:v>
                  </c:pt>
                  <c:pt idx="1">
                    <c:v>0.260110446577707</c:v>
                  </c:pt>
                  <c:pt idx="2">
                    <c:v>0.114010370217292</c:v>
                  </c:pt>
                  <c:pt idx="3">
                    <c:v>0.170518857675916</c:v>
                  </c:pt>
                  <c:pt idx="4">
                    <c:v>0.0193895060002653</c:v>
                  </c:pt>
                  <c:pt idx="5">
                    <c:v>0.21242653189961</c:v>
                  </c:pt>
                  <c:pt idx="6">
                    <c:v>0.196433441829709</c:v>
                  </c:pt>
                  <c:pt idx="7">
                    <c:v>0.397387727592367</c:v>
                  </c:pt>
                  <c:pt idx="8">
                    <c:v>0.598417535312699</c:v>
                  </c:pt>
                  <c:pt idx="9">
                    <c:v>0.179570433119914</c:v>
                  </c:pt>
                  <c:pt idx="10">
                    <c:v>0.156241226450369</c:v>
                  </c:pt>
                  <c:pt idx="11">
                    <c:v>0.0232896965497784</c:v>
                  </c:pt>
                  <c:pt idx="12">
                    <c:v>0.0816671596120516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48.5827412670219</c:v>
                </c:pt>
                <c:pt idx="1">
                  <c:v>48.65674955595028</c:v>
                </c:pt>
                <c:pt idx="2">
                  <c:v>48.12639222535514</c:v>
                </c:pt>
                <c:pt idx="3">
                  <c:v>46.42090674168629</c:v>
                </c:pt>
                <c:pt idx="4">
                  <c:v>43.266883606151</c:v>
                </c:pt>
                <c:pt idx="5">
                  <c:v>37.22543475986691</c:v>
                </c:pt>
                <c:pt idx="6">
                  <c:v>30.12894549124189</c:v>
                </c:pt>
                <c:pt idx="7">
                  <c:v>22.46826706442027</c:v>
                </c:pt>
                <c:pt idx="8">
                  <c:v>17.6050760050099</c:v>
                </c:pt>
                <c:pt idx="9">
                  <c:v>14.56778004838696</c:v>
                </c:pt>
                <c:pt idx="10">
                  <c:v>10.2429472718319</c:v>
                </c:pt>
                <c:pt idx="11">
                  <c:v>6.590984123587275</c:v>
                </c:pt>
                <c:pt idx="12">
                  <c:v>2.765016689722323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0.0226988991033935</c:v>
                  </c:pt>
                  <c:pt idx="1">
                    <c:v>0.0524208620306095</c:v>
                  </c:pt>
                  <c:pt idx="2">
                    <c:v>0.0131139639826241</c:v>
                  </c:pt>
                  <c:pt idx="3">
                    <c:v>0.034791803676676</c:v>
                  </c:pt>
                  <c:pt idx="4">
                    <c:v>0.034964528943156</c:v>
                  </c:pt>
                  <c:pt idx="5">
                    <c:v>0.0481699408749444</c:v>
                  </c:pt>
                  <c:pt idx="6">
                    <c:v>0.0971402886224331</c:v>
                  </c:pt>
                  <c:pt idx="7">
                    <c:v>0.329440368974132</c:v>
                  </c:pt>
                  <c:pt idx="8">
                    <c:v>0.856512826243024</c:v>
                  </c:pt>
                  <c:pt idx="9">
                    <c:v>0.314505471798319</c:v>
                  </c:pt>
                  <c:pt idx="10">
                    <c:v>0.477484520646035</c:v>
                  </c:pt>
                  <c:pt idx="11">
                    <c:v>0.0991306721065896</c:v>
                  </c:pt>
                  <c:pt idx="12">
                    <c:v>0.714594194184896</c:v>
                  </c:pt>
                  <c:pt idx="13">
                    <c:v>0.552508047943502</c:v>
                  </c:pt>
                  <c:pt idx="14">
                    <c:v>0.123157208498704</c:v>
                  </c:pt>
                  <c:pt idx="15">
                    <c:v>0.717722609121884</c:v>
                  </c:pt>
                  <c:pt idx="16">
                    <c:v>0.805453340071447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0.0226988991033935</c:v>
                  </c:pt>
                  <c:pt idx="1">
                    <c:v>0.0524208620306095</c:v>
                  </c:pt>
                  <c:pt idx="2">
                    <c:v>0.0131139639826241</c:v>
                  </c:pt>
                  <c:pt idx="3">
                    <c:v>0.034791803676676</c:v>
                  </c:pt>
                  <c:pt idx="4">
                    <c:v>0.034964528943156</c:v>
                  </c:pt>
                  <c:pt idx="5">
                    <c:v>0.0481699408749444</c:v>
                  </c:pt>
                  <c:pt idx="6">
                    <c:v>0.0971402886224331</c:v>
                  </c:pt>
                  <c:pt idx="7">
                    <c:v>0.329440368974132</c:v>
                  </c:pt>
                  <c:pt idx="8">
                    <c:v>0.856512826243024</c:v>
                  </c:pt>
                  <c:pt idx="9">
                    <c:v>0.314505471798319</c:v>
                  </c:pt>
                  <c:pt idx="10">
                    <c:v>0.477484520646035</c:v>
                  </c:pt>
                  <c:pt idx="11">
                    <c:v>0.0991306721065896</c:v>
                  </c:pt>
                  <c:pt idx="12">
                    <c:v>0.714594194184896</c:v>
                  </c:pt>
                  <c:pt idx="13">
                    <c:v>0.552508047943502</c:v>
                  </c:pt>
                  <c:pt idx="14">
                    <c:v>0.123157208498704</c:v>
                  </c:pt>
                  <c:pt idx="15">
                    <c:v>0.717722609121884</c:v>
                  </c:pt>
                  <c:pt idx="16">
                    <c:v>0.805453340071447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0.680966973101804</c:v>
                </c:pt>
                <c:pt idx="1">
                  <c:v>0.832292967124428</c:v>
                </c:pt>
                <c:pt idx="2">
                  <c:v>1.302272309307908</c:v>
                </c:pt>
                <c:pt idx="3">
                  <c:v>2.831888360444247</c:v>
                </c:pt>
                <c:pt idx="4">
                  <c:v>6.485402878210166</c:v>
                </c:pt>
                <c:pt idx="5">
                  <c:v>13.48295974970641</c:v>
                </c:pt>
                <c:pt idx="6">
                  <c:v>20.17469891513296</c:v>
                </c:pt>
                <c:pt idx="7">
                  <c:v>25.24925113637455</c:v>
                </c:pt>
                <c:pt idx="8">
                  <c:v>26.99607762481853</c:v>
                </c:pt>
                <c:pt idx="9">
                  <c:v>28.54750542593901</c:v>
                </c:pt>
                <c:pt idx="10">
                  <c:v>28.89090416166346</c:v>
                </c:pt>
                <c:pt idx="11">
                  <c:v>29.96937853066407</c:v>
                </c:pt>
                <c:pt idx="12">
                  <c:v>30.32787748233941</c:v>
                </c:pt>
                <c:pt idx="13">
                  <c:v>31.03263703905642</c:v>
                </c:pt>
                <c:pt idx="14">
                  <c:v>31.20768932288889</c:v>
                </c:pt>
                <c:pt idx="15">
                  <c:v>31.21568924324852</c:v>
                </c:pt>
                <c:pt idx="16">
                  <c:v>32.67967466905951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5.50435181339978E-5</c:v>
                </c:pt>
                <c:pt idx="1">
                  <c:v>0.0276044763981174</c:v>
                </c:pt>
                <c:pt idx="2">
                  <c:v>0.0878695260589701</c:v>
                </c:pt>
                <c:pt idx="3">
                  <c:v>0.181425260416667</c:v>
                </c:pt>
                <c:pt idx="4">
                  <c:v>0.361254519877324</c:v>
                </c:pt>
                <c:pt idx="5">
                  <c:v>0.646689045673624</c:v>
                </c:pt>
                <c:pt idx="6">
                  <c:v>1.053072162150355</c:v>
                </c:pt>
                <c:pt idx="7">
                  <c:v>1.633920268593306</c:v>
                </c:pt>
                <c:pt idx="8">
                  <c:v>2.449719820819457</c:v>
                </c:pt>
                <c:pt idx="9">
                  <c:v>3.505260934981899</c:v>
                </c:pt>
                <c:pt idx="10">
                  <c:v>4.815954264085313</c:v>
                </c:pt>
                <c:pt idx="11">
                  <c:v>6.150932231893455</c:v>
                </c:pt>
                <c:pt idx="12">
                  <c:v>7.675379530713625</c:v>
                </c:pt>
                <c:pt idx="13">
                  <c:v>9.763018023543104</c:v>
                </c:pt>
                <c:pt idx="14">
                  <c:v>12.35198822615382</c:v>
                </c:pt>
                <c:pt idx="15">
                  <c:v>15.12373148922747</c:v>
                </c:pt>
                <c:pt idx="16">
                  <c:v>17.64048051038768</c:v>
                </c:pt>
                <c:pt idx="17">
                  <c:v>20.07734499212908</c:v>
                </c:pt>
                <c:pt idx="18">
                  <c:v>22.73542498665888</c:v>
                </c:pt>
                <c:pt idx="19">
                  <c:v>25.55774050745611</c:v>
                </c:pt>
                <c:pt idx="20">
                  <c:v>28.70735813080652</c:v>
                </c:pt>
                <c:pt idx="21">
                  <c:v>32.1478250615706</c:v>
                </c:pt>
                <c:pt idx="22">
                  <c:v>35.55897535013942</c:v>
                </c:pt>
                <c:pt idx="23">
                  <c:v>38.82410400892974</c:v>
                </c:pt>
                <c:pt idx="24">
                  <c:v>41.76515189784516</c:v>
                </c:pt>
                <c:pt idx="25">
                  <c:v>44.44874480221826</c:v>
                </c:pt>
                <c:pt idx="26">
                  <c:v>47.00655916243844</c:v>
                </c:pt>
                <c:pt idx="27">
                  <c:v>49.7391252038497</c:v>
                </c:pt>
                <c:pt idx="28">
                  <c:v>52.62808870105193</c:v>
                </c:pt>
                <c:pt idx="29">
                  <c:v>55.22958587790131</c:v>
                </c:pt>
                <c:pt idx="30">
                  <c:v>57.72477106853722</c:v>
                </c:pt>
                <c:pt idx="31">
                  <c:v>60.54925561768287</c:v>
                </c:pt>
                <c:pt idx="32">
                  <c:v>63.47401382180904</c:v>
                </c:pt>
                <c:pt idx="33">
                  <c:v>66.11677994342867</c:v>
                </c:pt>
                <c:pt idx="34">
                  <c:v>69.07582079025174</c:v>
                </c:pt>
                <c:pt idx="35">
                  <c:v>72.03967708364051</c:v>
                </c:pt>
                <c:pt idx="36">
                  <c:v>74.421864204951</c:v>
                </c:pt>
                <c:pt idx="37">
                  <c:v>76.36046443809908</c:v>
                </c:pt>
                <c:pt idx="38">
                  <c:v>77.81366115654342</c:v>
                </c:pt>
                <c:pt idx="39">
                  <c:v>78.918979183017</c:v>
                </c:pt>
                <c:pt idx="40">
                  <c:v>79.73681680159341</c:v>
                </c:pt>
                <c:pt idx="41">
                  <c:v>80.30576518739556</c:v>
                </c:pt>
                <c:pt idx="42">
                  <c:v>80.65460789767729</c:v>
                </c:pt>
                <c:pt idx="43">
                  <c:v>80.83361087668564</c:v>
                </c:pt>
                <c:pt idx="44">
                  <c:v>80.9074394579654</c:v>
                </c:pt>
                <c:pt idx="45">
                  <c:v>80.9428189299786</c:v>
                </c:pt>
                <c:pt idx="46">
                  <c:v>80.96756375788743</c:v>
                </c:pt>
                <c:pt idx="47">
                  <c:v>80.99102999308907</c:v>
                </c:pt>
                <c:pt idx="48">
                  <c:v>81.01574714333242</c:v>
                </c:pt>
                <c:pt idx="49">
                  <c:v>81.04438729344876</c:v>
                </c:pt>
                <c:pt idx="50">
                  <c:v>81.07297891007781</c:v>
                </c:pt>
                <c:pt idx="51">
                  <c:v>81.0979628708176</c:v>
                </c:pt>
                <c:pt idx="52">
                  <c:v>81.12460236273526</c:v>
                </c:pt>
                <c:pt idx="53">
                  <c:v>81.15231498398322</c:v>
                </c:pt>
                <c:pt idx="54">
                  <c:v>81.17954227035818</c:v>
                </c:pt>
                <c:pt idx="55">
                  <c:v>81.20501695858067</c:v>
                </c:pt>
                <c:pt idx="56">
                  <c:v>81.23643430269249</c:v>
                </c:pt>
                <c:pt idx="57">
                  <c:v>81.25620900246214</c:v>
                </c:pt>
                <c:pt idx="58">
                  <c:v>81.27028371377897</c:v>
                </c:pt>
                <c:pt idx="59">
                  <c:v>81.29989453364129</c:v>
                </c:pt>
                <c:pt idx="60">
                  <c:v>81.33004461447362</c:v>
                </c:pt>
                <c:pt idx="61">
                  <c:v>81.366244748743</c:v>
                </c:pt>
                <c:pt idx="62">
                  <c:v>81.4064076491964</c:v>
                </c:pt>
                <c:pt idx="63">
                  <c:v>81.44415180002154</c:v>
                </c:pt>
                <c:pt idx="64">
                  <c:v>81.48468771246579</c:v>
                </c:pt>
                <c:pt idx="65">
                  <c:v>81.52406379075094</c:v>
                </c:pt>
                <c:pt idx="66">
                  <c:v>81.55938919194785</c:v>
                </c:pt>
                <c:pt idx="67">
                  <c:v>81.59387531616534</c:v>
                </c:pt>
                <c:pt idx="68">
                  <c:v>81.62941053660711</c:v>
                </c:pt>
                <c:pt idx="69">
                  <c:v>81.66457274505802</c:v>
                </c:pt>
                <c:pt idx="70">
                  <c:v>81.699262860208</c:v>
                </c:pt>
                <c:pt idx="71">
                  <c:v>81.73453580659371</c:v>
                </c:pt>
                <c:pt idx="72">
                  <c:v>81.76712190098274</c:v>
                </c:pt>
                <c:pt idx="73">
                  <c:v>81.7989677997024</c:v>
                </c:pt>
                <c:pt idx="74">
                  <c:v>81.83113425560173</c:v>
                </c:pt>
                <c:pt idx="75">
                  <c:v>81.86425072641526</c:v>
                </c:pt>
                <c:pt idx="76">
                  <c:v>81.89557207702279</c:v>
                </c:pt>
                <c:pt idx="77">
                  <c:v>81.92541886460394</c:v>
                </c:pt>
                <c:pt idx="78">
                  <c:v>81.95721813682475</c:v>
                </c:pt>
                <c:pt idx="79">
                  <c:v>81.98959441196892</c:v>
                </c:pt>
                <c:pt idx="80">
                  <c:v>82.01944119955007</c:v>
                </c:pt>
                <c:pt idx="81">
                  <c:v>82.0465020538245</c:v>
                </c:pt>
                <c:pt idx="82">
                  <c:v>82.07256043837348</c:v>
                </c:pt>
                <c:pt idx="83">
                  <c:v>82.10098511773948</c:v>
                </c:pt>
                <c:pt idx="84">
                  <c:v>82.13278438996029</c:v>
                </c:pt>
                <c:pt idx="85">
                  <c:v>82.16005506347958</c:v>
                </c:pt>
                <c:pt idx="86">
                  <c:v>82.18411433689005</c:v>
                </c:pt>
                <c:pt idx="87">
                  <c:v>82.20754415256594</c:v>
                </c:pt>
                <c:pt idx="88">
                  <c:v>82.23102642305305</c:v>
                </c:pt>
                <c:pt idx="89">
                  <c:v>82.253086585325</c:v>
                </c:pt>
                <c:pt idx="90">
                  <c:v>82.27609093419882</c:v>
                </c:pt>
                <c:pt idx="91">
                  <c:v>82.30167722544687</c:v>
                </c:pt>
                <c:pt idx="92">
                  <c:v>82.32763070037341</c:v>
                </c:pt>
                <c:pt idx="93">
                  <c:v>82.35184733821754</c:v>
                </c:pt>
                <c:pt idx="94">
                  <c:v>82.37511978945979</c:v>
                </c:pt>
                <c:pt idx="95">
                  <c:v>82.39844469551324</c:v>
                </c:pt>
                <c:pt idx="96">
                  <c:v>82.42177811416542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795416"/>
        <c:axId val="-208882773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3003.0</c:v>
                </c:pt>
                <c:pt idx="1">
                  <c:v>5859.0</c:v>
                </c:pt>
                <c:pt idx="2">
                  <c:v>10724.0</c:v>
                </c:pt>
                <c:pt idx="3">
                  <c:v>18595.0</c:v>
                </c:pt>
                <c:pt idx="4">
                  <c:v>6790.0</c:v>
                </c:pt>
                <c:pt idx="5">
                  <c:v>14719.0</c:v>
                </c:pt>
                <c:pt idx="6">
                  <c:v>15519.0</c:v>
                </c:pt>
                <c:pt idx="7">
                  <c:v>20860.0</c:v>
                </c:pt>
                <c:pt idx="8">
                  <c:v>18736.0</c:v>
                </c:pt>
                <c:pt idx="9">
                  <c:v>23791.0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0.0978043855322108</c:v>
                  </c:pt>
                  <c:pt idx="4">
                    <c:v>0.0666424553069088</c:v>
                  </c:pt>
                  <c:pt idx="5">
                    <c:v>0.153811639755687</c:v>
                  </c:pt>
                  <c:pt idx="6">
                    <c:v>0.157921311954192</c:v>
                  </c:pt>
                  <c:pt idx="7">
                    <c:v>0.55542214125474</c:v>
                  </c:pt>
                  <c:pt idx="8">
                    <c:v>0.169402164944844</c:v>
                  </c:pt>
                  <c:pt idx="9">
                    <c:v>0.612742719092877</c:v>
                  </c:pt>
                  <c:pt idx="10">
                    <c:v>0.346284355598112</c:v>
                  </c:pt>
                  <c:pt idx="11">
                    <c:v>0.7272182871298</c:v>
                  </c:pt>
                  <c:pt idx="12">
                    <c:v>0.453123461393618</c:v>
                  </c:pt>
                  <c:pt idx="13">
                    <c:v>0.199927365920726</c:v>
                  </c:pt>
                  <c:pt idx="14">
                    <c:v>0.187584921380513</c:v>
                  </c:pt>
                  <c:pt idx="15">
                    <c:v>0.161133599740505</c:v>
                  </c:pt>
                  <c:pt idx="16">
                    <c:v>0.258766081249713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0.0978043855322108</c:v>
                  </c:pt>
                  <c:pt idx="4">
                    <c:v>0.0666424553069088</c:v>
                  </c:pt>
                  <c:pt idx="5">
                    <c:v>0.153811639755687</c:v>
                  </c:pt>
                  <c:pt idx="6">
                    <c:v>0.157921311954192</c:v>
                  </c:pt>
                  <c:pt idx="7">
                    <c:v>0.55542214125474</c:v>
                  </c:pt>
                  <c:pt idx="8">
                    <c:v>0.169402164944844</c:v>
                  </c:pt>
                  <c:pt idx="9">
                    <c:v>0.612742719092877</c:v>
                  </c:pt>
                  <c:pt idx="10">
                    <c:v>0.346284355598112</c:v>
                  </c:pt>
                  <c:pt idx="11">
                    <c:v>0.7272182871298</c:v>
                  </c:pt>
                  <c:pt idx="12">
                    <c:v>0.453123461393618</c:v>
                  </c:pt>
                  <c:pt idx="13">
                    <c:v>0.199927365920726</c:v>
                  </c:pt>
                  <c:pt idx="14">
                    <c:v>0.187584921380513</c:v>
                  </c:pt>
                  <c:pt idx="15">
                    <c:v>0.161133599740505</c:v>
                  </c:pt>
                  <c:pt idx="16">
                    <c:v>0.258766081249713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0.1610756</c:v>
                </c:pt>
                <c:pt idx="1">
                  <c:v>0.2347078</c:v>
                </c:pt>
                <c:pt idx="2">
                  <c:v>0.4059827</c:v>
                </c:pt>
                <c:pt idx="3">
                  <c:v>0.869098333333333</c:v>
                </c:pt>
                <c:pt idx="4">
                  <c:v>2.053616333333333</c:v>
                </c:pt>
                <c:pt idx="5">
                  <c:v>4.177211666666667</c:v>
                </c:pt>
                <c:pt idx="6">
                  <c:v>6.177471333333334</c:v>
                </c:pt>
                <c:pt idx="7">
                  <c:v>8.023612000000001</c:v>
                </c:pt>
                <c:pt idx="8">
                  <c:v>8.535836</c:v>
                </c:pt>
                <c:pt idx="9">
                  <c:v>8.674563333333333</c:v>
                </c:pt>
                <c:pt idx="10">
                  <c:v>9.016046</c:v>
                </c:pt>
                <c:pt idx="11">
                  <c:v>9.112088000000001</c:v>
                </c:pt>
                <c:pt idx="12">
                  <c:v>9.613640666666668</c:v>
                </c:pt>
                <c:pt idx="13">
                  <c:v>9.208130000000001</c:v>
                </c:pt>
                <c:pt idx="14">
                  <c:v>6.924464666666667</c:v>
                </c:pt>
                <c:pt idx="15">
                  <c:v>5.345107333333333</c:v>
                </c:pt>
                <c:pt idx="16">
                  <c:v>4.971610666666666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726632"/>
        <c:axId val="-2090859768"/>
      </c:scatterChart>
      <c:valAx>
        <c:axId val="-208879541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88827736"/>
        <c:crosses val="autoZero"/>
        <c:crossBetween val="midCat"/>
        <c:majorUnit val="6.0"/>
      </c:valAx>
      <c:valAx>
        <c:axId val="-208882773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88795416"/>
        <c:crosses val="autoZero"/>
        <c:crossBetween val="midCat"/>
      </c:valAx>
      <c:valAx>
        <c:axId val="-2090859768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0726632"/>
        <c:crosses val="max"/>
        <c:crossBetween val="midCat"/>
        <c:majorUnit val="1.0"/>
        <c:minorUnit val="0.2"/>
      </c:valAx>
      <c:valAx>
        <c:axId val="-2090726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9085976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50107CocuFPBHbatch1Excel_16604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150107CocuFPBHbatch1Excel_166"/>
    </sheetNames>
    <sheetDataSet>
      <sheetData sheetId="0">
        <row r="11">
          <cell r="E11">
            <v>4.391</v>
          </cell>
        </row>
        <row r="12">
          <cell r="E12">
            <v>4.3979999999999997</v>
          </cell>
        </row>
        <row r="13">
          <cell r="E13">
            <v>4.3559999999999999</v>
          </cell>
        </row>
        <row r="14">
          <cell r="E14">
            <v>4.3949999999999996</v>
          </cell>
        </row>
        <row r="15">
          <cell r="E15">
            <v>4.335</v>
          </cell>
        </row>
        <row r="16">
          <cell r="E16">
            <v>4.3410000000000002</v>
          </cell>
        </row>
        <row r="17">
          <cell r="E17">
            <v>4.3209999999999997</v>
          </cell>
        </row>
        <row r="18">
          <cell r="E18">
            <v>4.173</v>
          </cell>
        </row>
        <row r="19">
          <cell r="E19">
            <v>4.1500000000000004</v>
          </cell>
        </row>
        <row r="20">
          <cell r="E20">
            <v>4.1790000000000003</v>
          </cell>
        </row>
        <row r="21">
          <cell r="E21">
            <v>3.863</v>
          </cell>
        </row>
        <row r="22">
          <cell r="E22">
            <v>3.8660000000000001</v>
          </cell>
        </row>
        <row r="23">
          <cell r="E23">
            <v>3.8660000000000001</v>
          </cell>
        </row>
        <row r="24">
          <cell r="E24">
            <v>3.278</v>
          </cell>
        </row>
        <row r="27">
          <cell r="E27">
            <v>3.2789999999999999</v>
          </cell>
        </row>
        <row r="28">
          <cell r="E28">
            <v>2.621</v>
          </cell>
        </row>
        <row r="29">
          <cell r="E29">
            <v>2.6539999999999999</v>
          </cell>
        </row>
        <row r="30">
          <cell r="E30">
            <v>2.6459999999999999</v>
          </cell>
        </row>
        <row r="31">
          <cell r="E31">
            <v>1.9810000000000001</v>
          </cell>
        </row>
        <row r="32">
          <cell r="E32">
            <v>1.9139999999999999</v>
          </cell>
        </row>
        <row r="33">
          <cell r="E33">
            <v>1.962</v>
          </cell>
        </row>
        <row r="34">
          <cell r="E34">
            <v>1.5569999999999999</v>
          </cell>
        </row>
        <row r="35">
          <cell r="E35">
            <v>1.55</v>
          </cell>
        </row>
        <row r="36">
          <cell r="E36">
            <v>1.464</v>
          </cell>
        </row>
        <row r="38">
          <cell r="E38">
            <v>1.264</v>
          </cell>
        </row>
        <row r="39">
          <cell r="E39">
            <v>1.2689999999999999</v>
          </cell>
        </row>
        <row r="41">
          <cell r="F41">
            <v>0.89700000000000002</v>
          </cell>
        </row>
        <row r="42">
          <cell r="F42">
            <v>0.878</v>
          </cell>
        </row>
        <row r="43">
          <cell r="F43">
            <v>0.56399999999999995</v>
          </cell>
        </row>
        <row r="44">
          <cell r="F44">
            <v>0.56799999999999995</v>
          </cell>
        </row>
        <row r="45">
          <cell r="F45">
            <v>0.56599999999999995</v>
          </cell>
        </row>
        <row r="46">
          <cell r="F46">
            <v>0.24199999999999999</v>
          </cell>
        </row>
        <row r="47">
          <cell r="F47">
            <v>0.24</v>
          </cell>
        </row>
        <row r="48">
          <cell r="F48">
            <v>0.22900000000000001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34" t="s">
        <v>0</v>
      </c>
      <c r="B1" s="135"/>
      <c r="C1" s="34">
        <v>42011</v>
      </c>
    </row>
    <row r="2" spans="1:3" ht="16">
      <c r="A2" s="134" t="s">
        <v>1</v>
      </c>
      <c r="B2" s="136"/>
      <c r="C2" s="32" t="s">
        <v>146</v>
      </c>
    </row>
    <row r="3" spans="1:3">
      <c r="A3" s="11"/>
      <c r="B3" s="11"/>
      <c r="C3" s="10"/>
    </row>
    <row r="4" spans="1:3">
      <c r="A4" s="137" t="s">
        <v>49</v>
      </c>
      <c r="B4" s="137"/>
      <c r="C4" s="7" t="s">
        <v>107</v>
      </c>
    </row>
    <row r="6" spans="1:3">
      <c r="A6" s="41" t="s">
        <v>82</v>
      </c>
      <c r="B6" s="41" t="s">
        <v>83</v>
      </c>
      <c r="C6" s="41" t="s">
        <v>69</v>
      </c>
    </row>
    <row r="7" spans="1:3">
      <c r="A7" s="32" t="s">
        <v>84</v>
      </c>
      <c r="B7" s="37" t="s">
        <v>85</v>
      </c>
      <c r="C7" s="37" t="s">
        <v>101</v>
      </c>
    </row>
    <row r="8" spans="1:3">
      <c r="A8" s="32" t="s">
        <v>86</v>
      </c>
      <c r="B8" s="37" t="s">
        <v>87</v>
      </c>
      <c r="C8" s="37" t="s">
        <v>101</v>
      </c>
    </row>
    <row r="9" spans="1:3">
      <c r="A9" s="32" t="s">
        <v>88</v>
      </c>
      <c r="B9" s="37" t="s">
        <v>89</v>
      </c>
      <c r="C9" s="37" t="s">
        <v>101</v>
      </c>
    </row>
    <row r="10" spans="1:3">
      <c r="A10" s="32" t="s">
        <v>90</v>
      </c>
      <c r="B10" s="37" t="s">
        <v>91</v>
      </c>
      <c r="C10" s="37" t="s">
        <v>101</v>
      </c>
    </row>
    <row r="11" spans="1:3">
      <c r="A11" s="29" t="s">
        <v>92</v>
      </c>
      <c r="B11" s="29" t="s">
        <v>142</v>
      </c>
      <c r="C11" s="29" t="s">
        <v>101</v>
      </c>
    </row>
    <row r="12" spans="1:3">
      <c r="A12" s="32" t="s">
        <v>73</v>
      </c>
      <c r="B12" s="37" t="s">
        <v>93</v>
      </c>
      <c r="C12" s="37" t="s">
        <v>101</v>
      </c>
    </row>
    <row r="13" spans="1:3" ht="16">
      <c r="A13" s="73" t="s">
        <v>77</v>
      </c>
      <c r="B13" s="37" t="s">
        <v>94</v>
      </c>
      <c r="C13" s="37" t="s">
        <v>101</v>
      </c>
    </row>
    <row r="14" spans="1:3" ht="16">
      <c r="A14" s="73" t="s">
        <v>76</v>
      </c>
      <c r="B14" s="37" t="s">
        <v>94</v>
      </c>
      <c r="C14" s="37" t="s">
        <v>101</v>
      </c>
    </row>
    <row r="15" spans="1:3" ht="16">
      <c r="A15" s="32" t="s">
        <v>109</v>
      </c>
      <c r="B15" s="37" t="s">
        <v>95</v>
      </c>
      <c r="C15" s="37" t="s">
        <v>101</v>
      </c>
    </row>
    <row r="16" spans="1:3" ht="16">
      <c r="A16" s="32" t="s">
        <v>108</v>
      </c>
      <c r="B16" s="37" t="s">
        <v>94</v>
      </c>
      <c r="C16" s="37" t="s">
        <v>101</v>
      </c>
    </row>
    <row r="17" spans="1:3" ht="16">
      <c r="A17" s="32" t="s">
        <v>110</v>
      </c>
      <c r="B17" s="37" t="s">
        <v>94</v>
      </c>
      <c r="C17" s="37" t="s">
        <v>101</v>
      </c>
    </row>
    <row r="18" spans="1:3" ht="16">
      <c r="A18" s="32" t="s">
        <v>111</v>
      </c>
      <c r="B18" s="37" t="s">
        <v>167</v>
      </c>
      <c r="C18" s="37" t="s">
        <v>101</v>
      </c>
    </row>
    <row r="19" spans="1:3" ht="16">
      <c r="A19" s="32" t="s">
        <v>75</v>
      </c>
      <c r="B19" s="37" t="s">
        <v>168</v>
      </c>
      <c r="C19" s="37" t="s">
        <v>101</v>
      </c>
    </row>
    <row r="20" spans="1:3" ht="16">
      <c r="A20" s="32" t="s">
        <v>112</v>
      </c>
      <c r="B20" s="37" t="s">
        <v>96</v>
      </c>
      <c r="C20" s="37" t="s">
        <v>101</v>
      </c>
    </row>
    <row r="21" spans="1:3" ht="16">
      <c r="A21" s="32" t="s">
        <v>113</v>
      </c>
      <c r="B21" s="37" t="s">
        <v>97</v>
      </c>
      <c r="C21" s="37" t="s">
        <v>101</v>
      </c>
    </row>
    <row r="22" spans="1:3" ht="16">
      <c r="A22" s="32" t="s">
        <v>114</v>
      </c>
      <c r="B22" s="37" t="s">
        <v>98</v>
      </c>
      <c r="C22" s="37" t="s">
        <v>101</v>
      </c>
    </row>
    <row r="23" spans="1:3" ht="16">
      <c r="A23" s="32" t="s">
        <v>115</v>
      </c>
      <c r="B23" s="37" t="s">
        <v>98</v>
      </c>
      <c r="C23" s="37" t="s">
        <v>101</v>
      </c>
    </row>
    <row r="24" spans="1:3">
      <c r="A24" s="32" t="s">
        <v>99</v>
      </c>
      <c r="B24" s="37" t="s">
        <v>98</v>
      </c>
      <c r="C24" s="37" t="s">
        <v>101</v>
      </c>
    </row>
    <row r="25" spans="1:3">
      <c r="A25" s="32" t="s">
        <v>100</v>
      </c>
      <c r="B25" s="37" t="s">
        <v>98</v>
      </c>
      <c r="C25" s="37" t="s">
        <v>101</v>
      </c>
    </row>
    <row r="26" spans="1:3">
      <c r="A26" s="32" t="s">
        <v>74</v>
      </c>
      <c r="B26" s="37" t="s">
        <v>102</v>
      </c>
      <c r="C26" s="37" t="s">
        <v>103</v>
      </c>
    </row>
    <row r="27" spans="1:3">
      <c r="A27" s="32" t="s">
        <v>104</v>
      </c>
      <c r="B27" s="37" t="s">
        <v>101</v>
      </c>
      <c r="C27" s="37" t="s">
        <v>106</v>
      </c>
    </row>
    <row r="28" spans="1:3">
      <c r="A28" s="32" t="s">
        <v>105</v>
      </c>
      <c r="B28" s="37" t="s">
        <v>101</v>
      </c>
      <c r="C28" s="37" t="s">
        <v>106</v>
      </c>
    </row>
    <row r="29" spans="1:3" ht="16">
      <c r="A29" s="29" t="s">
        <v>143</v>
      </c>
      <c r="B29" s="29" t="s">
        <v>144</v>
      </c>
      <c r="C29" s="29" t="s">
        <v>145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16" sqref="J16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8" t="s">
        <v>4</v>
      </c>
      <c r="B1" s="138" t="s">
        <v>117</v>
      </c>
      <c r="C1" s="138" t="s">
        <v>117</v>
      </c>
      <c r="D1" s="138" t="s">
        <v>5</v>
      </c>
      <c r="E1" s="138" t="s">
        <v>19</v>
      </c>
      <c r="F1" s="138" t="s">
        <v>24</v>
      </c>
      <c r="G1" s="137" t="s">
        <v>25</v>
      </c>
      <c r="H1" s="134" t="s">
        <v>26</v>
      </c>
      <c r="I1" s="4" t="s">
        <v>27</v>
      </c>
      <c r="J1" s="53" t="s">
        <v>27</v>
      </c>
    </row>
    <row r="2" spans="1:10">
      <c r="A2" s="139"/>
      <c r="B2" s="139"/>
      <c r="C2" s="139"/>
      <c r="D2" s="139"/>
      <c r="E2" s="139"/>
      <c r="F2" s="139"/>
      <c r="G2" s="137"/>
      <c r="H2" s="134"/>
      <c r="I2" s="5" t="s">
        <v>28</v>
      </c>
      <c r="J2" s="54" t="s">
        <v>23</v>
      </c>
    </row>
    <row r="3" spans="1:10">
      <c r="A3" s="61" t="s">
        <v>6</v>
      </c>
      <c r="B3" s="62">
        <v>-10</v>
      </c>
      <c r="C3" s="62">
        <v>-10</v>
      </c>
      <c r="D3" s="13">
        <f>C3/60</f>
        <v>-0.16666666666666666</v>
      </c>
      <c r="E3" s="40">
        <v>1</v>
      </c>
      <c r="F3" s="50">
        <v>7.5999999999999998E-2</v>
      </c>
      <c r="G3" s="50">
        <v>7.5999999999999998E-2</v>
      </c>
      <c r="H3" s="50">
        <v>7.5999999999999998E-2</v>
      </c>
      <c r="I3" s="51">
        <f>E3*(AVERAGE(F3:H3)*1.6007-0.0118)</f>
        <v>0.1098532</v>
      </c>
      <c r="J3" s="51">
        <f>E3*(STDEV(F3:H3)*1.6007)</f>
        <v>0</v>
      </c>
    </row>
    <row r="4" spans="1:10">
      <c r="A4" s="64">
        <v>0</v>
      </c>
      <c r="B4" s="65">
        <v>10</v>
      </c>
      <c r="C4" s="65">
        <v>10</v>
      </c>
      <c r="D4" s="13">
        <f t="shared" ref="D4:D18" si="0">C4/60</f>
        <v>0.16666666666666666</v>
      </c>
      <c r="E4" s="40">
        <v>1</v>
      </c>
      <c r="F4" s="50">
        <v>0.108</v>
      </c>
      <c r="G4" s="50">
        <v>0.108</v>
      </c>
      <c r="H4" s="50">
        <v>0.108</v>
      </c>
      <c r="I4" s="51">
        <f>E4*(AVERAGE(F4:H4)*1.6007-0.0118)</f>
        <v>0.16107559999999999</v>
      </c>
      <c r="J4" s="51">
        <f t="shared" ref="J4:J18" si="1">E4*(STDEV(F4:H4)*1.6007)</f>
        <v>0</v>
      </c>
    </row>
    <row r="5" spans="1:10">
      <c r="A5" s="64">
        <v>1</v>
      </c>
      <c r="B5" s="65">
        <v>110</v>
      </c>
      <c r="C5" s="65">
        <v>120</v>
      </c>
      <c r="D5" s="13">
        <f t="shared" si="0"/>
        <v>2</v>
      </c>
      <c r="E5" s="40">
        <v>1</v>
      </c>
      <c r="F5" s="50">
        <v>0.154</v>
      </c>
      <c r="G5" s="50">
        <v>0.154</v>
      </c>
      <c r="H5" s="50">
        <v>0.154</v>
      </c>
      <c r="I5" s="51">
        <f t="shared" ref="I5:I19" si="2">E5*(AVERAGE(F5:H5)*1.6007-0.0118)</f>
        <v>0.23470779999999999</v>
      </c>
      <c r="J5" s="51">
        <f t="shared" si="1"/>
        <v>0</v>
      </c>
    </row>
    <row r="6" spans="1:10">
      <c r="A6" s="64">
        <v>2</v>
      </c>
      <c r="B6" s="65">
        <v>80</v>
      </c>
      <c r="C6" s="65">
        <v>200</v>
      </c>
      <c r="D6" s="13">
        <f t="shared" si="0"/>
        <v>3.3333333333333335</v>
      </c>
      <c r="E6" s="40">
        <v>1</v>
      </c>
      <c r="F6" s="50">
        <v>0.26100000000000001</v>
      </c>
      <c r="G6" s="50">
        <v>0.26100000000000001</v>
      </c>
      <c r="H6" s="50">
        <v>0.26100000000000001</v>
      </c>
      <c r="I6" s="51">
        <f t="shared" si="2"/>
        <v>0.40598270000000003</v>
      </c>
      <c r="J6" s="51">
        <f t="shared" si="1"/>
        <v>0</v>
      </c>
    </row>
    <row r="7" spans="1:10">
      <c r="A7" s="64">
        <v>3</v>
      </c>
      <c r="B7" s="65">
        <v>80</v>
      </c>
      <c r="C7" s="65">
        <v>280</v>
      </c>
      <c r="D7" s="13">
        <f t="shared" si="0"/>
        <v>4.666666666666667</v>
      </c>
      <c r="E7" s="40">
        <v>10</v>
      </c>
      <c r="F7" s="50">
        <v>6.3E-2</v>
      </c>
      <c r="G7" s="50">
        <v>5.5E-2</v>
      </c>
      <c r="H7" s="50">
        <v>6.7000000000000004E-2</v>
      </c>
      <c r="I7" s="51">
        <f t="shared" si="2"/>
        <v>0.86909833333333331</v>
      </c>
      <c r="J7" s="51">
        <f t="shared" si="1"/>
        <v>9.7804385532210852E-2</v>
      </c>
    </row>
    <row r="8" spans="1:10">
      <c r="A8" s="64">
        <v>4</v>
      </c>
      <c r="B8" s="65">
        <v>80</v>
      </c>
      <c r="C8" s="65">
        <v>360</v>
      </c>
      <c r="D8" s="13">
        <f t="shared" si="0"/>
        <v>6</v>
      </c>
      <c r="E8" s="40">
        <v>10</v>
      </c>
      <c r="F8" s="50">
        <v>0.13100000000000001</v>
      </c>
      <c r="G8" s="50">
        <v>0.13700000000000001</v>
      </c>
      <c r="H8" s="50">
        <v>0.13900000000000001</v>
      </c>
      <c r="I8" s="51">
        <f t="shared" si="2"/>
        <v>2.0536163333333333</v>
      </c>
      <c r="J8" s="51">
        <f t="shared" si="1"/>
        <v>6.6642455306908835E-2</v>
      </c>
    </row>
    <row r="9" spans="1:10">
      <c r="A9" s="64">
        <v>5</v>
      </c>
      <c r="B9" s="65">
        <v>80</v>
      </c>
      <c r="C9" s="65">
        <v>440</v>
      </c>
      <c r="D9" s="13">
        <f t="shared" si="0"/>
        <v>7.333333333333333</v>
      </c>
      <c r="E9" s="40">
        <v>10</v>
      </c>
      <c r="F9" s="50">
        <v>0.25800000000000001</v>
      </c>
      <c r="G9" s="50">
        <v>0.27700000000000002</v>
      </c>
      <c r="H9" s="50">
        <v>0.27</v>
      </c>
      <c r="I9" s="51">
        <f t="shared" si="2"/>
        <v>4.1772116666666674</v>
      </c>
      <c r="J9" s="51">
        <f t="shared" si="1"/>
        <v>0.15381163975568746</v>
      </c>
    </row>
    <row r="10" spans="1:10">
      <c r="A10" s="64">
        <v>6</v>
      </c>
      <c r="B10" s="65">
        <v>80</v>
      </c>
      <c r="C10" s="65">
        <v>520</v>
      </c>
      <c r="D10" s="13">
        <f t="shared" si="0"/>
        <v>8.6666666666666661</v>
      </c>
      <c r="E10" s="40">
        <v>20</v>
      </c>
      <c r="F10" s="50">
        <v>0.19700000000000001</v>
      </c>
      <c r="G10" s="50">
        <v>0.20599999999999999</v>
      </c>
      <c r="H10" s="50">
        <v>0.19800000000000001</v>
      </c>
      <c r="I10" s="51">
        <f t="shared" si="2"/>
        <v>6.177471333333334</v>
      </c>
      <c r="J10" s="51">
        <f t="shared" si="1"/>
        <v>0.15792131195419198</v>
      </c>
    </row>
    <row r="11" spans="1:10">
      <c r="A11" s="64">
        <v>7</v>
      </c>
      <c r="B11" s="65">
        <v>80</v>
      </c>
      <c r="C11" s="65">
        <v>600</v>
      </c>
      <c r="D11" s="13">
        <f t="shared" si="0"/>
        <v>10</v>
      </c>
      <c r="E11" s="40">
        <v>20</v>
      </c>
      <c r="F11" s="50">
        <v>0.23799999999999999</v>
      </c>
      <c r="G11" s="50">
        <v>0.26700000000000002</v>
      </c>
      <c r="H11" s="50">
        <v>0.26900000000000002</v>
      </c>
      <c r="I11" s="51">
        <f t="shared" si="2"/>
        <v>8.0236120000000017</v>
      </c>
      <c r="J11" s="51">
        <f t="shared" si="1"/>
        <v>0.55542214125474021</v>
      </c>
    </row>
    <row r="12" spans="1:10">
      <c r="A12" s="64">
        <v>8</v>
      </c>
      <c r="B12" s="65">
        <v>80</v>
      </c>
      <c r="C12" s="65">
        <v>680</v>
      </c>
      <c r="D12" s="13">
        <f t="shared" si="0"/>
        <v>11.333333333333334</v>
      </c>
      <c r="E12" s="40">
        <v>20</v>
      </c>
      <c r="F12" s="50">
        <v>0.26800000000000002</v>
      </c>
      <c r="G12" s="50">
        <v>0.27800000000000002</v>
      </c>
      <c r="H12" s="50">
        <v>0.27600000000000002</v>
      </c>
      <c r="I12" s="51">
        <f t="shared" si="2"/>
        <v>8.5358360000000015</v>
      </c>
      <c r="J12" s="51">
        <f t="shared" si="1"/>
        <v>0.16940216494484375</v>
      </c>
    </row>
    <row r="13" spans="1:10">
      <c r="A13" s="64">
        <v>9</v>
      </c>
      <c r="B13" s="65">
        <v>80</v>
      </c>
      <c r="C13" s="65">
        <v>760</v>
      </c>
      <c r="D13" s="13">
        <f>C13/60</f>
        <v>12.666666666666666</v>
      </c>
      <c r="E13" s="40">
        <v>20</v>
      </c>
      <c r="F13" s="50">
        <v>0.25800000000000001</v>
      </c>
      <c r="G13" s="50">
        <v>0.28100000000000003</v>
      </c>
      <c r="H13" s="50">
        <v>0.29599999999999999</v>
      </c>
      <c r="I13" s="51">
        <f t="shared" si="2"/>
        <v>8.6745633333333334</v>
      </c>
      <c r="J13" s="51">
        <f t="shared" si="1"/>
        <v>0.61274271909287747</v>
      </c>
    </row>
    <row r="14" spans="1:10">
      <c r="A14" s="64">
        <v>10</v>
      </c>
      <c r="B14" s="65">
        <v>80</v>
      </c>
      <c r="C14" s="65">
        <v>840</v>
      </c>
      <c r="D14" s="13">
        <f t="shared" si="0"/>
        <v>14</v>
      </c>
      <c r="E14" s="40">
        <v>20</v>
      </c>
      <c r="F14" s="50">
        <v>0.27700000000000002</v>
      </c>
      <c r="G14" s="50">
        <v>0.29199999999999998</v>
      </c>
      <c r="H14" s="50">
        <v>0.29799999999999999</v>
      </c>
      <c r="I14" s="51">
        <f t="shared" si="2"/>
        <v>9.0160459999999993</v>
      </c>
      <c r="J14" s="51">
        <f t="shared" si="1"/>
        <v>0.34628435559811177</v>
      </c>
    </row>
    <row r="15" spans="1:10">
      <c r="A15" s="64">
        <v>11</v>
      </c>
      <c r="B15" s="65">
        <v>80</v>
      </c>
      <c r="C15" s="65">
        <v>920</v>
      </c>
      <c r="D15" s="13">
        <f t="shared" si="0"/>
        <v>15.333333333333334</v>
      </c>
      <c r="E15" s="40">
        <v>20</v>
      </c>
      <c r="F15" s="50">
        <v>0.27600000000000002</v>
      </c>
      <c r="G15" s="50">
        <v>0.28199999999999997</v>
      </c>
      <c r="H15" s="50">
        <v>0.318</v>
      </c>
      <c r="I15" s="51">
        <f t="shared" si="2"/>
        <v>9.1120880000000017</v>
      </c>
      <c r="J15" s="51">
        <f t="shared" si="1"/>
        <v>0.72721828712979986</v>
      </c>
    </row>
    <row r="16" spans="1:10">
      <c r="A16" s="64">
        <v>12</v>
      </c>
      <c r="B16" s="65">
        <v>80</v>
      </c>
      <c r="C16" s="65">
        <v>1000</v>
      </c>
      <c r="D16" s="13">
        <f t="shared" si="0"/>
        <v>16.666666666666668</v>
      </c>
      <c r="E16" s="40">
        <v>20</v>
      </c>
      <c r="F16" s="50">
        <v>0.29899999999999999</v>
      </c>
      <c r="G16" s="50">
        <v>0.3</v>
      </c>
      <c r="H16" s="50">
        <v>0.32400000000000001</v>
      </c>
      <c r="I16" s="51">
        <f t="shared" si="2"/>
        <v>9.6136406666666687</v>
      </c>
      <c r="J16" s="51">
        <f t="shared" si="1"/>
        <v>0.45312346139361803</v>
      </c>
    </row>
    <row r="17" spans="1:10">
      <c r="A17" s="64">
        <v>13</v>
      </c>
      <c r="B17" s="65">
        <v>80</v>
      </c>
      <c r="C17" s="65">
        <v>1080</v>
      </c>
      <c r="D17" s="13">
        <f t="shared" si="0"/>
        <v>18</v>
      </c>
      <c r="E17" s="40">
        <v>20</v>
      </c>
      <c r="F17" s="50">
        <v>0.28799999999999998</v>
      </c>
      <c r="G17" s="50">
        <v>0.3</v>
      </c>
      <c r="H17" s="50">
        <v>0.29699999999999999</v>
      </c>
      <c r="I17" s="51">
        <f t="shared" si="2"/>
        <v>9.2081300000000006</v>
      </c>
      <c r="J17" s="51">
        <f t="shared" si="1"/>
        <v>0.19992736592072649</v>
      </c>
    </row>
    <row r="18" spans="1:10">
      <c r="A18" s="64">
        <v>14</v>
      </c>
      <c r="B18" s="65">
        <v>360</v>
      </c>
      <c r="C18" s="65">
        <v>1440</v>
      </c>
      <c r="D18" s="13">
        <f t="shared" si="0"/>
        <v>24</v>
      </c>
      <c r="E18" s="40">
        <v>20</v>
      </c>
      <c r="F18" s="50">
        <v>0.217</v>
      </c>
      <c r="G18" s="50">
        <v>0.22600000000000001</v>
      </c>
      <c r="H18" s="50">
        <v>0.22800000000000001</v>
      </c>
      <c r="I18" s="51">
        <f t="shared" si="2"/>
        <v>6.9244646666666672</v>
      </c>
      <c r="J18" s="51">
        <f t="shared" si="1"/>
        <v>0.18758492138051341</v>
      </c>
    </row>
    <row r="19" spans="1:10">
      <c r="A19" s="64">
        <v>15</v>
      </c>
      <c r="B19" s="65">
        <v>375</v>
      </c>
      <c r="C19" s="65">
        <v>1815</v>
      </c>
      <c r="D19" s="13">
        <f>C19/60</f>
        <v>30.25</v>
      </c>
      <c r="E19" s="40">
        <v>20</v>
      </c>
      <c r="F19" s="50">
        <v>0.16900000000000001</v>
      </c>
      <c r="G19" s="50">
        <v>0.17499999999999999</v>
      </c>
      <c r="H19" s="50">
        <v>0.17899999999999999</v>
      </c>
      <c r="I19" s="51">
        <f t="shared" si="2"/>
        <v>5.345107333333333</v>
      </c>
      <c r="J19" s="51">
        <f>E19*(STDEV(F19:H19)*1.6007)</f>
        <v>0.16113359974050487</v>
      </c>
    </row>
    <row r="20" spans="1:10">
      <c r="A20" s="64">
        <v>16</v>
      </c>
      <c r="B20" s="65">
        <v>1065</v>
      </c>
      <c r="C20" s="65">
        <v>2880</v>
      </c>
      <c r="D20" s="13">
        <f t="shared" ref="D20" si="3">C20/60</f>
        <v>48</v>
      </c>
      <c r="E20" s="40">
        <v>20</v>
      </c>
      <c r="F20" s="50">
        <v>0.158</v>
      </c>
      <c r="G20" s="50">
        <v>0.158</v>
      </c>
      <c r="H20" s="50">
        <v>0.17199999999999999</v>
      </c>
      <c r="I20" s="51">
        <f t="shared" ref="I20" si="4">E20*(AVERAGE(F20:H20)*1.6007-0.0118)</f>
        <v>4.9716106666666668</v>
      </c>
      <c r="J20" s="51">
        <f t="shared" ref="J20" si="5">E20*(STDEV(F20:H20)*1.6007)</f>
        <v>0.25876608124971323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8" t="s">
        <v>4</v>
      </c>
      <c r="B1" s="138" t="s">
        <v>117</v>
      </c>
      <c r="C1" s="138" t="s">
        <v>117</v>
      </c>
      <c r="D1" s="138" t="s">
        <v>5</v>
      </c>
      <c r="E1" s="4" t="s">
        <v>29</v>
      </c>
      <c r="F1" s="4" t="s">
        <v>2</v>
      </c>
      <c r="G1" s="4" t="s">
        <v>32</v>
      </c>
    </row>
    <row r="2" spans="1:7">
      <c r="A2" s="139"/>
      <c r="B2" s="139"/>
      <c r="C2" s="139"/>
      <c r="D2" s="139"/>
      <c r="E2" s="5" t="s">
        <v>30</v>
      </c>
      <c r="F2" s="5" t="s">
        <v>31</v>
      </c>
      <c r="G2" s="5" t="s">
        <v>33</v>
      </c>
    </row>
    <row r="3" spans="1:7">
      <c r="A3" s="61" t="s">
        <v>6</v>
      </c>
      <c r="B3" s="62">
        <v>-10</v>
      </c>
      <c r="C3" s="62"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4">
        <v>0</v>
      </c>
      <c r="B4" s="65">
        <v>10</v>
      </c>
      <c r="C4" s="65">
        <v>10</v>
      </c>
      <c r="D4" s="13">
        <f t="shared" ref="D4:D18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4">
        <v>1</v>
      </c>
      <c r="B5" s="65">
        <v>110</v>
      </c>
      <c r="C5" s="65"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4">
        <v>2</v>
      </c>
      <c r="B6" s="65">
        <v>80</v>
      </c>
      <c r="C6" s="65"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4">
        <v>3</v>
      </c>
      <c r="B7" s="65">
        <v>80</v>
      </c>
      <c r="C7" s="65"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4">
        <v>4</v>
      </c>
      <c r="B8" s="65">
        <v>80</v>
      </c>
      <c r="C8" s="65"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4">
        <v>5</v>
      </c>
      <c r="B9" s="65">
        <v>80</v>
      </c>
      <c r="C9" s="65"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4">
        <v>6</v>
      </c>
      <c r="B10" s="65">
        <v>80</v>
      </c>
      <c r="C10" s="65"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4">
        <v>7</v>
      </c>
      <c r="B11" s="65">
        <v>80</v>
      </c>
      <c r="C11" s="65"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4">
        <v>8</v>
      </c>
      <c r="B12" s="65">
        <v>80</v>
      </c>
      <c r="C12" s="65"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4">
        <v>9</v>
      </c>
      <c r="B13" s="65">
        <v>80</v>
      </c>
      <c r="C13" s="65">
        <v>760</v>
      </c>
      <c r="D13" s="13">
        <f>C13/60</f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64">
        <v>10</v>
      </c>
      <c r="B14" s="65">
        <v>80</v>
      </c>
      <c r="C14" s="65">
        <v>840</v>
      </c>
      <c r="D14" s="13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64">
        <v>11</v>
      </c>
      <c r="B15" s="65">
        <v>80</v>
      </c>
      <c r="C15" s="65">
        <v>920</v>
      </c>
      <c r="D15" s="13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64">
        <v>12</v>
      </c>
      <c r="B16" s="65">
        <v>80</v>
      </c>
      <c r="C16" s="65">
        <v>1000</v>
      </c>
      <c r="D16" s="13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64">
        <v>13</v>
      </c>
      <c r="B17" s="65">
        <v>80</v>
      </c>
      <c r="C17" s="65">
        <v>1080</v>
      </c>
      <c r="D17" s="13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64">
        <v>14</v>
      </c>
      <c r="B18" s="65">
        <v>360</v>
      </c>
      <c r="C18" s="65">
        <v>1440</v>
      </c>
      <c r="D18" s="13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64">
        <v>15</v>
      </c>
      <c r="B19" s="65">
        <v>375</v>
      </c>
      <c r="C19" s="65">
        <v>1815</v>
      </c>
      <c r="D19" s="13">
        <f>C19/60</f>
        <v>30.25</v>
      </c>
      <c r="E19" s="40"/>
      <c r="F19" s="40"/>
      <c r="G19" s="40" t="e">
        <f>(F19-$C$22)/E19*1000*Calculation!I21/Calculation!K19</f>
        <v>#DIV/0!</v>
      </c>
    </row>
    <row r="20" spans="1:7">
      <c r="A20" s="64">
        <v>16</v>
      </c>
      <c r="B20" s="65">
        <v>1065</v>
      </c>
      <c r="C20" s="65">
        <v>2880</v>
      </c>
      <c r="D20" s="13">
        <f t="shared" ref="D20" si="1">C20/60</f>
        <v>48</v>
      </c>
      <c r="E20" s="40"/>
      <c r="F20" s="40"/>
      <c r="G20" s="40" t="e">
        <f>(F20-$C$22)/E20*1000*Calculation!I22/Calculation!K20</f>
        <v>#DIV/0!</v>
      </c>
    </row>
    <row r="22" spans="1:7">
      <c r="A22" s="159" t="s">
        <v>3</v>
      </c>
      <c r="B22" s="160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C5" sqref="C5:C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70.3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37" t="s">
        <v>5</v>
      </c>
      <c r="B3" s="137" t="s">
        <v>36</v>
      </c>
      <c r="C3" s="137"/>
      <c r="D3" s="137" t="s">
        <v>52</v>
      </c>
      <c r="E3" s="137"/>
      <c r="F3" s="137"/>
      <c r="G3" s="23" t="s">
        <v>53</v>
      </c>
    </row>
    <row r="4" spans="1:10">
      <c r="A4" s="137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89">
        <v>1.81</v>
      </c>
      <c r="C5" s="12">
        <f>B5/1000</f>
        <v>1.81E-3</v>
      </c>
      <c r="D5" s="12">
        <f>C5/1000*$B$1</f>
        <v>1.27243E-4</v>
      </c>
      <c r="E5" s="12">
        <f>D5/22.4</f>
        <v>5.680491071428572E-6</v>
      </c>
      <c r="F5" s="12">
        <f>E5/Calculation!K$4*1000</f>
        <v>3.6695678755998527E-6</v>
      </c>
      <c r="G5" s="12">
        <f>(0+F5)/2*30</f>
        <v>5.5043518133997792E-5</v>
      </c>
      <c r="I5" s="90">
        <v>-0.16666666666666666</v>
      </c>
      <c r="J5" t="s">
        <v>169</v>
      </c>
    </row>
    <row r="6" spans="1:10">
      <c r="A6" s="12">
        <v>0.5</v>
      </c>
      <c r="B6" s="89">
        <v>904.1</v>
      </c>
      <c r="C6" s="12">
        <f t="shared" ref="C6:C69" si="0">B6/1000</f>
        <v>0.90410000000000001</v>
      </c>
      <c r="D6" s="12">
        <f>C6/1000*$B$1</f>
        <v>6.3558229999999993E-2</v>
      </c>
      <c r="E6" s="12">
        <f>D6/22.4</f>
        <v>2.8374209821428568E-3</v>
      </c>
      <c r="F6" s="12">
        <f>E6/Calculation!K$4*1000</f>
        <v>1.8329592907899593E-3</v>
      </c>
      <c r="G6" s="12">
        <f>G5+(F6+F5)/2*30</f>
        <v>2.7604476398117386E-2</v>
      </c>
      <c r="I6" s="90">
        <v>0.16666666666666666</v>
      </c>
      <c r="J6" t="s">
        <v>170</v>
      </c>
    </row>
    <row r="7" spans="1:10">
      <c r="A7" s="12">
        <v>1</v>
      </c>
      <c r="B7" s="89">
        <v>1077.5999999999999</v>
      </c>
      <c r="C7" s="12">
        <f t="shared" si="0"/>
        <v>1.0775999999999999</v>
      </c>
      <c r="D7" s="12">
        <f t="shared" ref="D7:D69" si="1">C7/1000*$B$1</f>
        <v>7.5755279999999994E-2</v>
      </c>
      <c r="E7" s="12">
        <f t="shared" ref="E7:E69" si="2">D7/22.4</f>
        <v>3.3819321428571426E-3</v>
      </c>
      <c r="F7" s="12">
        <f>E7/Calculation!K$4*1000</f>
        <v>2.184710686600221E-3</v>
      </c>
      <c r="G7" s="12">
        <f t="shared" ref="G7:G70" si="3">G6+(F7+F6)/2*30</f>
        <v>8.7869526058970096E-2</v>
      </c>
      <c r="I7" s="90">
        <v>2</v>
      </c>
      <c r="J7" t="s">
        <v>171</v>
      </c>
    </row>
    <row r="8" spans="1:10">
      <c r="A8" s="12">
        <v>1.5</v>
      </c>
      <c r="B8" s="89">
        <v>1998.8</v>
      </c>
      <c r="C8" s="12">
        <f t="shared" si="0"/>
        <v>1.9987999999999999</v>
      </c>
      <c r="D8" s="12">
        <f t="shared" si="1"/>
        <v>0.14051563999999997</v>
      </c>
      <c r="E8" s="12">
        <f t="shared" si="2"/>
        <v>6.273019642857142E-3</v>
      </c>
      <c r="F8" s="12">
        <f>E8/Calculation!K$4*1000</f>
        <v>4.0523382705795483E-3</v>
      </c>
      <c r="G8" s="12">
        <f t="shared" si="3"/>
        <v>0.18142526041666662</v>
      </c>
      <c r="I8" s="90">
        <v>3.3333333333333335</v>
      </c>
      <c r="J8" t="s">
        <v>172</v>
      </c>
    </row>
    <row r="9" spans="1:10">
      <c r="A9" s="12">
        <v>2</v>
      </c>
      <c r="B9" s="89">
        <v>3788.1</v>
      </c>
      <c r="C9" s="12">
        <f t="shared" si="0"/>
        <v>3.7881</v>
      </c>
      <c r="D9" s="12">
        <f t="shared" si="1"/>
        <v>0.26630343000000001</v>
      </c>
      <c r="E9" s="12">
        <f t="shared" si="2"/>
        <v>1.1888545982142859E-2</v>
      </c>
      <c r="F9" s="12">
        <f>E9/Calculation!K$5*1000</f>
        <v>7.9362790267976345E-3</v>
      </c>
      <c r="G9" s="12">
        <f t="shared" si="3"/>
        <v>0.36125451987732438</v>
      </c>
      <c r="I9" s="90">
        <v>4.666666666666667</v>
      </c>
      <c r="J9" t="s">
        <v>173</v>
      </c>
    </row>
    <row r="10" spans="1:10">
      <c r="A10" s="12">
        <v>2.5</v>
      </c>
      <c r="B10" s="89">
        <v>5294.7</v>
      </c>
      <c r="C10" s="12">
        <f t="shared" si="0"/>
        <v>5.2946999999999997</v>
      </c>
      <c r="D10" s="12">
        <f t="shared" si="1"/>
        <v>0.37221740999999997</v>
      </c>
      <c r="E10" s="12">
        <f t="shared" si="2"/>
        <v>1.6616848660714285E-2</v>
      </c>
      <c r="F10" s="12">
        <f>E10/Calculation!K$5*1000</f>
        <v>1.1092689359622354E-2</v>
      </c>
      <c r="G10" s="12">
        <f t="shared" si="3"/>
        <v>0.64668904567362417</v>
      </c>
      <c r="I10" s="90">
        <v>6</v>
      </c>
      <c r="J10" t="s">
        <v>174</v>
      </c>
    </row>
    <row r="11" spans="1:10">
      <c r="A11" s="12">
        <v>3</v>
      </c>
      <c r="B11" s="89">
        <v>7636.8</v>
      </c>
      <c r="C11" s="12">
        <f t="shared" si="0"/>
        <v>7.6368</v>
      </c>
      <c r="D11" s="12">
        <f t="shared" si="1"/>
        <v>0.53686703999999996</v>
      </c>
      <c r="E11" s="12">
        <f t="shared" si="2"/>
        <v>2.3967278571428573E-2</v>
      </c>
      <c r="F11" s="12">
        <f>E11/Calculation!K$5*1000</f>
        <v>1.5999518405493039E-2</v>
      </c>
      <c r="G11" s="12">
        <f t="shared" si="3"/>
        <v>1.0530721621503552</v>
      </c>
      <c r="I11" s="90">
        <v>7.333333333333333</v>
      </c>
      <c r="J11" t="s">
        <v>175</v>
      </c>
    </row>
    <row r="12" spans="1:10">
      <c r="A12" s="12">
        <v>3.5</v>
      </c>
      <c r="B12" s="89">
        <v>10513.5</v>
      </c>
      <c r="C12" s="12">
        <f t="shared" si="0"/>
        <v>10.513500000000001</v>
      </c>
      <c r="D12" s="12">
        <f t="shared" si="1"/>
        <v>0.73909904999999998</v>
      </c>
      <c r="E12" s="12">
        <f t="shared" si="2"/>
        <v>3.2995493303571433E-2</v>
      </c>
      <c r="F12" s="12">
        <f>E12/Calculation!K$6*1000</f>
        <v>2.2723688690703722E-2</v>
      </c>
      <c r="G12" s="12">
        <f t="shared" si="3"/>
        <v>1.6339202685933065</v>
      </c>
      <c r="I12" s="90">
        <v>8.6666666666666661</v>
      </c>
      <c r="J12" t="s">
        <v>176</v>
      </c>
    </row>
    <row r="13" spans="1:10">
      <c r="A13" s="12">
        <v>4</v>
      </c>
      <c r="B13" s="89">
        <v>14649.4</v>
      </c>
      <c r="C13" s="12">
        <f t="shared" si="0"/>
        <v>14.6494</v>
      </c>
      <c r="D13" s="12">
        <f t="shared" si="1"/>
        <v>1.0298528199999999</v>
      </c>
      <c r="E13" s="12">
        <f t="shared" si="2"/>
        <v>4.5975572321428571E-2</v>
      </c>
      <c r="F13" s="12">
        <f>E13/Calculation!K$6*1000</f>
        <v>3.1662948124372953E-2</v>
      </c>
      <c r="G13" s="12">
        <f t="shared" si="3"/>
        <v>2.4497198208194568</v>
      </c>
      <c r="I13" s="90">
        <v>10</v>
      </c>
      <c r="J13" t="s">
        <v>177</v>
      </c>
    </row>
    <row r="14" spans="1:10">
      <c r="A14" s="12">
        <v>4.5</v>
      </c>
      <c r="B14" s="89">
        <v>17908.2</v>
      </c>
      <c r="C14" s="12">
        <f t="shared" si="0"/>
        <v>17.908200000000001</v>
      </c>
      <c r="D14" s="12">
        <f t="shared" si="1"/>
        <v>1.25894646</v>
      </c>
      <c r="E14" s="12">
        <f t="shared" si="2"/>
        <v>5.6202966964285721E-2</v>
      </c>
      <c r="F14" s="12">
        <f>E14/Calculation!K$6*1000</f>
        <v>3.8706459486456499E-2</v>
      </c>
      <c r="G14" s="12">
        <f t="shared" si="3"/>
        <v>3.5052609349818988</v>
      </c>
      <c r="I14" s="90">
        <v>11.333333333333334</v>
      </c>
      <c r="J14" t="s">
        <v>178</v>
      </c>
    </row>
    <row r="15" spans="1:10">
      <c r="A15" s="12">
        <v>5</v>
      </c>
      <c r="B15" s="89">
        <v>21793</v>
      </c>
      <c r="C15" s="12">
        <f t="shared" si="0"/>
        <v>21.792999999999999</v>
      </c>
      <c r="D15" s="12">
        <f t="shared" si="1"/>
        <v>1.5320479</v>
      </c>
      <c r="E15" s="12">
        <f t="shared" si="2"/>
        <v>6.8394995535714292E-2</v>
      </c>
      <c r="F15" s="12">
        <f>E15/Calculation!K$7*1000</f>
        <v>4.8673095787104485E-2</v>
      </c>
      <c r="G15" s="12">
        <f t="shared" si="3"/>
        <v>4.8159542640853132</v>
      </c>
      <c r="I15" s="90">
        <v>12.666666666666666</v>
      </c>
      <c r="J15" t="s">
        <v>179</v>
      </c>
    </row>
    <row r="16" spans="1:10">
      <c r="A16" s="12">
        <v>5.5</v>
      </c>
      <c r="B16" s="89">
        <v>18055.400000000001</v>
      </c>
      <c r="C16" s="12">
        <f t="shared" si="0"/>
        <v>18.055400000000002</v>
      </c>
      <c r="D16" s="12">
        <f t="shared" si="1"/>
        <v>1.2692946200000002</v>
      </c>
      <c r="E16" s="12">
        <f t="shared" si="2"/>
        <v>5.6664938392857155E-2</v>
      </c>
      <c r="F16" s="12">
        <f>E16/Calculation!K$7*1000</f>
        <v>4.0325435400104914E-2</v>
      </c>
      <c r="G16" s="12">
        <f t="shared" si="3"/>
        <v>6.1509322318934547</v>
      </c>
      <c r="I16" s="90">
        <v>14</v>
      </c>
      <c r="J16" t="s">
        <v>180</v>
      </c>
    </row>
    <row r="17" spans="1:10">
      <c r="A17" s="12">
        <v>6</v>
      </c>
      <c r="B17" s="89">
        <v>26557.5</v>
      </c>
      <c r="C17" s="12">
        <f t="shared" si="0"/>
        <v>26.557500000000001</v>
      </c>
      <c r="D17" s="12">
        <f t="shared" si="1"/>
        <v>1.86699225</v>
      </c>
      <c r="E17" s="12">
        <f t="shared" si="2"/>
        <v>8.3347868303571437E-2</v>
      </c>
      <c r="F17" s="12">
        <f>E17/Calculation!K$8*1000</f>
        <v>6.1304384521239805E-2</v>
      </c>
      <c r="G17" s="12">
        <f t="shared" si="3"/>
        <v>7.6753795307136254</v>
      </c>
      <c r="I17" s="90">
        <v>15.333333333333334</v>
      </c>
      <c r="J17" t="s">
        <v>181</v>
      </c>
    </row>
    <row r="18" spans="1:10">
      <c r="A18" s="12">
        <v>6.5</v>
      </c>
      <c r="B18" s="89">
        <v>33734.5</v>
      </c>
      <c r="C18" s="12">
        <f t="shared" si="0"/>
        <v>33.734499999999997</v>
      </c>
      <c r="D18" s="12">
        <f t="shared" si="1"/>
        <v>2.3715353499999994</v>
      </c>
      <c r="E18" s="12">
        <f t="shared" si="2"/>
        <v>0.10587211383928569</v>
      </c>
      <c r="F18" s="12">
        <f>E18/Calculation!K$8*1000</f>
        <v>7.7871515000725366E-2</v>
      </c>
      <c r="G18" s="12">
        <f t="shared" si="3"/>
        <v>9.7630180235431041</v>
      </c>
      <c r="I18" s="90">
        <v>16.666666666666668</v>
      </c>
      <c r="J18" t="s">
        <v>182</v>
      </c>
    </row>
    <row r="19" spans="1:10">
      <c r="A19" s="12">
        <v>7</v>
      </c>
      <c r="B19" s="89">
        <v>41036.199999999997</v>
      </c>
      <c r="C19" s="12">
        <f t="shared" si="0"/>
        <v>41.036199999999994</v>
      </c>
      <c r="D19" s="12">
        <f t="shared" si="1"/>
        <v>2.8848448599999994</v>
      </c>
      <c r="E19" s="12">
        <f t="shared" si="2"/>
        <v>0.1287877169642857</v>
      </c>
      <c r="F19" s="12">
        <f>E19/Calculation!K$8*1000</f>
        <v>9.4726498506655404E-2</v>
      </c>
      <c r="G19" s="12">
        <f t="shared" si="3"/>
        <v>12.351988226153816</v>
      </c>
      <c r="I19" s="90">
        <v>18</v>
      </c>
      <c r="J19" t="s">
        <v>183</v>
      </c>
    </row>
    <row r="20" spans="1:10">
      <c r="A20" s="12">
        <v>7.5</v>
      </c>
      <c r="B20" s="89">
        <v>37267.9</v>
      </c>
      <c r="C20" s="12">
        <f t="shared" si="0"/>
        <v>37.267900000000004</v>
      </c>
      <c r="D20" s="12">
        <f t="shared" si="1"/>
        <v>2.6199333700000005</v>
      </c>
      <c r="E20" s="12">
        <f t="shared" si="2"/>
        <v>0.11696131116071432</v>
      </c>
      <c r="F20" s="12">
        <f>E20/Calculation!K$9*1000</f>
        <v>9.0056385698254679E-2</v>
      </c>
      <c r="G20" s="12">
        <f t="shared" si="3"/>
        <v>15.123731489227467</v>
      </c>
      <c r="I20" s="90">
        <v>24</v>
      </c>
      <c r="J20" t="s">
        <v>184</v>
      </c>
    </row>
    <row r="21" spans="1:10">
      <c r="A21" s="12">
        <v>8</v>
      </c>
      <c r="B21" s="89">
        <v>32165.599999999999</v>
      </c>
      <c r="C21" s="12">
        <f t="shared" si="0"/>
        <v>32.165599999999998</v>
      </c>
      <c r="D21" s="12">
        <f t="shared" si="1"/>
        <v>2.2612416799999995</v>
      </c>
      <c r="E21" s="12">
        <f t="shared" si="2"/>
        <v>0.10094828928571427</v>
      </c>
      <c r="F21" s="12">
        <f>E21/Calculation!K$9*1000</f>
        <v>7.7726882379092449E-2</v>
      </c>
      <c r="G21" s="12">
        <f t="shared" si="3"/>
        <v>17.640480510387675</v>
      </c>
      <c r="I21" s="90">
        <v>30.25</v>
      </c>
      <c r="J21" t="s">
        <v>185</v>
      </c>
    </row>
    <row r="22" spans="1:10">
      <c r="A22" s="12">
        <v>8.5</v>
      </c>
      <c r="B22" s="89">
        <v>35064</v>
      </c>
      <c r="C22" s="12">
        <f t="shared" si="0"/>
        <v>35.064</v>
      </c>
      <c r="D22" s="12">
        <f t="shared" si="1"/>
        <v>2.4649991999999998</v>
      </c>
      <c r="E22" s="12">
        <f t="shared" si="2"/>
        <v>0.11004460714285715</v>
      </c>
      <c r="F22" s="12">
        <f>E22/Calculation!K$9*1000</f>
        <v>8.4730749737001579E-2</v>
      </c>
      <c r="G22" s="12">
        <f t="shared" si="3"/>
        <v>20.077344992129085</v>
      </c>
      <c r="I22" s="90">
        <v>48</v>
      </c>
      <c r="J22" t="s">
        <v>186</v>
      </c>
    </row>
    <row r="23" spans="1:10">
      <c r="A23" s="12">
        <v>9</v>
      </c>
      <c r="B23" s="89">
        <v>36950</v>
      </c>
      <c r="C23" s="12">
        <f t="shared" si="0"/>
        <v>36.950000000000003</v>
      </c>
      <c r="D23" s="12">
        <f t="shared" si="1"/>
        <v>2.597585</v>
      </c>
      <c r="E23" s="12">
        <f t="shared" si="2"/>
        <v>0.11596361607142858</v>
      </c>
      <c r="F23" s="12">
        <f>E23/Calculation!K$10*1000</f>
        <v>9.2474583231651766E-2</v>
      </c>
      <c r="G23" s="12">
        <f t="shared" si="3"/>
        <v>22.735424986658884</v>
      </c>
    </row>
    <row r="24" spans="1:10">
      <c r="A24" s="12">
        <v>9.5</v>
      </c>
      <c r="B24" s="89">
        <v>38230.699999999997</v>
      </c>
      <c r="C24" s="12">
        <f t="shared" si="0"/>
        <v>38.230699999999999</v>
      </c>
      <c r="D24" s="12">
        <f t="shared" si="1"/>
        <v>2.6876182099999997</v>
      </c>
      <c r="E24" s="12">
        <f t="shared" si="2"/>
        <v>0.11998295580357142</v>
      </c>
      <c r="F24" s="12">
        <f>E24/Calculation!K$10*1000</f>
        <v>9.567978482149686E-2</v>
      </c>
      <c r="G24" s="12">
        <f t="shared" si="3"/>
        <v>25.557740507456113</v>
      </c>
    </row>
    <row r="25" spans="1:10">
      <c r="A25" s="12">
        <v>10</v>
      </c>
      <c r="B25" s="89">
        <v>43947.3</v>
      </c>
      <c r="C25" s="12">
        <f t="shared" si="0"/>
        <v>43.947300000000006</v>
      </c>
      <c r="D25" s="12">
        <f t="shared" si="1"/>
        <v>3.0894951900000005</v>
      </c>
      <c r="E25" s="12">
        <f t="shared" si="2"/>
        <v>0.13792389241071432</v>
      </c>
      <c r="F25" s="12">
        <f>E25/Calculation!K$11*1000</f>
        <v>0.11429472340186378</v>
      </c>
      <c r="G25" s="12">
        <f t="shared" si="3"/>
        <v>28.707358130806522</v>
      </c>
    </row>
    <row r="26" spans="1:10">
      <c r="A26" s="12">
        <v>10.5</v>
      </c>
      <c r="B26" s="89">
        <v>44245.3</v>
      </c>
      <c r="C26" s="12">
        <f t="shared" si="0"/>
        <v>44.2453</v>
      </c>
      <c r="D26" s="12">
        <f t="shared" si="1"/>
        <v>3.1104445900000002</v>
      </c>
      <c r="E26" s="12">
        <f t="shared" si="2"/>
        <v>0.13885913348214288</v>
      </c>
      <c r="F26" s="12">
        <f>E26/Calculation!K$11*1000</f>
        <v>0.11506973864907474</v>
      </c>
      <c r="G26" s="12">
        <f t="shared" si="3"/>
        <v>32.1478250615706</v>
      </c>
    </row>
    <row r="27" spans="1:10">
      <c r="A27" s="12">
        <v>11</v>
      </c>
      <c r="B27" s="89">
        <v>43195.8</v>
      </c>
      <c r="C27" s="12">
        <f t="shared" si="0"/>
        <v>43.195800000000006</v>
      </c>
      <c r="D27" s="12">
        <f t="shared" si="1"/>
        <v>3.0366647400000004</v>
      </c>
      <c r="E27" s="12">
        <f t="shared" si="2"/>
        <v>0.13556539017857144</v>
      </c>
      <c r="F27" s="12">
        <f>E27/Calculation!K$11*1000</f>
        <v>0.11234028058884679</v>
      </c>
      <c r="G27" s="12">
        <f t="shared" si="3"/>
        <v>35.55897535013942</v>
      </c>
    </row>
    <row r="28" spans="1:10">
      <c r="A28" s="12">
        <v>11.5</v>
      </c>
      <c r="B28" s="89">
        <v>38857.599999999999</v>
      </c>
      <c r="C28" s="12">
        <f t="shared" si="0"/>
        <v>38.857599999999998</v>
      </c>
      <c r="D28" s="12">
        <f t="shared" si="1"/>
        <v>2.7316892799999999</v>
      </c>
      <c r="E28" s="12">
        <f t="shared" si="2"/>
        <v>0.12195041428571429</v>
      </c>
      <c r="F28" s="12">
        <f>E28/Calculation!K$12*1000</f>
        <v>0.10533496333050824</v>
      </c>
      <c r="G28" s="12">
        <f t="shared" si="3"/>
        <v>38.824104008929744</v>
      </c>
    </row>
    <row r="29" spans="1:10">
      <c r="A29" s="12">
        <v>12</v>
      </c>
      <c r="B29" s="89">
        <v>33471.699999999997</v>
      </c>
      <c r="C29" s="12">
        <f t="shared" si="0"/>
        <v>33.471699999999998</v>
      </c>
      <c r="D29" s="12">
        <f t="shared" si="1"/>
        <v>2.3530605099999997</v>
      </c>
      <c r="E29" s="12">
        <f t="shared" si="2"/>
        <v>0.10504734419642857</v>
      </c>
      <c r="F29" s="12">
        <f>E29/Calculation!K$12*1000</f>
        <v>9.0734895930519963E-2</v>
      </c>
      <c r="G29" s="12">
        <f t="shared" si="3"/>
        <v>41.765151897845165</v>
      </c>
    </row>
    <row r="30" spans="1:10">
      <c r="A30" s="12">
        <v>12.5</v>
      </c>
      <c r="B30" s="89">
        <v>32526</v>
      </c>
      <c r="C30" s="12">
        <f t="shared" si="0"/>
        <v>32.526000000000003</v>
      </c>
      <c r="D30" s="12">
        <f t="shared" si="1"/>
        <v>2.2865778000000003</v>
      </c>
      <c r="E30" s="12">
        <f t="shared" si="2"/>
        <v>0.10207936607142859</v>
      </c>
      <c r="F30" s="12">
        <f>E30/Calculation!K$12*1000</f>
        <v>8.8171297694353529E-2</v>
      </c>
      <c r="G30" s="12">
        <f t="shared" si="3"/>
        <v>44.448744802218265</v>
      </c>
    </row>
    <row r="31" spans="1:10">
      <c r="A31" s="12">
        <v>13</v>
      </c>
      <c r="B31" s="89">
        <v>28995.3</v>
      </c>
      <c r="C31" s="12">
        <f t="shared" si="0"/>
        <v>28.9953</v>
      </c>
      <c r="D31" s="12">
        <f t="shared" si="1"/>
        <v>2.0383695899999998</v>
      </c>
      <c r="E31" s="12">
        <f t="shared" si="2"/>
        <v>9.0998642410714287E-2</v>
      </c>
      <c r="F31" s="12">
        <f>E31/Calculation!K$13*1000</f>
        <v>8.2349659653658147E-2</v>
      </c>
      <c r="G31" s="12">
        <f t="shared" si="3"/>
        <v>47.006559162438442</v>
      </c>
    </row>
    <row r="32" spans="1:10">
      <c r="A32" s="12">
        <v>13.5</v>
      </c>
      <c r="B32" s="89">
        <v>35147.1</v>
      </c>
      <c r="C32" s="12">
        <f t="shared" si="0"/>
        <v>35.147100000000002</v>
      </c>
      <c r="D32" s="12">
        <f t="shared" si="1"/>
        <v>2.4708411299999997</v>
      </c>
      <c r="E32" s="12">
        <f t="shared" si="2"/>
        <v>0.11030540758928571</v>
      </c>
      <c r="F32" s="12">
        <f>E32/Calculation!K$13*1000</f>
        <v>9.9821409773759487E-2</v>
      </c>
      <c r="G32" s="12">
        <f t="shared" si="3"/>
        <v>49.73912520384971</v>
      </c>
    </row>
    <row r="33" spans="1:7">
      <c r="A33" s="12">
        <v>14</v>
      </c>
      <c r="B33" s="89">
        <v>31225.3</v>
      </c>
      <c r="C33" s="12">
        <f t="shared" si="0"/>
        <v>31.225300000000001</v>
      </c>
      <c r="D33" s="12">
        <f t="shared" si="1"/>
        <v>2.19513859</v>
      </c>
      <c r="E33" s="12">
        <f t="shared" si="2"/>
        <v>9.7997258482142857E-2</v>
      </c>
      <c r="F33" s="12">
        <f>E33/Calculation!K$14*1000</f>
        <v>9.277615670638889E-2</v>
      </c>
      <c r="G33" s="12">
        <f t="shared" si="3"/>
        <v>52.628088701051936</v>
      </c>
    </row>
    <row r="34" spans="1:7">
      <c r="A34" s="12">
        <v>14.5</v>
      </c>
      <c r="B34" s="89">
        <v>27146.400000000001</v>
      </c>
      <c r="C34" s="12">
        <f t="shared" si="0"/>
        <v>27.1464</v>
      </c>
      <c r="D34" s="12">
        <f t="shared" si="1"/>
        <v>1.9083919199999999</v>
      </c>
      <c r="E34" s="12">
        <f t="shared" si="2"/>
        <v>8.5196067857142857E-2</v>
      </c>
      <c r="F34" s="12">
        <f>E34/Calculation!K$14*1000</f>
        <v>8.0656988416902817E-2</v>
      </c>
      <c r="G34" s="12">
        <f t="shared" si="3"/>
        <v>55.229585877901314</v>
      </c>
    </row>
    <row r="35" spans="1:7">
      <c r="A35" s="12">
        <v>15</v>
      </c>
      <c r="B35" s="89">
        <v>28839.9</v>
      </c>
      <c r="C35" s="12">
        <f t="shared" si="0"/>
        <v>28.8399</v>
      </c>
      <c r="D35" s="12">
        <f t="shared" si="1"/>
        <v>2.0274449699999999</v>
      </c>
      <c r="E35" s="12">
        <f t="shared" si="2"/>
        <v>9.0510936160714289E-2</v>
      </c>
      <c r="F35" s="12">
        <f>E35/Calculation!K$14*1000</f>
        <v>8.5688690958824573E-2</v>
      </c>
      <c r="G35" s="12">
        <f t="shared" si="3"/>
        <v>57.724771068537223</v>
      </c>
    </row>
    <row r="36" spans="1:7">
      <c r="A36" s="12">
        <v>15.5</v>
      </c>
      <c r="B36" s="89">
        <v>33163.699999999997</v>
      </c>
      <c r="C36" s="12">
        <f t="shared" si="0"/>
        <v>33.163699999999999</v>
      </c>
      <c r="D36" s="12">
        <f t="shared" si="1"/>
        <v>2.3314081099999999</v>
      </c>
      <c r="E36" s="12">
        <f t="shared" si="2"/>
        <v>0.10408071919642857</v>
      </c>
      <c r="F36" s="12">
        <f>E36/Calculation!K$15*1000</f>
        <v>0.10261027898421876</v>
      </c>
      <c r="G36" s="12">
        <f t="shared" si="3"/>
        <v>60.549255617682874</v>
      </c>
    </row>
    <row r="37" spans="1:7">
      <c r="A37" s="12">
        <v>16</v>
      </c>
      <c r="B37" s="89">
        <v>29855.200000000001</v>
      </c>
      <c r="C37" s="12">
        <f t="shared" si="0"/>
        <v>29.8552</v>
      </c>
      <c r="D37" s="12">
        <f t="shared" si="1"/>
        <v>2.0988205599999996</v>
      </c>
      <c r="E37" s="12">
        <f t="shared" si="2"/>
        <v>9.3697346428571415E-2</v>
      </c>
      <c r="F37" s="12">
        <f>E37/Calculation!K$15*1000</f>
        <v>9.2373601290858615E-2</v>
      </c>
      <c r="G37" s="12">
        <f t="shared" si="3"/>
        <v>63.474013821809038</v>
      </c>
    </row>
    <row r="38" spans="1:7">
      <c r="A38" s="12">
        <v>16.5</v>
      </c>
      <c r="B38" s="89">
        <v>27087.7</v>
      </c>
      <c r="C38" s="12">
        <f t="shared" si="0"/>
        <v>27.087700000000002</v>
      </c>
      <c r="D38" s="12">
        <f t="shared" si="1"/>
        <v>1.9042653100000002</v>
      </c>
      <c r="E38" s="12">
        <f t="shared" si="2"/>
        <v>8.5011844196428585E-2</v>
      </c>
      <c r="F38" s="12">
        <f>E38/Calculation!K$15*1000</f>
        <v>8.3810806817117015E-2</v>
      </c>
      <c r="G38" s="12">
        <f t="shared" si="3"/>
        <v>66.116779943428668</v>
      </c>
    </row>
    <row r="39" spans="1:7">
      <c r="A39" s="12">
        <v>17</v>
      </c>
      <c r="B39" s="89">
        <v>35121.9</v>
      </c>
      <c r="C39" s="12">
        <f t="shared" si="0"/>
        <v>35.121900000000004</v>
      </c>
      <c r="D39" s="12">
        <f t="shared" si="1"/>
        <v>2.4690695700000003</v>
      </c>
      <c r="E39" s="12">
        <f t="shared" si="2"/>
        <v>0.11022632008928573</v>
      </c>
      <c r="F39" s="12">
        <f>E39/Calculation!K$16*1000</f>
        <v>0.11345858297108811</v>
      </c>
      <c r="G39" s="12">
        <f t="shared" si="3"/>
        <v>69.07582079025174</v>
      </c>
    </row>
    <row r="40" spans="1:7">
      <c r="A40" s="12">
        <v>17.5</v>
      </c>
      <c r="B40" s="89">
        <v>26043.599999999999</v>
      </c>
      <c r="C40" s="12">
        <f t="shared" si="0"/>
        <v>26.043599999999998</v>
      </c>
      <c r="D40" s="12">
        <f t="shared" si="1"/>
        <v>1.8308650799999997</v>
      </c>
      <c r="E40" s="12">
        <f t="shared" si="2"/>
        <v>8.1735048214285705E-2</v>
      </c>
      <c r="F40" s="12">
        <f>E40/Calculation!K$16*1000</f>
        <v>8.4131836588163783E-2</v>
      </c>
      <c r="G40" s="12">
        <f t="shared" si="3"/>
        <v>72.039677083640512</v>
      </c>
    </row>
    <row r="41" spans="1:7">
      <c r="A41" s="12">
        <v>18</v>
      </c>
      <c r="B41" s="89">
        <v>22078.400000000001</v>
      </c>
      <c r="C41" s="12">
        <f t="shared" si="0"/>
        <v>22.078400000000002</v>
      </c>
      <c r="D41" s="12">
        <f t="shared" si="1"/>
        <v>1.55211152</v>
      </c>
      <c r="E41" s="12">
        <f t="shared" si="2"/>
        <v>6.9290692857142858E-2</v>
      </c>
      <c r="F41" s="12">
        <f>E41/Calculation!K$17*1000</f>
        <v>7.4680638165868174E-2</v>
      </c>
      <c r="G41" s="12">
        <f t="shared" si="3"/>
        <v>74.421864204950992</v>
      </c>
    </row>
    <row r="42" spans="1:7">
      <c r="A42" s="12">
        <v>18.5</v>
      </c>
      <c r="B42" s="89">
        <v>16129.8</v>
      </c>
      <c r="C42" s="12">
        <f t="shared" si="0"/>
        <v>16.129799999999999</v>
      </c>
      <c r="D42" s="12">
        <f t="shared" si="1"/>
        <v>1.13392494</v>
      </c>
      <c r="E42" s="12">
        <f t="shared" si="2"/>
        <v>5.0621649107142862E-2</v>
      </c>
      <c r="F42" s="12">
        <f>E42/Calculation!K$17*1000</f>
        <v>5.4559377377338049E-2</v>
      </c>
      <c r="G42" s="12">
        <f t="shared" si="3"/>
        <v>76.360464438099086</v>
      </c>
    </row>
    <row r="43" spans="1:7">
      <c r="A43" s="12">
        <v>19</v>
      </c>
      <c r="B43" s="89">
        <v>12511.5</v>
      </c>
      <c r="C43" s="12">
        <f t="shared" si="0"/>
        <v>12.5115</v>
      </c>
      <c r="D43" s="12">
        <f t="shared" si="1"/>
        <v>0.87955844999999999</v>
      </c>
      <c r="E43" s="12">
        <f t="shared" si="2"/>
        <v>3.9266002232142862E-2</v>
      </c>
      <c r="F43" s="12">
        <f>E43/Calculation!K$17*1000</f>
        <v>4.232040385228366E-2</v>
      </c>
      <c r="G43" s="12">
        <f t="shared" si="3"/>
        <v>77.813661156543418</v>
      </c>
    </row>
    <row r="44" spans="1:7">
      <c r="A44" s="12">
        <v>19.5</v>
      </c>
      <c r="B44" s="89">
        <v>9273.4</v>
      </c>
      <c r="C44" s="12">
        <f t="shared" si="0"/>
        <v>9.2733999999999988</v>
      </c>
      <c r="D44" s="12">
        <f t="shared" si="1"/>
        <v>0.65192001999999993</v>
      </c>
      <c r="E44" s="12">
        <f t="shared" si="2"/>
        <v>2.9103572321428569E-2</v>
      </c>
      <c r="F44" s="12">
        <f>E44/Calculation!K$17*1000</f>
        <v>3.1367464579288427E-2</v>
      </c>
      <c r="G44" s="12">
        <f t="shared" si="3"/>
        <v>78.918979183017001</v>
      </c>
    </row>
    <row r="45" spans="1:7">
      <c r="A45" s="12">
        <v>20</v>
      </c>
      <c r="B45" s="89">
        <v>6845.5</v>
      </c>
      <c r="C45" s="12">
        <f t="shared" si="0"/>
        <v>6.8455000000000004</v>
      </c>
      <c r="D45" s="12">
        <f t="shared" si="1"/>
        <v>0.48123864999999999</v>
      </c>
      <c r="E45" s="12">
        <f t="shared" si="2"/>
        <v>2.1483868303571428E-2</v>
      </c>
      <c r="F45" s="12">
        <f>E45/Calculation!K$17*1000</f>
        <v>2.3155043325804883E-2</v>
      </c>
      <c r="G45" s="12">
        <f t="shared" si="3"/>
        <v>79.736816801593406</v>
      </c>
    </row>
    <row r="46" spans="1:7">
      <c r="A46" s="12">
        <v>20.5</v>
      </c>
      <c r="B46" s="89">
        <v>4368</v>
      </c>
      <c r="C46" s="12">
        <f t="shared" si="0"/>
        <v>4.3680000000000003</v>
      </c>
      <c r="D46" s="12">
        <f t="shared" si="1"/>
        <v>0.30707040000000002</v>
      </c>
      <c r="E46" s="12">
        <f t="shared" si="2"/>
        <v>1.3708500000000002E-2</v>
      </c>
      <c r="F46" s="12">
        <f>E46/Calculation!K$17*1000</f>
        <v>1.4774849061005879E-2</v>
      </c>
      <c r="G46" s="12">
        <f t="shared" si="3"/>
        <v>80.305765187395565</v>
      </c>
    </row>
    <row r="47" spans="1:7">
      <c r="A47" s="12">
        <v>21</v>
      </c>
      <c r="B47" s="89">
        <v>2507.4</v>
      </c>
      <c r="C47" s="12">
        <f t="shared" si="0"/>
        <v>2.5074000000000001</v>
      </c>
      <c r="D47" s="12">
        <f t="shared" si="1"/>
        <v>0.17627021999999998</v>
      </c>
      <c r="E47" s="12">
        <f t="shared" si="2"/>
        <v>7.86920625E-3</v>
      </c>
      <c r="F47" s="12">
        <f>E47/Calculation!K$17*1000</f>
        <v>8.481331624442796E-3</v>
      </c>
      <c r="G47" s="12">
        <f t="shared" si="3"/>
        <v>80.654607897677295</v>
      </c>
    </row>
    <row r="48" spans="1:7">
      <c r="A48" s="12">
        <v>21.5</v>
      </c>
      <c r="B48" s="89">
        <v>1020.6</v>
      </c>
      <c r="C48" s="12">
        <f t="shared" si="0"/>
        <v>1.0206</v>
      </c>
      <c r="D48" s="12">
        <f t="shared" si="1"/>
        <v>7.1748179999999995E-2</v>
      </c>
      <c r="E48" s="12">
        <f t="shared" si="2"/>
        <v>3.2030437500000001E-3</v>
      </c>
      <c r="F48" s="12">
        <f>E48/Calculation!K$17*1000</f>
        <v>3.4522003094465655E-3</v>
      </c>
      <c r="G48" s="12">
        <f t="shared" si="3"/>
        <v>80.83361087668564</v>
      </c>
    </row>
    <row r="49" spans="1:7">
      <c r="A49" s="12">
        <v>22</v>
      </c>
      <c r="B49" s="89">
        <v>434.5</v>
      </c>
      <c r="C49" s="12">
        <f t="shared" si="0"/>
        <v>0.4345</v>
      </c>
      <c r="D49" s="12">
        <f t="shared" si="1"/>
        <v>3.0545349999999999E-2</v>
      </c>
      <c r="E49" s="12">
        <f t="shared" si="2"/>
        <v>1.3636316964285714E-3</v>
      </c>
      <c r="F49" s="12">
        <f>E49/Calculation!K$17*1000</f>
        <v>1.4697051092049114E-3</v>
      </c>
      <c r="G49" s="12">
        <f t="shared" si="3"/>
        <v>80.90743945796541</v>
      </c>
    </row>
    <row r="50" spans="1:7">
      <c r="A50" s="12">
        <v>22.5</v>
      </c>
      <c r="B50" s="89">
        <v>262.8</v>
      </c>
      <c r="C50" s="12">
        <f t="shared" si="0"/>
        <v>0.26280000000000003</v>
      </c>
      <c r="D50" s="12">
        <f t="shared" si="1"/>
        <v>1.8474840000000003E-2</v>
      </c>
      <c r="E50" s="12">
        <f t="shared" si="2"/>
        <v>8.24769642857143E-4</v>
      </c>
      <c r="F50" s="12">
        <f>E50/Calculation!K$17*1000</f>
        <v>8.8892635834073822E-4</v>
      </c>
      <c r="G50" s="12">
        <f t="shared" si="3"/>
        <v>80.9428189299786</v>
      </c>
    </row>
    <row r="51" spans="1:7">
      <c r="A51" s="12">
        <v>23</v>
      </c>
      <c r="B51" s="89">
        <v>224.9</v>
      </c>
      <c r="C51" s="12">
        <f t="shared" si="0"/>
        <v>0.22490000000000002</v>
      </c>
      <c r="D51" s="12">
        <f t="shared" si="1"/>
        <v>1.581047E-2</v>
      </c>
      <c r="E51" s="12">
        <f t="shared" si="2"/>
        <v>7.0582455357142857E-4</v>
      </c>
      <c r="F51" s="12">
        <f>E51/Calculation!K$17*1000</f>
        <v>7.6072883558155253E-4</v>
      </c>
      <c r="G51" s="12">
        <f t="shared" si="3"/>
        <v>80.967563757887433</v>
      </c>
    </row>
    <row r="52" spans="1:7">
      <c r="A52" s="12">
        <v>23.5</v>
      </c>
      <c r="B52" s="89">
        <v>237.6</v>
      </c>
      <c r="C52" s="12">
        <f t="shared" si="0"/>
        <v>0.23760000000000001</v>
      </c>
      <c r="D52" s="12">
        <f t="shared" si="1"/>
        <v>1.6703280000000001E-2</v>
      </c>
      <c r="E52" s="12">
        <f t="shared" si="2"/>
        <v>7.456821428571429E-4</v>
      </c>
      <c r="F52" s="12">
        <f>E52/Calculation!K$17*1000</f>
        <v>8.036868445272427E-4</v>
      </c>
      <c r="G52" s="12">
        <f t="shared" si="3"/>
        <v>80.991029993089072</v>
      </c>
    </row>
    <row r="53" spans="1:7">
      <c r="A53" s="12">
        <v>24</v>
      </c>
      <c r="B53" s="89">
        <v>234.8</v>
      </c>
      <c r="C53" s="12">
        <f t="shared" si="0"/>
        <v>0.23480000000000001</v>
      </c>
      <c r="D53" s="12">
        <f t="shared" si="1"/>
        <v>1.6506440000000001E-2</v>
      </c>
      <c r="E53" s="12">
        <f t="shared" si="2"/>
        <v>7.3689464285714293E-4</v>
      </c>
      <c r="F53" s="12">
        <f>E53/Calculation!K$18*1000</f>
        <v>8.4412317169615838E-4</v>
      </c>
      <c r="G53" s="12">
        <f t="shared" si="3"/>
        <v>81.015747143332419</v>
      </c>
    </row>
    <row r="54" spans="1:7">
      <c r="A54" s="12">
        <v>24.5</v>
      </c>
      <c r="B54" s="89">
        <v>296.3</v>
      </c>
      <c r="C54" s="12">
        <f t="shared" si="0"/>
        <v>0.29630000000000001</v>
      </c>
      <c r="D54" s="12">
        <f t="shared" si="1"/>
        <v>2.082989E-2</v>
      </c>
      <c r="E54" s="12">
        <f t="shared" si="2"/>
        <v>9.2990580357142866E-4</v>
      </c>
      <c r="F54" s="12">
        <f>E54/Calculation!K$18*1000</f>
        <v>1.065220169393406E-3</v>
      </c>
      <c r="G54" s="12">
        <f t="shared" si="3"/>
        <v>81.044387293448764</v>
      </c>
    </row>
    <row r="55" spans="1:7">
      <c r="A55" s="12">
        <v>25</v>
      </c>
      <c r="B55" s="89">
        <v>233.9</v>
      </c>
      <c r="C55" s="12">
        <f t="shared" si="0"/>
        <v>0.2339</v>
      </c>
      <c r="D55" s="12">
        <f t="shared" si="1"/>
        <v>1.644317E-2</v>
      </c>
      <c r="E55" s="12">
        <f t="shared" si="2"/>
        <v>7.3407008928571432E-4</v>
      </c>
      <c r="F55" s="12">
        <f>E55/Calculation!K$18*1000</f>
        <v>8.4088760587619851E-4</v>
      </c>
      <c r="G55" s="12">
        <f t="shared" si="3"/>
        <v>81.072978910077808</v>
      </c>
    </row>
    <row r="56" spans="1:7">
      <c r="A56" s="12">
        <v>25.5</v>
      </c>
      <c r="B56" s="89">
        <v>229.4</v>
      </c>
      <c r="C56" s="12">
        <f t="shared" si="0"/>
        <v>0.22939999999999999</v>
      </c>
      <c r="D56" s="12">
        <f t="shared" si="1"/>
        <v>1.612682E-2</v>
      </c>
      <c r="E56" s="12">
        <f t="shared" si="2"/>
        <v>7.1994732142857145E-4</v>
      </c>
      <c r="F56" s="12">
        <f>E56/Calculation!K$18*1000</f>
        <v>8.247097767763999E-4</v>
      </c>
      <c r="G56" s="12">
        <f t="shared" si="3"/>
        <v>81.097962870817597</v>
      </c>
    </row>
    <row r="57" spans="1:7">
      <c r="A57" s="12">
        <v>26</v>
      </c>
      <c r="B57" s="89">
        <v>264.60000000000002</v>
      </c>
      <c r="C57" s="12">
        <f t="shared" si="0"/>
        <v>0.2646</v>
      </c>
      <c r="D57" s="12">
        <f t="shared" si="1"/>
        <v>1.8601379999999997E-2</v>
      </c>
      <c r="E57" s="12">
        <f t="shared" si="2"/>
        <v>8.3041874999999991E-4</v>
      </c>
      <c r="F57" s="12">
        <f>E57/Calculation!K$18*1000</f>
        <v>9.5125635106815777E-4</v>
      </c>
      <c r="G57" s="12">
        <f t="shared" si="3"/>
        <v>81.12460236273526</v>
      </c>
    </row>
    <row r="58" spans="1:7">
      <c r="A58" s="12">
        <v>26.5</v>
      </c>
      <c r="B58" s="89">
        <v>249.3</v>
      </c>
      <c r="C58" s="12">
        <f t="shared" si="0"/>
        <v>0.24930000000000002</v>
      </c>
      <c r="D58" s="12">
        <f t="shared" si="1"/>
        <v>1.7525790000000003E-2</v>
      </c>
      <c r="E58" s="12">
        <f t="shared" si="2"/>
        <v>7.8240133928571449E-4</v>
      </c>
      <c r="F58" s="12">
        <f>E58/Calculation!K$18*1000</f>
        <v>8.9625173212884283E-4</v>
      </c>
      <c r="G58" s="12">
        <f t="shared" si="3"/>
        <v>81.152314983983217</v>
      </c>
    </row>
    <row r="59" spans="1:7">
      <c r="A59" s="12">
        <v>27</v>
      </c>
      <c r="B59" s="89">
        <v>255.6</v>
      </c>
      <c r="C59" s="12">
        <f t="shared" si="0"/>
        <v>0.25559999999999999</v>
      </c>
      <c r="D59" s="12">
        <f t="shared" si="1"/>
        <v>1.7968679999999997E-2</v>
      </c>
      <c r="E59" s="12">
        <f t="shared" si="2"/>
        <v>8.0217321428571416E-4</v>
      </c>
      <c r="F59" s="12">
        <f>E59/Calculation!K$18*1000</f>
        <v>9.1890069286856054E-4</v>
      </c>
      <c r="G59" s="12">
        <f t="shared" si="3"/>
        <v>81.179542270358183</v>
      </c>
    </row>
    <row r="60" spans="1:7">
      <c r="A60" s="12">
        <v>27.5</v>
      </c>
      <c r="B60" s="89">
        <v>216.8</v>
      </c>
      <c r="C60" s="12">
        <f t="shared" si="0"/>
        <v>0.21680000000000002</v>
      </c>
      <c r="D60" s="12">
        <f t="shared" si="1"/>
        <v>1.5241040000000001E-2</v>
      </c>
      <c r="E60" s="12">
        <f t="shared" si="2"/>
        <v>6.8040357142857156E-4</v>
      </c>
      <c r="F60" s="12">
        <f>E60/Calculation!K$18*1000</f>
        <v>7.7941185529696393E-4</v>
      </c>
      <c r="G60" s="12">
        <f t="shared" si="3"/>
        <v>81.205016958580671</v>
      </c>
    </row>
    <row r="61" spans="1:7">
      <c r="A61" s="12">
        <v>28</v>
      </c>
      <c r="B61" s="89">
        <v>365.8</v>
      </c>
      <c r="C61" s="12">
        <f t="shared" si="0"/>
        <v>0.36580000000000001</v>
      </c>
      <c r="D61" s="12">
        <f t="shared" si="1"/>
        <v>2.5715739999999997E-2</v>
      </c>
      <c r="E61" s="12">
        <f t="shared" si="2"/>
        <v>1.1480241071428572E-3</v>
      </c>
      <c r="F61" s="12">
        <f>E61/Calculation!K$18*1000</f>
        <v>1.3150777521569621E-3</v>
      </c>
      <c r="G61" s="12">
        <f t="shared" si="3"/>
        <v>81.236434302692487</v>
      </c>
    </row>
    <row r="62" spans="1:7">
      <c r="A62" s="12">
        <v>28.5</v>
      </c>
      <c r="B62" s="89">
        <v>0.9</v>
      </c>
      <c r="C62" s="12">
        <f t="shared" si="0"/>
        <v>8.9999999999999998E-4</v>
      </c>
      <c r="D62" s="12">
        <f t="shared" si="1"/>
        <v>6.3269999999999996E-5</v>
      </c>
      <c r="E62" s="12">
        <f t="shared" si="2"/>
        <v>2.8245535714285714E-6</v>
      </c>
      <c r="F62" s="12">
        <f>E62/Calculation!K$18*1000</f>
        <v>3.2355658199597207E-6</v>
      </c>
      <c r="G62" s="12">
        <f t="shared" si="3"/>
        <v>81.256209002462143</v>
      </c>
    </row>
    <row r="63" spans="1:7">
      <c r="A63" s="12">
        <v>29</v>
      </c>
      <c r="B63" s="89">
        <v>260.10000000000002</v>
      </c>
      <c r="C63" s="12">
        <f t="shared" si="0"/>
        <v>0.2601</v>
      </c>
      <c r="D63" s="12">
        <f t="shared" si="1"/>
        <v>1.8285029999999997E-2</v>
      </c>
      <c r="E63" s="12">
        <f t="shared" si="2"/>
        <v>8.1629598214285704E-4</v>
      </c>
      <c r="F63" s="12">
        <f>E63/Calculation!K$18*1000</f>
        <v>9.3507852196835915E-4</v>
      </c>
      <c r="G63" s="12">
        <f t="shared" si="3"/>
        <v>81.270283713778966</v>
      </c>
    </row>
    <row r="64" spans="1:7">
      <c r="A64" s="12">
        <v>29.5</v>
      </c>
      <c r="B64" s="89">
        <v>289</v>
      </c>
      <c r="C64" s="12">
        <f t="shared" si="0"/>
        <v>0.28899999999999998</v>
      </c>
      <c r="D64" s="12">
        <f t="shared" si="1"/>
        <v>2.0316699999999997E-2</v>
      </c>
      <c r="E64" s="12">
        <f t="shared" si="2"/>
        <v>9.0699553571428561E-4</v>
      </c>
      <c r="F64" s="12">
        <f>E64/Calculation!K$18*1000</f>
        <v>1.0389761355203992E-3</v>
      </c>
      <c r="G64" s="12">
        <f t="shared" si="3"/>
        <v>81.299894533641293</v>
      </c>
    </row>
    <row r="65" spans="1:7">
      <c r="A65" s="12">
        <v>30</v>
      </c>
      <c r="B65" s="89">
        <v>270.10000000000002</v>
      </c>
      <c r="C65" s="12">
        <f t="shared" si="0"/>
        <v>0.27010000000000001</v>
      </c>
      <c r="D65" s="12">
        <f t="shared" si="1"/>
        <v>1.8988029999999999E-2</v>
      </c>
      <c r="E65" s="12">
        <f t="shared" si="2"/>
        <v>8.4767991071428572E-4</v>
      </c>
      <c r="F65" s="12">
        <f>E65/Calculation!K$18*1000</f>
        <v>9.710292533012452E-4</v>
      </c>
      <c r="G65" s="12">
        <f t="shared" si="3"/>
        <v>81.330044614473621</v>
      </c>
    </row>
    <row r="66" spans="1:7">
      <c r="A66" s="12">
        <v>30.5</v>
      </c>
      <c r="B66" s="89">
        <v>371.2</v>
      </c>
      <c r="C66" s="12">
        <f t="shared" si="0"/>
        <v>0.37119999999999997</v>
      </c>
      <c r="D66" s="12">
        <f t="shared" si="1"/>
        <v>2.6095359999999998E-2</v>
      </c>
      <c r="E66" s="12">
        <f t="shared" si="2"/>
        <v>1.1649714285714285E-3</v>
      </c>
      <c r="F66" s="12">
        <f>E66/Calculation!K$19*1000</f>
        <v>1.4423130313253078E-3</v>
      </c>
      <c r="G66" s="12">
        <f t="shared" si="3"/>
        <v>81.366244748743014</v>
      </c>
    </row>
    <row r="67" spans="1:7">
      <c r="A67" s="12">
        <v>31</v>
      </c>
      <c r="B67" s="89">
        <v>317.89999999999998</v>
      </c>
      <c r="C67" s="12">
        <f t="shared" si="0"/>
        <v>0.31789999999999996</v>
      </c>
      <c r="D67" s="12">
        <f t="shared" si="1"/>
        <v>2.2348369999999996E-2</v>
      </c>
      <c r="E67" s="12">
        <f t="shared" si="2"/>
        <v>9.9769508928571407E-4</v>
      </c>
      <c r="F67" s="12">
        <f>E67/Calculation!K$19*1000</f>
        <v>1.2352136655665821E-3</v>
      </c>
      <c r="G67" s="12">
        <f t="shared" si="3"/>
        <v>81.406407649196396</v>
      </c>
    </row>
    <row r="68" spans="1:7">
      <c r="A68" s="12">
        <v>31.5</v>
      </c>
      <c r="B68" s="89">
        <v>329.7</v>
      </c>
      <c r="C68" s="12">
        <f t="shared" si="0"/>
        <v>0.32969999999999999</v>
      </c>
      <c r="D68" s="12">
        <f t="shared" si="1"/>
        <v>2.3177909999999999E-2</v>
      </c>
      <c r="E68" s="12">
        <f t="shared" si="2"/>
        <v>1.0347281250000001E-3</v>
      </c>
      <c r="F68" s="12">
        <f>E68/Calculation!K$19*1000</f>
        <v>1.28106305610979E-3</v>
      </c>
      <c r="G68" s="12">
        <f t="shared" si="3"/>
        <v>81.444151800021544</v>
      </c>
    </row>
    <row r="69" spans="1:7">
      <c r="A69" s="12">
        <v>32</v>
      </c>
      <c r="B69" s="89">
        <v>365.8</v>
      </c>
      <c r="C69" s="12">
        <f t="shared" si="0"/>
        <v>0.36580000000000001</v>
      </c>
      <c r="D69" s="12">
        <f t="shared" si="1"/>
        <v>2.5715739999999997E-2</v>
      </c>
      <c r="E69" s="12">
        <f t="shared" si="2"/>
        <v>1.1480241071428572E-3</v>
      </c>
      <c r="F69" s="12">
        <f>E69/Calculation!K$19*1000</f>
        <v>1.4213311068394334E-3</v>
      </c>
      <c r="G69" s="12">
        <f t="shared" si="3"/>
        <v>81.484687712465785</v>
      </c>
    </row>
    <row r="70" spans="1:7">
      <c r="A70" s="12">
        <v>32.5</v>
      </c>
      <c r="B70" s="89">
        <v>309.8</v>
      </c>
      <c r="C70" s="12">
        <f t="shared" ref="C70:C101" si="4">B70/1000</f>
        <v>0.30980000000000002</v>
      </c>
      <c r="D70" s="12">
        <f t="shared" ref="D70:D101" si="5">C70/1000*$B$1</f>
        <v>2.177894E-2</v>
      </c>
      <c r="E70" s="12">
        <f t="shared" ref="E70:E101" si="6">D70/22.4</f>
        <v>9.7227410714285716E-4</v>
      </c>
      <c r="F70" s="12">
        <f>E70/Calculation!K$19*1000</f>
        <v>1.2037407788377703E-3</v>
      </c>
      <c r="G70" s="12">
        <f t="shared" si="3"/>
        <v>81.524063790750944</v>
      </c>
    </row>
    <row r="71" spans="1:7">
      <c r="A71" s="12">
        <v>33</v>
      </c>
      <c r="B71" s="89">
        <v>296.3</v>
      </c>
      <c r="C71" s="12">
        <f t="shared" si="4"/>
        <v>0.29630000000000001</v>
      </c>
      <c r="D71" s="12">
        <f t="shared" si="5"/>
        <v>2.082989E-2</v>
      </c>
      <c r="E71" s="12">
        <f t="shared" si="6"/>
        <v>9.2990580357142866E-4</v>
      </c>
      <c r="F71" s="12">
        <f>E71/Calculation!K$19*1000</f>
        <v>1.1512859676230838E-3</v>
      </c>
      <c r="G71" s="12">
        <f t="shared" ref="G71:G101" si="7">G70+(F71+F70)/2*30</f>
        <v>81.559389191947858</v>
      </c>
    </row>
    <row r="72" spans="1:7">
      <c r="A72" s="12">
        <v>33.5</v>
      </c>
      <c r="B72" s="89">
        <v>295.39999999999998</v>
      </c>
      <c r="C72" s="12">
        <f t="shared" si="4"/>
        <v>0.2954</v>
      </c>
      <c r="D72" s="12">
        <f t="shared" si="5"/>
        <v>2.0766619999999996E-2</v>
      </c>
      <c r="E72" s="12">
        <f t="shared" si="6"/>
        <v>9.2708124999999993E-4</v>
      </c>
      <c r="F72" s="12">
        <f>E72/Calculation!K$19*1000</f>
        <v>1.1477889802087712E-3</v>
      </c>
      <c r="G72" s="12">
        <f t="shared" si="7"/>
        <v>81.593875316165338</v>
      </c>
    </row>
    <row r="73" spans="1:7">
      <c r="A73" s="12">
        <v>34</v>
      </c>
      <c r="B73" s="89">
        <v>314.3</v>
      </c>
      <c r="C73" s="12">
        <f t="shared" si="4"/>
        <v>0.31430000000000002</v>
      </c>
      <c r="D73" s="12">
        <f t="shared" si="5"/>
        <v>2.2095290000000004E-2</v>
      </c>
      <c r="E73" s="12">
        <f t="shared" si="6"/>
        <v>9.8639687500000025E-4</v>
      </c>
      <c r="F73" s="12">
        <f>E73/Calculation!K$19*1000</f>
        <v>1.2212257159093329E-3</v>
      </c>
      <c r="G73" s="12">
        <f t="shared" si="7"/>
        <v>81.629410536607111</v>
      </c>
    </row>
    <row r="74" spans="1:7">
      <c r="A74" s="12">
        <v>34.5</v>
      </c>
      <c r="B74" s="89">
        <v>289</v>
      </c>
      <c r="C74" s="12">
        <f t="shared" si="4"/>
        <v>0.28899999999999998</v>
      </c>
      <c r="D74" s="12">
        <f t="shared" si="5"/>
        <v>2.0316699999999997E-2</v>
      </c>
      <c r="E74" s="12">
        <f t="shared" si="6"/>
        <v>9.0699553571428561E-4</v>
      </c>
      <c r="F74" s="12">
        <f>E74/Calculation!K$19*1000</f>
        <v>1.1229215141514385E-3</v>
      </c>
      <c r="G74" s="12">
        <f t="shared" si="7"/>
        <v>81.664572745058024</v>
      </c>
    </row>
    <row r="75" spans="1:7">
      <c r="A75" s="12">
        <v>35</v>
      </c>
      <c r="B75" s="89">
        <v>306.2</v>
      </c>
      <c r="C75" s="12">
        <f t="shared" si="4"/>
        <v>0.30619999999999997</v>
      </c>
      <c r="D75" s="12">
        <f t="shared" si="5"/>
        <v>2.1525859999999997E-2</v>
      </c>
      <c r="E75" s="12">
        <f t="shared" si="6"/>
        <v>9.609758928571428E-4</v>
      </c>
      <c r="F75" s="12">
        <f>E75/Calculation!K$19*1000</f>
        <v>1.1897528291805206E-3</v>
      </c>
      <c r="G75" s="12">
        <f t="shared" si="7"/>
        <v>81.699262860208009</v>
      </c>
    </row>
    <row r="76" spans="1:7">
      <c r="A76" s="12">
        <v>35.5</v>
      </c>
      <c r="B76" s="89">
        <v>299</v>
      </c>
      <c r="C76" s="12">
        <f t="shared" si="4"/>
        <v>0.29899999999999999</v>
      </c>
      <c r="D76" s="12">
        <f t="shared" si="5"/>
        <v>2.1019699999999999E-2</v>
      </c>
      <c r="E76" s="12">
        <f t="shared" si="6"/>
        <v>9.3837946428571429E-4</v>
      </c>
      <c r="F76" s="12">
        <f>E76/Calculation!K$19*1000</f>
        <v>1.1617769298660212E-3</v>
      </c>
      <c r="G76" s="12">
        <f t="shared" si="7"/>
        <v>81.734535806593712</v>
      </c>
    </row>
    <row r="77" spans="1:7">
      <c r="A77" s="12">
        <v>36</v>
      </c>
      <c r="B77" s="89">
        <v>260.10000000000002</v>
      </c>
      <c r="C77" s="12">
        <f t="shared" si="4"/>
        <v>0.2601</v>
      </c>
      <c r="D77" s="12">
        <f t="shared" si="5"/>
        <v>1.8285029999999997E-2</v>
      </c>
      <c r="E77" s="12">
        <f t="shared" si="6"/>
        <v>8.1629598214285704E-4</v>
      </c>
      <c r="F77" s="12">
        <f>E77/Calculation!K$19*1000</f>
        <v>1.0106293627362944E-3</v>
      </c>
      <c r="G77" s="12">
        <f t="shared" si="7"/>
        <v>81.767121900982744</v>
      </c>
    </row>
    <row r="78" spans="1:7">
      <c r="A78" s="12">
        <v>36.5</v>
      </c>
      <c r="B78" s="89">
        <v>286.3</v>
      </c>
      <c r="C78" s="12">
        <f t="shared" si="4"/>
        <v>0.2863</v>
      </c>
      <c r="D78" s="12">
        <f t="shared" si="5"/>
        <v>2.0126890000000001E-2</v>
      </c>
      <c r="E78" s="12">
        <f t="shared" si="6"/>
        <v>8.9852187500000008E-4</v>
      </c>
      <c r="F78" s="12">
        <f>E78/Calculation!K$19*1000</f>
        <v>1.1124305519085013E-3</v>
      </c>
      <c r="G78" s="12">
        <f t="shared" si="7"/>
        <v>81.79896779970241</v>
      </c>
    </row>
    <row r="79" spans="1:7">
      <c r="A79" s="12">
        <v>37</v>
      </c>
      <c r="B79" s="89">
        <v>265.60000000000002</v>
      </c>
      <c r="C79" s="12">
        <f t="shared" si="4"/>
        <v>0.2656</v>
      </c>
      <c r="D79" s="12">
        <f t="shared" si="5"/>
        <v>1.867168E-2</v>
      </c>
      <c r="E79" s="12">
        <f t="shared" si="6"/>
        <v>8.3355714285714285E-4</v>
      </c>
      <c r="F79" s="12">
        <f>E79/Calculation!K$19*1000</f>
        <v>1.0319998413793152E-3</v>
      </c>
      <c r="G79" s="12">
        <f t="shared" si="7"/>
        <v>81.831134255601725</v>
      </c>
    </row>
    <row r="80" spans="1:7">
      <c r="A80" s="12">
        <v>37.5</v>
      </c>
      <c r="B80" s="89">
        <v>302.60000000000002</v>
      </c>
      <c r="C80" s="12">
        <f t="shared" si="4"/>
        <v>0.30260000000000004</v>
      </c>
      <c r="D80" s="12">
        <f t="shared" si="5"/>
        <v>2.1272780000000002E-2</v>
      </c>
      <c r="E80" s="12">
        <f t="shared" si="6"/>
        <v>9.4967767857142866E-4</v>
      </c>
      <c r="F80" s="12">
        <f>E80/Calculation!K$19*1000</f>
        <v>1.175764879523271E-3</v>
      </c>
      <c r="G80" s="12">
        <f t="shared" si="7"/>
        <v>81.864250726415264</v>
      </c>
    </row>
    <row r="81" spans="1:7">
      <c r="A81" s="12">
        <v>38</v>
      </c>
      <c r="B81" s="89">
        <v>234.8</v>
      </c>
      <c r="C81" s="12">
        <f t="shared" si="4"/>
        <v>0.23480000000000001</v>
      </c>
      <c r="D81" s="12">
        <f t="shared" si="5"/>
        <v>1.6506440000000001E-2</v>
      </c>
      <c r="E81" s="12">
        <f t="shared" si="6"/>
        <v>7.3689464285714293E-4</v>
      </c>
      <c r="F81" s="12">
        <f>E81/Calculation!K$19*1000</f>
        <v>9.1232516097840071E-4</v>
      </c>
      <c r="G81" s="12">
        <f t="shared" si="7"/>
        <v>81.895572077022791</v>
      </c>
    </row>
    <row r="82" spans="1:7">
      <c r="A82" s="12">
        <v>38.5</v>
      </c>
      <c r="B82" s="89">
        <v>277.3</v>
      </c>
      <c r="C82" s="12">
        <f t="shared" si="4"/>
        <v>0.27729999999999999</v>
      </c>
      <c r="D82" s="12">
        <f t="shared" si="5"/>
        <v>1.9494189999999998E-2</v>
      </c>
      <c r="E82" s="12">
        <f t="shared" si="6"/>
        <v>8.7027633928571423E-4</v>
      </c>
      <c r="F82" s="12">
        <f>E82/Calculation!K$19*1000</f>
        <v>1.0774606777653767E-3</v>
      </c>
      <c r="G82" s="12">
        <f t="shared" si="7"/>
        <v>81.925418864603941</v>
      </c>
    </row>
    <row r="83" spans="1:7">
      <c r="A83" s="12">
        <v>39</v>
      </c>
      <c r="B83" s="89">
        <v>268.3</v>
      </c>
      <c r="C83" s="12">
        <f t="shared" si="4"/>
        <v>0.26830000000000004</v>
      </c>
      <c r="D83" s="12">
        <f t="shared" si="5"/>
        <v>1.8861490000000002E-2</v>
      </c>
      <c r="E83" s="12">
        <f t="shared" si="6"/>
        <v>8.420308035714287E-4</v>
      </c>
      <c r="F83" s="12">
        <f>E83/Calculation!K$19*1000</f>
        <v>1.0424908036222526E-3</v>
      </c>
      <c r="G83" s="12">
        <f t="shared" si="7"/>
        <v>81.95721813682475</v>
      </c>
    </row>
    <row r="84" spans="1:7">
      <c r="A84" s="12">
        <v>39.5</v>
      </c>
      <c r="B84" s="89">
        <v>287.2</v>
      </c>
      <c r="C84" s="12">
        <f t="shared" si="4"/>
        <v>0.28720000000000001</v>
      </c>
      <c r="D84" s="12">
        <f t="shared" si="5"/>
        <v>2.0190159999999999E-2</v>
      </c>
      <c r="E84" s="12">
        <f t="shared" si="6"/>
        <v>9.0134642857142859E-4</v>
      </c>
      <c r="F84" s="12">
        <f>E84/Calculation!K$19*1000</f>
        <v>1.1159275393228137E-3</v>
      </c>
      <c r="G84" s="12">
        <f t="shared" si="7"/>
        <v>81.989594411968923</v>
      </c>
    </row>
    <row r="85" spans="1:7">
      <c r="A85" s="12">
        <v>40</v>
      </c>
      <c r="B85" s="89">
        <v>224.9</v>
      </c>
      <c r="C85" s="12">
        <f t="shared" si="4"/>
        <v>0.22490000000000002</v>
      </c>
      <c r="D85" s="12">
        <f t="shared" si="5"/>
        <v>1.581047E-2</v>
      </c>
      <c r="E85" s="12">
        <f t="shared" si="6"/>
        <v>7.0582455357142857E-4</v>
      </c>
      <c r="F85" s="12">
        <f>E85/Calculation!K$19*1000</f>
        <v>8.7385829942096375E-4</v>
      </c>
      <c r="G85" s="12">
        <f t="shared" si="7"/>
        <v>82.019441199550073</v>
      </c>
    </row>
    <row r="86" spans="1:7">
      <c r="A86" s="12">
        <v>40.5</v>
      </c>
      <c r="B86" s="89">
        <v>239.4</v>
      </c>
      <c r="C86" s="12">
        <f t="shared" si="4"/>
        <v>0.2394</v>
      </c>
      <c r="D86" s="12">
        <f t="shared" si="5"/>
        <v>1.6829819999999999E-2</v>
      </c>
      <c r="E86" s="12">
        <f t="shared" si="6"/>
        <v>7.5133125000000002E-4</v>
      </c>
      <c r="F86" s="12">
        <f>E86/Calculation!K$19*1000</f>
        <v>9.3019865220710866E-4</v>
      </c>
      <c r="G86" s="12">
        <f t="shared" si="7"/>
        <v>82.046502053824497</v>
      </c>
    </row>
    <row r="87" spans="1:7">
      <c r="A87" s="12">
        <v>41</v>
      </c>
      <c r="B87" s="89">
        <v>207.7</v>
      </c>
      <c r="C87" s="12">
        <f t="shared" si="4"/>
        <v>0.2077</v>
      </c>
      <c r="D87" s="12">
        <f t="shared" si="5"/>
        <v>1.4601309999999999E-2</v>
      </c>
      <c r="E87" s="12">
        <f t="shared" si="6"/>
        <v>6.5184419642857149E-4</v>
      </c>
      <c r="F87" s="12">
        <f>E87/Calculation!K$19*1000</f>
        <v>8.0702698439188167E-4</v>
      </c>
      <c r="G87" s="12">
        <f t="shared" si="7"/>
        <v>82.072560438373486</v>
      </c>
    </row>
    <row r="88" spans="1:7">
      <c r="A88" s="12">
        <v>41.5</v>
      </c>
      <c r="B88" s="89">
        <v>280</v>
      </c>
      <c r="C88" s="12">
        <f t="shared" si="4"/>
        <v>0.28000000000000003</v>
      </c>
      <c r="D88" s="12">
        <f t="shared" si="5"/>
        <v>1.9684E-2</v>
      </c>
      <c r="E88" s="12">
        <f t="shared" si="6"/>
        <v>8.7875000000000008E-4</v>
      </c>
      <c r="F88" s="12">
        <f>E88/Calculation!K$19*1000</f>
        <v>1.0879516400083141E-3</v>
      </c>
      <c r="G88" s="12">
        <f t="shared" si="7"/>
        <v>82.100985117739484</v>
      </c>
    </row>
    <row r="89" spans="1:7">
      <c r="A89" s="12">
        <v>42</v>
      </c>
      <c r="B89" s="89">
        <v>265.60000000000002</v>
      </c>
      <c r="C89" s="12">
        <f t="shared" si="4"/>
        <v>0.2656</v>
      </c>
      <c r="D89" s="12">
        <f t="shared" si="5"/>
        <v>1.867168E-2</v>
      </c>
      <c r="E89" s="12">
        <f t="shared" si="6"/>
        <v>8.3355714285714285E-4</v>
      </c>
      <c r="F89" s="12">
        <f>E89/Calculation!K$19*1000</f>
        <v>1.0319998413793152E-3</v>
      </c>
      <c r="G89" s="12">
        <f t="shared" si="7"/>
        <v>82.132784389960293</v>
      </c>
    </row>
    <row r="90" spans="1:7">
      <c r="A90" s="12">
        <v>42.5</v>
      </c>
      <c r="B90" s="89">
        <v>202.3</v>
      </c>
      <c r="C90" s="12">
        <f t="shared" si="4"/>
        <v>0.20230000000000001</v>
      </c>
      <c r="D90" s="12">
        <f t="shared" si="5"/>
        <v>1.422169E-2</v>
      </c>
      <c r="E90" s="12">
        <f t="shared" si="6"/>
        <v>6.3489687500000011E-4</v>
      </c>
      <c r="F90" s="12">
        <f>E90/Calculation!K$19*1000</f>
        <v>7.860450599060071E-4</v>
      </c>
      <c r="G90" s="12">
        <f t="shared" si="7"/>
        <v>82.160055063479575</v>
      </c>
    </row>
    <row r="91" spans="1:7">
      <c r="A91" s="12">
        <v>43</v>
      </c>
      <c r="B91" s="89">
        <v>210.5</v>
      </c>
      <c r="C91" s="12">
        <f t="shared" si="4"/>
        <v>0.21049999999999999</v>
      </c>
      <c r="D91" s="12">
        <f t="shared" si="5"/>
        <v>1.4798149999999999E-2</v>
      </c>
      <c r="E91" s="12">
        <f t="shared" si="6"/>
        <v>6.6063169642857145E-4</v>
      </c>
      <c r="F91" s="12">
        <f>E91/Calculation!K$19*1000</f>
        <v>8.1790650079196483E-4</v>
      </c>
      <c r="G91" s="12">
        <f t="shared" si="7"/>
        <v>82.184114336890048</v>
      </c>
    </row>
    <row r="92" spans="1:7">
      <c r="A92" s="12">
        <v>43.5</v>
      </c>
      <c r="B92" s="89">
        <v>191.5</v>
      </c>
      <c r="C92" s="12">
        <f t="shared" si="4"/>
        <v>0.1915</v>
      </c>
      <c r="D92" s="12">
        <f t="shared" si="5"/>
        <v>1.3462449999999999E-2</v>
      </c>
      <c r="E92" s="12">
        <f t="shared" si="6"/>
        <v>6.0100223214285713E-4</v>
      </c>
      <c r="F92" s="12">
        <f>E92/Calculation!K$19*1000</f>
        <v>7.4408121093425764E-4</v>
      </c>
      <c r="G92" s="12">
        <f t="shared" si="7"/>
        <v>82.207544152565944</v>
      </c>
    </row>
    <row r="93" spans="1:7">
      <c r="A93" s="12">
        <v>44</v>
      </c>
      <c r="B93" s="89">
        <v>211.4</v>
      </c>
      <c r="C93" s="12">
        <f t="shared" si="4"/>
        <v>0.2114</v>
      </c>
      <c r="D93" s="12">
        <f t="shared" si="5"/>
        <v>1.486142E-2</v>
      </c>
      <c r="E93" s="12">
        <f t="shared" si="6"/>
        <v>6.6345625000000007E-4</v>
      </c>
      <c r="F93" s="12">
        <f>E93/Calculation!K$19*1000</f>
        <v>8.2140348820627723E-4</v>
      </c>
      <c r="G93" s="12">
        <f t="shared" si="7"/>
        <v>82.231026423053052</v>
      </c>
    </row>
    <row r="94" spans="1:7">
      <c r="A94" s="12">
        <v>44.5</v>
      </c>
      <c r="B94" s="89">
        <v>167.1</v>
      </c>
      <c r="C94" s="12">
        <f t="shared" si="4"/>
        <v>0.1671</v>
      </c>
      <c r="D94" s="12">
        <f t="shared" si="5"/>
        <v>1.174713E-2</v>
      </c>
      <c r="E94" s="12">
        <f t="shared" si="6"/>
        <v>5.2442544642857143E-4</v>
      </c>
      <c r="F94" s="12">
        <f>E94/Calculation!K$19*1000</f>
        <v>6.492739965906761E-4</v>
      </c>
      <c r="G94" s="12">
        <f t="shared" si="7"/>
        <v>82.253086585325008</v>
      </c>
    </row>
    <row r="95" spans="1:7">
      <c r="A95" s="12">
        <v>45</v>
      </c>
      <c r="B95" s="89">
        <v>227.6</v>
      </c>
      <c r="C95" s="12">
        <f t="shared" si="4"/>
        <v>0.2276</v>
      </c>
      <c r="D95" s="12">
        <f t="shared" si="5"/>
        <v>1.6000279999999999E-2</v>
      </c>
      <c r="E95" s="12">
        <f t="shared" si="6"/>
        <v>7.1429821428571432E-4</v>
      </c>
      <c r="F95" s="12">
        <f>E95/Calculation!K$19*1000</f>
        <v>8.8434926166390104E-4</v>
      </c>
      <c r="G95" s="12">
        <f t="shared" si="7"/>
        <v>82.27609093419882</v>
      </c>
    </row>
    <row r="96" spans="1:7">
      <c r="A96" s="12">
        <v>45.5</v>
      </c>
      <c r="B96" s="89">
        <v>211.4</v>
      </c>
      <c r="C96" s="12">
        <f t="shared" si="4"/>
        <v>0.2114</v>
      </c>
      <c r="D96" s="12">
        <f t="shared" si="5"/>
        <v>1.486142E-2</v>
      </c>
      <c r="E96" s="12">
        <f t="shared" si="6"/>
        <v>6.6345625000000007E-4</v>
      </c>
      <c r="F96" s="12">
        <f>E96/Calculation!K$19*1000</f>
        <v>8.2140348820627723E-4</v>
      </c>
      <c r="G96" s="12">
        <f t="shared" si="7"/>
        <v>82.301677225446866</v>
      </c>
    </row>
    <row r="97" spans="1:7">
      <c r="A97" s="12">
        <v>46</v>
      </c>
      <c r="B97" s="89">
        <v>233.9</v>
      </c>
      <c r="C97" s="12">
        <f t="shared" si="4"/>
        <v>0.2339</v>
      </c>
      <c r="D97" s="12">
        <f t="shared" si="5"/>
        <v>1.644317E-2</v>
      </c>
      <c r="E97" s="12">
        <f t="shared" si="6"/>
        <v>7.3407008928571432E-4</v>
      </c>
      <c r="F97" s="12">
        <f>E97/Calculation!K$19*1000</f>
        <v>9.0882817356408821E-4</v>
      </c>
      <c r="G97" s="12">
        <f t="shared" si="7"/>
        <v>82.327630700373419</v>
      </c>
    </row>
    <row r="98" spans="1:7">
      <c r="A98" s="12">
        <v>46.5</v>
      </c>
      <c r="B98" s="89">
        <v>181.6</v>
      </c>
      <c r="C98" s="12">
        <f t="shared" si="4"/>
        <v>0.18159999999999998</v>
      </c>
      <c r="D98" s="12">
        <f t="shared" si="5"/>
        <v>1.2766479999999998E-2</v>
      </c>
      <c r="E98" s="12">
        <f t="shared" si="6"/>
        <v>5.6993214285714277E-4</v>
      </c>
      <c r="F98" s="12">
        <f>E98/Calculation!K$19*1000</f>
        <v>7.0561434937682079E-4</v>
      </c>
      <c r="G98" s="12">
        <f t="shared" si="7"/>
        <v>82.351847338217539</v>
      </c>
    </row>
    <row r="99" spans="1:7">
      <c r="A99" s="12">
        <v>47</v>
      </c>
      <c r="B99" s="89">
        <v>217.7</v>
      </c>
      <c r="C99" s="12">
        <f t="shared" si="4"/>
        <v>0.21769999999999998</v>
      </c>
      <c r="D99" s="12">
        <f t="shared" si="5"/>
        <v>1.5304309999999998E-2</v>
      </c>
      <c r="E99" s="12">
        <f t="shared" si="6"/>
        <v>6.8322812499999996E-4</v>
      </c>
      <c r="F99" s="12">
        <f>E99/Calculation!K$19*1000</f>
        <v>8.4588240010646419E-4</v>
      </c>
      <c r="G99" s="12">
        <f t="shared" si="7"/>
        <v>82.375119789459788</v>
      </c>
    </row>
    <row r="100" spans="1:7">
      <c r="A100" s="12">
        <v>47.5</v>
      </c>
      <c r="B100" s="89">
        <v>182.5</v>
      </c>
      <c r="C100" s="12">
        <f t="shared" si="4"/>
        <v>0.1825</v>
      </c>
      <c r="D100" s="12">
        <f t="shared" si="5"/>
        <v>1.2829749999999999E-2</v>
      </c>
      <c r="E100" s="12">
        <f t="shared" si="6"/>
        <v>5.7275669642857139E-4</v>
      </c>
      <c r="F100" s="12">
        <f>E100/Calculation!K$19*1000</f>
        <v>7.0911133679113329E-4</v>
      </c>
      <c r="G100" s="12">
        <f t="shared" si="7"/>
        <v>82.398444695513248</v>
      </c>
    </row>
    <row r="101" spans="1:7">
      <c r="A101" s="12">
        <v>48</v>
      </c>
      <c r="B101" s="89">
        <v>200.5</v>
      </c>
      <c r="C101" s="12">
        <f t="shared" si="4"/>
        <v>0.20050000000000001</v>
      </c>
      <c r="D101" s="12">
        <f t="shared" si="5"/>
        <v>1.4095150000000001E-2</v>
      </c>
      <c r="E101" s="12">
        <f t="shared" si="6"/>
        <v>6.2924776785714298E-4</v>
      </c>
      <c r="F101" s="12">
        <f>E101/Calculation!K$20*1000</f>
        <v>8.4644990668713031E-4</v>
      </c>
      <c r="G101" s="12">
        <f t="shared" si="7"/>
        <v>82.42177811416542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5" zoomScale="98" zoomScaleNormal="98" zoomScalePageLayoutView="98" workbookViewId="0">
      <selection activeCell="C5" sqref="C5:C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70.3</v>
      </c>
      <c r="C1" s="9" t="s">
        <v>51</v>
      </c>
    </row>
    <row r="3" spans="1:12">
      <c r="A3" s="137" t="s">
        <v>5</v>
      </c>
      <c r="B3" s="137" t="s">
        <v>36</v>
      </c>
      <c r="C3" s="137"/>
      <c r="D3" s="137" t="s">
        <v>52</v>
      </c>
      <c r="E3" s="137"/>
      <c r="F3" s="137"/>
      <c r="G3" s="8" t="s">
        <v>53</v>
      </c>
    </row>
    <row r="4" spans="1:12">
      <c r="A4" s="137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36">
        <v>0</v>
      </c>
      <c r="C5" s="36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5">
        <v>0.5</v>
      </c>
      <c r="B6" s="36">
        <v>837.74</v>
      </c>
      <c r="C6" s="36">
        <f t="shared" ref="C6:C69" si="0">B6/1000</f>
        <v>0.83774000000000004</v>
      </c>
      <c r="D6" s="12">
        <f>C6/1000*$B$1</f>
        <v>5.8893121999999999E-2</v>
      </c>
      <c r="E6" s="12">
        <f t="shared" ref="E6:E69" si="1">D6/22.4</f>
        <v>2.6291572321428575E-3</v>
      </c>
      <c r="F6" s="12">
        <f>E6/Calculation!K$4*1000</f>
        <v>1.6984219845884092E-3</v>
      </c>
      <c r="G6" s="12">
        <f>G5+(F6+F5)/2*30</f>
        <v>2.5476329768826137E-2</v>
      </c>
    </row>
    <row r="7" spans="1:12">
      <c r="A7" s="35">
        <v>1</v>
      </c>
      <c r="B7" s="89">
        <v>1065.9000000000001</v>
      </c>
      <c r="C7" s="36">
        <f t="shared" si="0"/>
        <v>1.0659000000000001</v>
      </c>
      <c r="D7" s="12">
        <f t="shared" ref="D7:D69" si="2">C7/1000*$B$1</f>
        <v>7.4932769999999996E-2</v>
      </c>
      <c r="E7" s="12">
        <f t="shared" si="1"/>
        <v>3.3452129464285715E-3</v>
      </c>
      <c r="F7" s="12">
        <f>E7/Calculation!K$4*1000</f>
        <v>2.1609902754706535E-3</v>
      </c>
      <c r="G7" s="12">
        <f>G6+(F7+F6)/2*30</f>
        <v>8.3367513669712068E-2</v>
      </c>
    </row>
    <row r="8" spans="1:12">
      <c r="A8" s="35">
        <v>1.5</v>
      </c>
      <c r="B8" s="89">
        <v>1171.27</v>
      </c>
      <c r="C8" s="36">
        <f t="shared" si="0"/>
        <v>1.17127</v>
      </c>
      <c r="D8" s="12">
        <f t="shared" si="2"/>
        <v>8.2340281000000001E-2</v>
      </c>
      <c r="E8" s="12">
        <f t="shared" si="1"/>
        <v>3.6759054017857147E-3</v>
      </c>
      <c r="F8" s="12">
        <f>E8/Calculation!K$4*1000</f>
        <v>2.3746158926264307E-3</v>
      </c>
      <c r="G8" s="12">
        <f t="shared" ref="G8:G70" si="3">G7+(F8+F7)/2*30</f>
        <v>0.15140160619116833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89">
        <v>1479.16</v>
      </c>
      <c r="C9" s="36">
        <f t="shared" si="0"/>
        <v>1.47916</v>
      </c>
      <c r="D9" s="12">
        <f t="shared" si="2"/>
        <v>0.10398494799999999</v>
      </c>
      <c r="E9" s="12">
        <f t="shared" si="1"/>
        <v>4.6421851785714285E-3</v>
      </c>
      <c r="F9" s="12">
        <f>E9/Calculation!K$5*1000</f>
        <v>3.0989220150677093E-3</v>
      </c>
      <c r="G9" s="12">
        <f t="shared" si="3"/>
        <v>0.23350467480658044</v>
      </c>
    </row>
    <row r="10" spans="1:12">
      <c r="A10" s="35">
        <v>2.5</v>
      </c>
      <c r="B10" s="89">
        <v>1925.35</v>
      </c>
      <c r="C10" s="36">
        <f t="shared" si="0"/>
        <v>1.9253499999999999</v>
      </c>
      <c r="D10" s="12">
        <f t="shared" si="2"/>
        <v>0.135352105</v>
      </c>
      <c r="E10" s="12">
        <f t="shared" si="1"/>
        <v>6.0425046875000003E-3</v>
      </c>
      <c r="F10" s="12">
        <f>E10/Calculation!K$5*1000</f>
        <v>4.0337147446595466E-3</v>
      </c>
      <c r="G10" s="12">
        <f t="shared" si="3"/>
        <v>0.34049422620248926</v>
      </c>
    </row>
    <row r="11" spans="1:12">
      <c r="A11" s="35">
        <v>3</v>
      </c>
      <c r="B11" s="89">
        <v>2377.54</v>
      </c>
      <c r="C11" s="36">
        <f t="shared" si="0"/>
        <v>2.3775399999999998</v>
      </c>
      <c r="D11" s="12">
        <f t="shared" si="2"/>
        <v>0.16714106199999995</v>
      </c>
      <c r="E11" s="12">
        <f t="shared" si="1"/>
        <v>7.4616545535714273E-3</v>
      </c>
      <c r="F11" s="12">
        <f>E11/Calculation!K$5*1000</f>
        <v>4.9810778061224479E-3</v>
      </c>
      <c r="G11" s="12">
        <f t="shared" si="3"/>
        <v>0.47571611446421913</v>
      </c>
    </row>
    <row r="12" spans="1:12">
      <c r="A12" s="35">
        <v>3.5</v>
      </c>
      <c r="B12" s="89">
        <v>3261.89</v>
      </c>
      <c r="C12" s="36">
        <f t="shared" si="0"/>
        <v>3.2618899999999997</v>
      </c>
      <c r="D12" s="12">
        <f t="shared" si="2"/>
        <v>0.22931086699999997</v>
      </c>
      <c r="E12" s="12">
        <f t="shared" si="1"/>
        <v>1.0237092276785714E-2</v>
      </c>
      <c r="F12" s="12">
        <f>E12/Calculation!K$6*1000</f>
        <v>7.0501900321795355E-3</v>
      </c>
      <c r="G12" s="12">
        <f t="shared" si="3"/>
        <v>0.65618513203874884</v>
      </c>
    </row>
    <row r="13" spans="1:12">
      <c r="A13" s="35">
        <v>4</v>
      </c>
      <c r="B13" s="89">
        <v>4379.82</v>
      </c>
      <c r="C13" s="36">
        <f t="shared" si="0"/>
        <v>4.3798199999999996</v>
      </c>
      <c r="D13" s="12">
        <f t="shared" si="2"/>
        <v>0.30790134599999996</v>
      </c>
      <c r="E13" s="12">
        <f t="shared" si="1"/>
        <v>1.3745595803571427E-2</v>
      </c>
      <c r="F13" s="12">
        <f>E13/Calculation!K$6*1000</f>
        <v>9.4664637086905364E-3</v>
      </c>
      <c r="G13" s="12">
        <f t="shared" si="3"/>
        <v>0.90393493815179993</v>
      </c>
    </row>
    <row r="14" spans="1:12">
      <c r="A14" s="35">
        <v>4.5</v>
      </c>
      <c r="B14" s="89">
        <v>6046.89</v>
      </c>
      <c r="C14" s="36">
        <f t="shared" si="0"/>
        <v>6.0468900000000003</v>
      </c>
      <c r="D14" s="12">
        <f t="shared" si="2"/>
        <v>0.42509636699999998</v>
      </c>
      <c r="E14" s="12">
        <f t="shared" si="1"/>
        <v>1.8977516383928573E-2</v>
      </c>
      <c r="F14" s="12">
        <f>E14/Calculation!K$6*1000</f>
        <v>1.3069638646210056E-2</v>
      </c>
      <c r="G14" s="12">
        <f t="shared" si="3"/>
        <v>1.2419764734753087</v>
      </c>
    </row>
    <row r="15" spans="1:12">
      <c r="A15" s="35">
        <v>5</v>
      </c>
      <c r="B15" s="89">
        <v>8233.9</v>
      </c>
      <c r="C15" s="36">
        <f t="shared" si="0"/>
        <v>8.2339000000000002</v>
      </c>
      <c r="D15" s="12">
        <f t="shared" si="2"/>
        <v>0.57884317000000007</v>
      </c>
      <c r="E15" s="12">
        <f t="shared" si="1"/>
        <v>2.5841212946428577E-2</v>
      </c>
      <c r="F15" s="12">
        <f>E15/Calculation!K$7*1000</f>
        <v>1.8389822576122594E-2</v>
      </c>
      <c r="G15" s="12">
        <f t="shared" si="3"/>
        <v>1.7138683918102984</v>
      </c>
    </row>
    <row r="16" spans="1:12">
      <c r="A16" s="35">
        <v>5.5</v>
      </c>
      <c r="B16" s="89">
        <v>11092.82</v>
      </c>
      <c r="C16" s="36">
        <f t="shared" si="0"/>
        <v>11.09282</v>
      </c>
      <c r="D16" s="12">
        <f t="shared" si="2"/>
        <v>0.77982524599999992</v>
      </c>
      <c r="E16" s="12">
        <f t="shared" si="1"/>
        <v>3.4813627053571425E-2</v>
      </c>
      <c r="F16" s="12">
        <f>E16/Calculation!K$7*1000</f>
        <v>2.4775014472955E-2</v>
      </c>
      <c r="G16" s="12">
        <f t="shared" si="3"/>
        <v>2.3613409475464624</v>
      </c>
    </row>
    <row r="17" spans="1:7">
      <c r="A17" s="35">
        <v>6</v>
      </c>
      <c r="B17" s="89">
        <v>14047.2</v>
      </c>
      <c r="C17" s="36">
        <f t="shared" si="0"/>
        <v>14.0472</v>
      </c>
      <c r="D17" s="12">
        <f t="shared" si="2"/>
        <v>0.98751815999999992</v>
      </c>
      <c r="E17" s="12">
        <f t="shared" si="1"/>
        <v>4.4085632142857142E-2</v>
      </c>
      <c r="F17" s="12">
        <f>E17/Calculation!K$8*1000</f>
        <v>3.2426054796074924E-2</v>
      </c>
      <c r="G17" s="12">
        <f t="shared" si="3"/>
        <v>3.2193569865819112</v>
      </c>
    </row>
    <row r="18" spans="1:7">
      <c r="A18" s="35">
        <v>6.5</v>
      </c>
      <c r="B18" s="89">
        <v>17741.07</v>
      </c>
      <c r="C18" s="36">
        <f t="shared" si="0"/>
        <v>17.741070000000001</v>
      </c>
      <c r="D18" s="12">
        <f t="shared" si="2"/>
        <v>1.247197221</v>
      </c>
      <c r="E18" s="12">
        <f t="shared" si="1"/>
        <v>5.5678447366071429E-2</v>
      </c>
      <c r="F18" s="12">
        <f>E18/Calculation!K$8*1000</f>
        <v>4.0952852380616842E-2</v>
      </c>
      <c r="G18" s="12">
        <f t="shared" si="3"/>
        <v>4.3200405942322879</v>
      </c>
    </row>
    <row r="19" spans="1:7">
      <c r="A19" s="35">
        <v>7</v>
      </c>
      <c r="B19" s="89">
        <v>21722.97</v>
      </c>
      <c r="C19" s="36">
        <f t="shared" si="0"/>
        <v>21.72297</v>
      </c>
      <c r="D19" s="12">
        <f t="shared" si="2"/>
        <v>1.5271247910000001</v>
      </c>
      <c r="E19" s="12">
        <f t="shared" si="1"/>
        <v>6.8175213883928582E-2</v>
      </c>
      <c r="F19" s="12">
        <f>E19/Calculation!K$8*1000</f>
        <v>5.0144528130409746E-2</v>
      </c>
      <c r="G19" s="12">
        <f t="shared" si="3"/>
        <v>5.6865013018976871</v>
      </c>
    </row>
    <row r="20" spans="1:7">
      <c r="A20" s="35">
        <v>7.5</v>
      </c>
      <c r="B20" s="89">
        <v>25762.34</v>
      </c>
      <c r="C20" s="36">
        <f t="shared" si="0"/>
        <v>25.762340000000002</v>
      </c>
      <c r="D20" s="12">
        <f t="shared" si="2"/>
        <v>1.8110925019999999</v>
      </c>
      <c r="E20" s="12">
        <f t="shared" si="1"/>
        <v>8.0852343839285717E-2</v>
      </c>
      <c r="F20" s="12">
        <f>E20/Calculation!K$9*1000</f>
        <v>6.2253661395720541E-2</v>
      </c>
      <c r="G20" s="12">
        <f t="shared" si="3"/>
        <v>7.3724741447896411</v>
      </c>
    </row>
    <row r="21" spans="1:7">
      <c r="A21" s="35">
        <v>8</v>
      </c>
      <c r="B21" s="89">
        <v>29769.52</v>
      </c>
      <c r="C21" s="36">
        <f t="shared" si="0"/>
        <v>29.76952</v>
      </c>
      <c r="D21" s="12">
        <f t="shared" si="2"/>
        <v>2.0927972559999999</v>
      </c>
      <c r="E21" s="12">
        <f t="shared" si="1"/>
        <v>9.3428448928571425E-2</v>
      </c>
      <c r="F21" s="12">
        <f>E21/Calculation!K$9*1000</f>
        <v>7.1936851155334908E-2</v>
      </c>
      <c r="G21" s="12">
        <f t="shared" si="3"/>
        <v>9.3853318330554725</v>
      </c>
    </row>
    <row r="22" spans="1:7">
      <c r="A22" s="35">
        <v>8.5</v>
      </c>
      <c r="B22" s="89">
        <v>32713.23</v>
      </c>
      <c r="C22" s="36">
        <f t="shared" si="0"/>
        <v>32.713230000000003</v>
      </c>
      <c r="D22" s="12">
        <f t="shared" si="2"/>
        <v>2.2997400690000003</v>
      </c>
      <c r="E22" s="12">
        <f t="shared" si="1"/>
        <v>0.10266696736607145</v>
      </c>
      <c r="F22" s="12">
        <f>E22/Calculation!K$9*1000</f>
        <v>7.9050208311058995E-2</v>
      </c>
      <c r="G22" s="12">
        <f t="shared" si="3"/>
        <v>11.650137725051382</v>
      </c>
    </row>
    <row r="23" spans="1:7">
      <c r="A23" s="35">
        <v>9</v>
      </c>
      <c r="B23" s="89">
        <v>35595.18</v>
      </c>
      <c r="C23" s="36">
        <f t="shared" si="0"/>
        <v>35.595179999999999</v>
      </c>
      <c r="D23" s="12">
        <f t="shared" si="2"/>
        <v>2.5023411539999998</v>
      </c>
      <c r="E23" s="12">
        <f t="shared" si="1"/>
        <v>0.11171165866071428</v>
      </c>
      <c r="F23" s="12">
        <f>E23/Calculation!K$10*1000</f>
        <v>8.9083881882425608E-2</v>
      </c>
      <c r="G23" s="12">
        <f t="shared" si="3"/>
        <v>14.172149077953652</v>
      </c>
    </row>
    <row r="24" spans="1:7">
      <c r="A24" s="35">
        <v>9.5</v>
      </c>
      <c r="B24" s="89">
        <v>37678.120000000003</v>
      </c>
      <c r="C24" s="36">
        <f t="shared" si="0"/>
        <v>37.67812</v>
      </c>
      <c r="D24" s="12">
        <f t="shared" si="2"/>
        <v>2.6487718359999999</v>
      </c>
      <c r="E24" s="12">
        <f t="shared" si="1"/>
        <v>0.11824874267857143</v>
      </c>
      <c r="F24" s="12">
        <f>E24/Calculation!K$10*1000</f>
        <v>9.4296845573806853E-2</v>
      </c>
      <c r="G24" s="12">
        <f t="shared" si="3"/>
        <v>16.922859989797139</v>
      </c>
    </row>
    <row r="25" spans="1:7">
      <c r="A25" s="35">
        <v>10</v>
      </c>
      <c r="B25" s="89">
        <v>38502.58</v>
      </c>
      <c r="C25" s="36">
        <f t="shared" si="0"/>
        <v>38.502580000000002</v>
      </c>
      <c r="D25" s="12">
        <f t="shared" si="2"/>
        <v>2.7067313739999999</v>
      </c>
      <c r="E25" s="12">
        <f t="shared" si="1"/>
        <v>0.12083622205357143</v>
      </c>
      <c r="F25" s="12">
        <f>E25/Calculation!K$11*1000</f>
        <v>0.10013451864751945</v>
      </c>
      <c r="G25" s="12">
        <f t="shared" si="3"/>
        <v>19.839330453117032</v>
      </c>
    </row>
    <row r="26" spans="1:7">
      <c r="A26" s="35">
        <v>10.5</v>
      </c>
      <c r="B26" s="89">
        <v>39336.019999999997</v>
      </c>
      <c r="C26" s="36">
        <f t="shared" si="0"/>
        <v>39.336019999999998</v>
      </c>
      <c r="D26" s="12">
        <f t="shared" si="2"/>
        <v>2.765322206</v>
      </c>
      <c r="E26" s="12">
        <f t="shared" si="1"/>
        <v>0.12345188419642858</v>
      </c>
      <c r="F26" s="12">
        <f>E26/Calculation!K$11*1000</f>
        <v>0.10230206464629638</v>
      </c>
      <c r="G26" s="12">
        <f t="shared" si="3"/>
        <v>22.875879202524271</v>
      </c>
    </row>
    <row r="27" spans="1:7">
      <c r="A27" s="35">
        <v>11</v>
      </c>
      <c r="B27" s="89">
        <v>39209.31</v>
      </c>
      <c r="C27" s="36">
        <f t="shared" si="0"/>
        <v>39.209309999999995</v>
      </c>
      <c r="D27" s="12">
        <f t="shared" si="2"/>
        <v>2.7564144929999999</v>
      </c>
      <c r="E27" s="12">
        <f t="shared" si="1"/>
        <v>0.1230542184375</v>
      </c>
      <c r="F27" s="12">
        <f>E27/Calculation!K$11*1000</f>
        <v>0.10197252712289334</v>
      </c>
      <c r="G27" s="12">
        <f t="shared" si="3"/>
        <v>25.939998079062114</v>
      </c>
    </row>
    <row r="28" spans="1:7">
      <c r="A28" s="35">
        <v>11.5</v>
      </c>
      <c r="B28" s="89">
        <v>38613.19</v>
      </c>
      <c r="C28" s="36">
        <f t="shared" si="0"/>
        <v>38.613190000000003</v>
      </c>
      <c r="D28" s="12">
        <f t="shared" si="2"/>
        <v>2.7145072570000002</v>
      </c>
      <c r="E28" s="12">
        <f t="shared" si="1"/>
        <v>0.12118335968750002</v>
      </c>
      <c r="F28" s="12">
        <f>E28/Calculation!K$12*1000</f>
        <v>0.10467241807841833</v>
      </c>
      <c r="G28" s="12">
        <f t="shared" si="3"/>
        <v>29.03967225708179</v>
      </c>
    </row>
    <row r="29" spans="1:7">
      <c r="A29" s="35">
        <v>12</v>
      </c>
      <c r="B29" s="89">
        <v>36961.29</v>
      </c>
      <c r="C29" s="36">
        <f t="shared" si="0"/>
        <v>36.961289999999998</v>
      </c>
      <c r="D29" s="12">
        <f t="shared" si="2"/>
        <v>2.5983786869999999</v>
      </c>
      <c r="E29" s="12">
        <f t="shared" si="1"/>
        <v>0.11599904852678572</v>
      </c>
      <c r="F29" s="12">
        <f>E29/Calculation!K$12*1000</f>
        <v>0.10019445685781625</v>
      </c>
      <c r="G29" s="12">
        <f t="shared" si="3"/>
        <v>32.112675381125307</v>
      </c>
    </row>
    <row r="30" spans="1:7">
      <c r="A30" s="35">
        <v>12.5</v>
      </c>
      <c r="B30" s="89">
        <v>34996.07</v>
      </c>
      <c r="C30" s="36">
        <f t="shared" si="0"/>
        <v>34.996070000000003</v>
      </c>
      <c r="D30" s="12">
        <f t="shared" si="2"/>
        <v>2.4602237210000002</v>
      </c>
      <c r="E30" s="12">
        <f t="shared" si="1"/>
        <v>0.10983141611607145</v>
      </c>
      <c r="F30" s="12">
        <f>E30/Calculation!K$12*1000</f>
        <v>9.486714954505425E-2</v>
      </c>
      <c r="G30" s="12">
        <f t="shared" si="3"/>
        <v>35.038599477168361</v>
      </c>
    </row>
    <row r="31" spans="1:7">
      <c r="A31" s="35">
        <v>13</v>
      </c>
      <c r="B31" s="89">
        <v>34304.68</v>
      </c>
      <c r="C31" s="36">
        <f t="shared" si="0"/>
        <v>34.304679999999998</v>
      </c>
      <c r="D31" s="12">
        <f t="shared" si="2"/>
        <v>2.4116190039999998</v>
      </c>
      <c r="E31" s="12">
        <f t="shared" si="1"/>
        <v>0.10766156267857142</v>
      </c>
      <c r="F31" s="12">
        <f>E31/Calculation!K$13*1000</f>
        <v>9.7428849590369945E-2</v>
      </c>
      <c r="G31" s="12">
        <f t="shared" si="3"/>
        <v>37.923039464199725</v>
      </c>
    </row>
    <row r="32" spans="1:7">
      <c r="A32" s="35">
        <v>13.5</v>
      </c>
      <c r="B32" s="89">
        <v>32578.28</v>
      </c>
      <c r="C32" s="36">
        <f t="shared" si="0"/>
        <v>32.578279999999999</v>
      </c>
      <c r="D32" s="12">
        <f t="shared" si="2"/>
        <v>2.2902530840000002</v>
      </c>
      <c r="E32" s="12">
        <f t="shared" si="1"/>
        <v>0.10224344125000001</v>
      </c>
      <c r="F32" s="12">
        <f>E32/Calculation!K$13*1000</f>
        <v>9.252569451261336E-2</v>
      </c>
      <c r="G32" s="12">
        <f t="shared" si="3"/>
        <v>40.772357625744476</v>
      </c>
    </row>
    <row r="33" spans="1:7">
      <c r="A33" s="35">
        <v>14</v>
      </c>
      <c r="B33" s="89">
        <v>31853.03</v>
      </c>
      <c r="C33" s="36">
        <f t="shared" si="0"/>
        <v>31.85303</v>
      </c>
      <c r="D33" s="12">
        <f t="shared" si="2"/>
        <v>2.2392680089999999</v>
      </c>
      <c r="E33" s="12">
        <f t="shared" si="1"/>
        <v>9.9967321830357142E-2</v>
      </c>
      <c r="F33" s="12">
        <f>E33/Calculation!K$14*1000</f>
        <v>9.4641258942373865E-2</v>
      </c>
      <c r="G33" s="12">
        <f t="shared" si="3"/>
        <v>43.579861927569283</v>
      </c>
    </row>
    <row r="34" spans="1:7">
      <c r="A34" s="35">
        <v>14.5</v>
      </c>
      <c r="B34" s="89">
        <v>31008.54</v>
      </c>
      <c r="C34" s="36">
        <f t="shared" si="0"/>
        <v>31.00854</v>
      </c>
      <c r="D34" s="12">
        <f t="shared" si="2"/>
        <v>2.1799003620000001</v>
      </c>
      <c r="E34" s="12">
        <f t="shared" si="1"/>
        <v>9.7316980446428586E-2</v>
      </c>
      <c r="F34" s="12">
        <f>E34/Calculation!K$14*1000</f>
        <v>9.2132122550506443E-2</v>
      </c>
      <c r="G34" s="12">
        <f t="shared" si="3"/>
        <v>46.381462649962486</v>
      </c>
    </row>
    <row r="35" spans="1:7">
      <c r="A35" s="35">
        <v>15</v>
      </c>
      <c r="B35" s="89">
        <v>29881.63</v>
      </c>
      <c r="C35" s="36">
        <f t="shared" si="0"/>
        <v>29.881630000000001</v>
      </c>
      <c r="D35" s="12">
        <f t="shared" si="2"/>
        <v>2.1006785890000002</v>
      </c>
      <c r="E35" s="12">
        <f t="shared" si="1"/>
        <v>9.3780294151785723E-2</v>
      </c>
      <c r="F35" s="12">
        <f>E35/Calculation!K$14*1000</f>
        <v>8.8783863966793969E-2</v>
      </c>
      <c r="G35" s="12">
        <f t="shared" si="3"/>
        <v>49.095202447721995</v>
      </c>
    </row>
    <row r="36" spans="1:7">
      <c r="A36" s="35">
        <v>15.5</v>
      </c>
      <c r="B36" s="89">
        <v>28737.68</v>
      </c>
      <c r="C36" s="36">
        <f t="shared" si="0"/>
        <v>28.737680000000001</v>
      </c>
      <c r="D36" s="12">
        <f t="shared" si="2"/>
        <v>2.0202589039999999</v>
      </c>
      <c r="E36" s="12">
        <f t="shared" si="1"/>
        <v>9.0190129642857136E-2</v>
      </c>
      <c r="F36" s="12">
        <f>E36/Calculation!K$15*1000</f>
        <v>8.8915934053172704E-2</v>
      </c>
      <c r="G36" s="12">
        <f t="shared" si="3"/>
        <v>51.760699418021495</v>
      </c>
    </row>
    <row r="37" spans="1:7">
      <c r="A37" s="35">
        <v>16</v>
      </c>
      <c r="B37" s="89">
        <v>27573.34</v>
      </c>
      <c r="C37" s="36">
        <f t="shared" si="0"/>
        <v>27.573340000000002</v>
      </c>
      <c r="D37" s="12">
        <f t="shared" si="2"/>
        <v>1.9384058020000001</v>
      </c>
      <c r="E37" s="12">
        <f t="shared" si="1"/>
        <v>8.6535973303571434E-2</v>
      </c>
      <c r="F37" s="12">
        <f>E37/Calculation!K$15*1000</f>
        <v>8.5313403206720581E-2</v>
      </c>
      <c r="G37" s="12">
        <f t="shared" si="3"/>
        <v>54.374139476919893</v>
      </c>
    </row>
    <row r="38" spans="1:7">
      <c r="A38" s="35">
        <v>16.5</v>
      </c>
      <c r="B38" s="89">
        <v>27319.360000000001</v>
      </c>
      <c r="C38" s="36">
        <f t="shared" si="0"/>
        <v>27.31936</v>
      </c>
      <c r="D38" s="12">
        <f t="shared" si="2"/>
        <v>1.9205510079999999</v>
      </c>
      <c r="E38" s="12">
        <f t="shared" si="1"/>
        <v>8.5738884285714287E-2</v>
      </c>
      <c r="F38" s="12">
        <f>E38/Calculation!K$15*1000</f>
        <v>8.4527575369162875E-2</v>
      </c>
      <c r="G38" s="12">
        <f t="shared" si="3"/>
        <v>56.921754155558148</v>
      </c>
    </row>
    <row r="39" spans="1:7">
      <c r="A39" s="35">
        <v>17</v>
      </c>
      <c r="B39" s="89">
        <v>25985.25</v>
      </c>
      <c r="C39" s="36">
        <f t="shared" si="0"/>
        <v>25.985250000000001</v>
      </c>
      <c r="D39" s="12">
        <f t="shared" si="2"/>
        <v>1.8267630750000001</v>
      </c>
      <c r="E39" s="12">
        <f t="shared" si="1"/>
        <v>8.1551922991071446E-2</v>
      </c>
      <c r="F39" s="12">
        <f>E39/Calculation!K$16*1000</f>
        <v>8.3943341423711917E-2</v>
      </c>
      <c r="G39" s="12">
        <f>G38+(F39+F38)/2*30</f>
        <v>59.448817907451271</v>
      </c>
    </row>
    <row r="40" spans="1:7">
      <c r="A40" s="35">
        <v>17.5</v>
      </c>
      <c r="B40" s="89">
        <v>24854.41</v>
      </c>
      <c r="C40" s="36">
        <f t="shared" si="0"/>
        <v>24.854410000000001</v>
      </c>
      <c r="D40" s="12">
        <f t="shared" si="2"/>
        <v>1.747265023</v>
      </c>
      <c r="E40" s="12">
        <f t="shared" si="1"/>
        <v>7.8002902812499997E-2</v>
      </c>
      <c r="F40" s="12">
        <f>E40/Calculation!K$16*1000</f>
        <v>8.0290250219448314E-2</v>
      </c>
      <c r="G40" s="12">
        <f t="shared" si="3"/>
        <v>61.912321782098672</v>
      </c>
    </row>
    <row r="41" spans="1:7">
      <c r="A41" s="35">
        <v>18</v>
      </c>
      <c r="B41" s="89">
        <v>23258.47</v>
      </c>
      <c r="C41" s="36">
        <f t="shared" si="0"/>
        <v>23.258470000000003</v>
      </c>
      <c r="D41" s="12">
        <f t="shared" si="2"/>
        <v>1.6350704410000001</v>
      </c>
      <c r="E41" s="12">
        <f t="shared" si="1"/>
        <v>7.2994216116071431E-2</v>
      </c>
      <c r="F41" s="12">
        <f>E41/Calculation!K$17*1000</f>
        <v>7.8672249001816241E-2</v>
      </c>
      <c r="G41" s="12">
        <f t="shared" si="3"/>
        <v>64.296759270417638</v>
      </c>
    </row>
    <row r="42" spans="1:7">
      <c r="A42" s="35">
        <v>18.5</v>
      </c>
      <c r="B42" s="89">
        <v>19602.78</v>
      </c>
      <c r="C42" s="36">
        <f t="shared" si="0"/>
        <v>19.602779999999999</v>
      </c>
      <c r="D42" s="12">
        <f t="shared" si="2"/>
        <v>1.3780754339999999</v>
      </c>
      <c r="E42" s="12">
        <f t="shared" si="1"/>
        <v>6.1521224732142853E-2</v>
      </c>
      <c r="F42" s="12">
        <f>E42/Calculation!K$17*1000</f>
        <v>6.6306803039401258E-2</v>
      </c>
      <c r="G42" s="12">
        <f t="shared" si="3"/>
        <v>66.4714450510359</v>
      </c>
    </row>
    <row r="43" spans="1:7">
      <c r="A43" s="35">
        <v>19</v>
      </c>
      <c r="B43" s="89">
        <v>16808.43</v>
      </c>
      <c r="C43" s="36">
        <f t="shared" si="0"/>
        <v>16.808430000000001</v>
      </c>
      <c r="D43" s="12">
        <f t="shared" si="2"/>
        <v>1.1816326290000001</v>
      </c>
      <c r="E43" s="12">
        <f t="shared" si="1"/>
        <v>5.2751456651785725E-2</v>
      </c>
      <c r="F43" s="12">
        <f>E43/Calculation!K$17*1000</f>
        <v>5.6854857189213154E-2</v>
      </c>
      <c r="G43" s="12">
        <f t="shared" si="3"/>
        <v>68.318869954465114</v>
      </c>
    </row>
    <row r="44" spans="1:7">
      <c r="A44" s="35">
        <v>19.5</v>
      </c>
      <c r="B44" s="89">
        <v>14885.7</v>
      </c>
      <c r="C44" s="36">
        <f t="shared" si="0"/>
        <v>14.8857</v>
      </c>
      <c r="D44" s="12">
        <f t="shared" si="2"/>
        <v>1.04646471</v>
      </c>
      <c r="E44" s="12">
        <f t="shared" si="1"/>
        <v>4.6717174553571432E-2</v>
      </c>
      <c r="F44" s="12">
        <f>E44/Calculation!K$17*1000</f>
        <v>5.0351183760855123E-2</v>
      </c>
      <c r="G44" s="12">
        <f t="shared" si="3"/>
        <v>69.92696056871614</v>
      </c>
    </row>
    <row r="45" spans="1:7">
      <c r="A45" s="35">
        <v>20</v>
      </c>
      <c r="B45" s="89">
        <v>12989.16</v>
      </c>
      <c r="C45" s="36">
        <f t="shared" si="0"/>
        <v>12.98916</v>
      </c>
      <c r="D45" s="12">
        <f t="shared" si="2"/>
        <v>0.91313794799999992</v>
      </c>
      <c r="E45" s="12">
        <f t="shared" si="1"/>
        <v>4.0765086964285713E-2</v>
      </c>
      <c r="F45" s="12">
        <f>E45/Calculation!K$17*1000</f>
        <v>4.3936098541496126E-2</v>
      </c>
      <c r="G45" s="12">
        <f t="shared" si="3"/>
        <v>71.341269803251407</v>
      </c>
    </row>
    <row r="46" spans="1:7">
      <c r="A46" s="35">
        <v>20.5</v>
      </c>
      <c r="B46" s="89">
        <v>10871.97</v>
      </c>
      <c r="C46" s="36">
        <f t="shared" si="0"/>
        <v>10.871969999999999</v>
      </c>
      <c r="D46" s="12">
        <f t="shared" si="2"/>
        <v>0.76429949099999994</v>
      </c>
      <c r="E46" s="12">
        <f t="shared" si="1"/>
        <v>3.4120512991071425E-2</v>
      </c>
      <c r="F46" s="12">
        <f>E46/Calculation!K$17*1000</f>
        <v>3.6774660198210629E-2</v>
      </c>
      <c r="G46" s="12">
        <f t="shared" si="3"/>
        <v>72.551931184347012</v>
      </c>
    </row>
    <row r="47" spans="1:7">
      <c r="A47" s="35">
        <v>21</v>
      </c>
      <c r="B47" s="89">
        <v>8983.67</v>
      </c>
      <c r="C47" s="36">
        <f t="shared" si="0"/>
        <v>8.98367</v>
      </c>
      <c r="D47" s="12">
        <f t="shared" si="2"/>
        <v>0.63155200100000009</v>
      </c>
      <c r="E47" s="12">
        <f t="shared" si="1"/>
        <v>2.8194285758928576E-2</v>
      </c>
      <c r="F47" s="12">
        <f>E47/Calculation!K$17*1000</f>
        <v>3.0387446946860502E-2</v>
      </c>
      <c r="G47" s="12">
        <f t="shared" si="3"/>
        <v>73.559362791523085</v>
      </c>
    </row>
    <row r="48" spans="1:7">
      <c r="A48" s="35">
        <v>21.5</v>
      </c>
      <c r="B48" s="89">
        <v>7388.29</v>
      </c>
      <c r="C48" s="36">
        <f t="shared" si="0"/>
        <v>7.3882899999999996</v>
      </c>
      <c r="D48" s="12">
        <f t="shared" si="2"/>
        <v>0.51939678699999992</v>
      </c>
      <c r="E48" s="12">
        <f t="shared" si="1"/>
        <v>2.3187356562499997E-2</v>
      </c>
      <c r="F48" s="12">
        <f>E48/Calculation!K$17*1000</f>
        <v>2.4991041567980564E-2</v>
      </c>
      <c r="G48" s="12">
        <f t="shared" si="3"/>
        <v>74.390040119245697</v>
      </c>
    </row>
    <row r="49" spans="1:7">
      <c r="A49" s="35">
        <v>22</v>
      </c>
      <c r="B49" s="89">
        <v>5960.79</v>
      </c>
      <c r="C49" s="36">
        <f t="shared" si="0"/>
        <v>5.9607900000000003</v>
      </c>
      <c r="D49" s="12">
        <f t="shared" si="2"/>
        <v>0.41904353700000002</v>
      </c>
      <c r="E49" s="12">
        <f t="shared" si="1"/>
        <v>1.8707300758928572E-2</v>
      </c>
      <c r="F49" s="12">
        <f>E49/Calculation!K$17*1000</f>
        <v>2.0162493712077203E-2</v>
      </c>
      <c r="G49" s="12">
        <f t="shared" si="3"/>
        <v>75.067343148446568</v>
      </c>
    </row>
    <row r="50" spans="1:7">
      <c r="A50" s="35">
        <v>22.5</v>
      </c>
      <c r="B50" s="89">
        <v>4795.1400000000003</v>
      </c>
      <c r="C50" s="36">
        <f t="shared" si="0"/>
        <v>4.79514</v>
      </c>
      <c r="D50" s="12">
        <f t="shared" si="2"/>
        <v>0.337098342</v>
      </c>
      <c r="E50" s="12">
        <f t="shared" si="1"/>
        <v>1.5049033125000002E-2</v>
      </c>
      <c r="F50" s="12">
        <f>E50/Calculation!K$17*1000</f>
        <v>1.6219658820144627E-2</v>
      </c>
      <c r="G50" s="12">
        <f t="shared" si="3"/>
        <v>75.613075436429895</v>
      </c>
    </row>
    <row r="51" spans="1:7">
      <c r="A51" s="35">
        <v>23</v>
      </c>
      <c r="B51" s="89">
        <v>3772.85</v>
      </c>
      <c r="C51" s="36">
        <f t="shared" si="0"/>
        <v>3.77285</v>
      </c>
      <c r="D51" s="12">
        <f t="shared" si="2"/>
        <v>0.265231355</v>
      </c>
      <c r="E51" s="12">
        <f t="shared" si="1"/>
        <v>1.184068549107143E-2</v>
      </c>
      <c r="F51" s="12">
        <f>E51/Calculation!K$17*1000</f>
        <v>1.2761742051239934E-2</v>
      </c>
      <c r="G51" s="12">
        <f t="shared" si="3"/>
        <v>76.047796449500666</v>
      </c>
    </row>
    <row r="52" spans="1:7">
      <c r="A52" s="35">
        <v>23.5</v>
      </c>
      <c r="B52" s="89">
        <v>3291.65</v>
      </c>
      <c r="C52" s="36">
        <f t="shared" si="0"/>
        <v>3.2916500000000002</v>
      </c>
      <c r="D52" s="12">
        <f t="shared" si="2"/>
        <v>0.231402995</v>
      </c>
      <c r="E52" s="12">
        <f t="shared" si="1"/>
        <v>1.0330490848214286E-2</v>
      </c>
      <c r="F52" s="12">
        <f>E52/Calculation!K$17*1000</f>
        <v>1.1134073239848901E-2</v>
      </c>
      <c r="G52" s="12">
        <f t="shared" si="3"/>
        <v>76.406233678866997</v>
      </c>
    </row>
    <row r="53" spans="1:7">
      <c r="A53" s="35">
        <v>24</v>
      </c>
      <c r="B53" s="89">
        <v>2858.74</v>
      </c>
      <c r="C53" s="36">
        <f t="shared" si="0"/>
        <v>2.8587399999999996</v>
      </c>
      <c r="D53" s="12">
        <f t="shared" si="2"/>
        <v>0.20096942199999998</v>
      </c>
      <c r="E53" s="12">
        <f t="shared" si="1"/>
        <v>8.9718491964285718E-3</v>
      </c>
      <c r="F53" s="12">
        <f>E53/Calculation!K$18*1000</f>
        <v>1.0277379369057392E-2</v>
      </c>
      <c r="G53" s="12">
        <f t="shared" si="3"/>
        <v>76.727405468000597</v>
      </c>
    </row>
    <row r="54" spans="1:7">
      <c r="A54" s="35">
        <v>24.5</v>
      </c>
      <c r="B54" s="89">
        <v>2398.3200000000002</v>
      </c>
      <c r="C54" s="36">
        <f t="shared" si="0"/>
        <v>2.39832</v>
      </c>
      <c r="D54" s="12">
        <f t="shared" si="2"/>
        <v>0.16860189599999997</v>
      </c>
      <c r="E54" s="12">
        <f t="shared" si="1"/>
        <v>7.5268703571428567E-3</v>
      </c>
      <c r="F54" s="12">
        <f>E54/Calculation!K$18*1000</f>
        <v>8.6221357970286631E-3</v>
      </c>
      <c r="G54" s="12">
        <f t="shared" si="3"/>
        <v>77.01089819549189</v>
      </c>
    </row>
    <row r="55" spans="1:7">
      <c r="A55" s="35">
        <v>25</v>
      </c>
      <c r="B55" s="89">
        <v>1843.56</v>
      </c>
      <c r="C55" s="36">
        <f t="shared" si="0"/>
        <v>1.8435599999999999</v>
      </c>
      <c r="D55" s="12">
        <f t="shared" si="2"/>
        <v>0.12960226799999999</v>
      </c>
      <c r="E55" s="12">
        <f t="shared" si="1"/>
        <v>5.785815535714286E-3</v>
      </c>
      <c r="F55" s="12">
        <f>E55/Calculation!K$18*1000</f>
        <v>6.6277330256054919E-3</v>
      </c>
      <c r="G55" s="12">
        <f t="shared" si="3"/>
        <v>77.2396462278314</v>
      </c>
    </row>
    <row r="56" spans="1:7">
      <c r="A56" s="35">
        <v>25.5</v>
      </c>
      <c r="B56" s="89">
        <v>1504.61</v>
      </c>
      <c r="C56" s="36">
        <f t="shared" si="0"/>
        <v>1.50461</v>
      </c>
      <c r="D56" s="12">
        <f t="shared" si="2"/>
        <v>0.10577408299999999</v>
      </c>
      <c r="E56" s="12">
        <f t="shared" si="1"/>
        <v>4.7220572767857141E-3</v>
      </c>
      <c r="F56" s="12">
        <f>E56/Calculation!K$18*1000</f>
        <v>5.4091829870773281E-3</v>
      </c>
      <c r="G56" s="12">
        <f t="shared" si="3"/>
        <v>77.420199968021649</v>
      </c>
    </row>
    <row r="57" spans="1:7">
      <c r="A57" s="35">
        <v>26</v>
      </c>
      <c r="B57" s="89">
        <v>1230.98</v>
      </c>
      <c r="C57" s="36">
        <f t="shared" si="0"/>
        <v>1.23098</v>
      </c>
      <c r="D57" s="12">
        <f t="shared" si="2"/>
        <v>8.653789399999999E-2</v>
      </c>
      <c r="E57" s="12">
        <f t="shared" si="1"/>
        <v>3.8632988392857141E-3</v>
      </c>
      <c r="F57" s="12">
        <f>E57/Calculation!K$18*1000</f>
        <v>4.4254631256155745E-3</v>
      </c>
      <c r="G57" s="12">
        <f t="shared" si="3"/>
        <v>77.56771965971204</v>
      </c>
    </row>
    <row r="58" spans="1:7">
      <c r="A58" s="35">
        <v>26.5</v>
      </c>
      <c r="B58" s="89">
        <v>1042.31</v>
      </c>
      <c r="C58" s="36">
        <f t="shared" si="0"/>
        <v>1.0423099999999998</v>
      </c>
      <c r="D58" s="12">
        <f t="shared" si="2"/>
        <v>7.3274392999999993E-2</v>
      </c>
      <c r="E58" s="12">
        <f t="shared" si="1"/>
        <v>3.2711782589285713E-3</v>
      </c>
      <c r="F58" s="12">
        <f>E58/Calculation!K$18*1000</f>
        <v>3.7471806775580181E-3</v>
      </c>
      <c r="G58" s="12">
        <f t="shared" si="3"/>
        <v>77.690309316759638</v>
      </c>
    </row>
    <row r="59" spans="1:7">
      <c r="A59" s="35">
        <v>27</v>
      </c>
      <c r="B59" s="89">
        <v>886.59</v>
      </c>
      <c r="C59" s="36">
        <f t="shared" si="0"/>
        <v>0.88658999999999999</v>
      </c>
      <c r="D59" s="12">
        <f t="shared" si="2"/>
        <v>6.2327277E-2</v>
      </c>
      <c r="E59" s="12">
        <f t="shared" si="1"/>
        <v>2.782467723214286E-3</v>
      </c>
      <c r="F59" s="12">
        <f>E59/Calculation!K$18*1000</f>
        <v>3.1873558892423211E-3</v>
      </c>
      <c r="G59" s="12">
        <f t="shared" si="3"/>
        <v>77.794327365261637</v>
      </c>
    </row>
    <row r="60" spans="1:7">
      <c r="A60" s="35">
        <v>27.5</v>
      </c>
      <c r="B60" s="89">
        <v>752.02</v>
      </c>
      <c r="C60" s="36">
        <f t="shared" si="0"/>
        <v>0.75202000000000002</v>
      </c>
      <c r="D60" s="12">
        <f t="shared" si="2"/>
        <v>5.2867006000000001E-2</v>
      </c>
      <c r="E60" s="12">
        <f t="shared" si="1"/>
        <v>2.3601341964285716E-3</v>
      </c>
      <c r="F60" s="12">
        <f>E60/Calculation!K$18*1000</f>
        <v>2.703566897695677E-3</v>
      </c>
      <c r="G60" s="12">
        <f t="shared" si="3"/>
        <v>77.882691207065704</v>
      </c>
    </row>
    <row r="61" spans="1:7">
      <c r="A61" s="35">
        <v>28</v>
      </c>
      <c r="B61" s="89">
        <v>638.04</v>
      </c>
      <c r="C61" s="36">
        <f t="shared" si="0"/>
        <v>0.63803999999999994</v>
      </c>
      <c r="D61" s="12">
        <f t="shared" si="2"/>
        <v>4.4854211999999997E-2</v>
      </c>
      <c r="E61" s="12">
        <f t="shared" si="1"/>
        <v>2.0024201785714285E-3</v>
      </c>
      <c r="F61" s="12">
        <f>E61/Calculation!K$18*1000</f>
        <v>2.2938004619634444E-3</v>
      </c>
      <c r="G61" s="12">
        <f t="shared" si="3"/>
        <v>77.957651717460593</v>
      </c>
    </row>
    <row r="62" spans="1:7">
      <c r="A62" s="35">
        <v>28.5</v>
      </c>
      <c r="B62" s="89">
        <v>580.39</v>
      </c>
      <c r="C62" s="36">
        <f t="shared" si="0"/>
        <v>0.58038999999999996</v>
      </c>
      <c r="D62" s="12">
        <f t="shared" si="2"/>
        <v>4.0801416999999993E-2</v>
      </c>
      <c r="E62" s="12">
        <f t="shared" si="1"/>
        <v>1.8214918303571426E-3</v>
      </c>
      <c r="F62" s="12">
        <f>E62/Calculation!K$18*1000</f>
        <v>2.0865444958293581E-3</v>
      </c>
      <c r="G62" s="12">
        <f t="shared" si="3"/>
        <v>78.02335689182749</v>
      </c>
    </row>
    <row r="63" spans="1:7">
      <c r="A63" s="35">
        <v>29</v>
      </c>
      <c r="B63" s="89">
        <v>518.26</v>
      </c>
      <c r="C63" s="36">
        <f t="shared" si="0"/>
        <v>0.51825999999999994</v>
      </c>
      <c r="D63" s="12">
        <f t="shared" si="2"/>
        <v>3.6433677999999997E-2</v>
      </c>
      <c r="E63" s="12">
        <f t="shared" si="1"/>
        <v>1.6265034821428572E-3</v>
      </c>
      <c r="F63" s="12">
        <f>E63/Calculation!K$18*1000</f>
        <v>1.8631826020581387E-3</v>
      </c>
      <c r="G63" s="12">
        <f t="shared" si="3"/>
        <v>78.082602798295795</v>
      </c>
    </row>
    <row r="64" spans="1:7">
      <c r="A64" s="35">
        <v>29.5</v>
      </c>
      <c r="B64" s="89">
        <v>472.03</v>
      </c>
      <c r="C64" s="36">
        <f t="shared" si="0"/>
        <v>0.47202999999999995</v>
      </c>
      <c r="D64" s="12">
        <f t="shared" si="2"/>
        <v>3.3183708999999999E-2</v>
      </c>
      <c r="E64" s="12">
        <f t="shared" si="1"/>
        <v>1.4814155803571428E-3</v>
      </c>
      <c r="F64" s="12">
        <f>E64/Calculation!K$18*1000</f>
        <v>1.6969823711062077E-3</v>
      </c>
      <c r="G64" s="12">
        <f t="shared" si="3"/>
        <v>78.136005272893257</v>
      </c>
    </row>
    <row r="65" spans="1:7">
      <c r="A65" s="35">
        <v>30</v>
      </c>
      <c r="B65" s="89">
        <v>412.7</v>
      </c>
      <c r="C65" s="36">
        <f t="shared" si="0"/>
        <v>0.41270000000000001</v>
      </c>
      <c r="D65" s="12">
        <f t="shared" si="2"/>
        <v>2.901281E-2</v>
      </c>
      <c r="E65" s="12">
        <f t="shared" si="1"/>
        <v>1.2952147321428572E-3</v>
      </c>
      <c r="F65" s="12">
        <f>E65/Calculation!K$18*1000</f>
        <v>1.4836866821081964E-3</v>
      </c>
      <c r="G65" s="12">
        <f t="shared" si="3"/>
        <v>78.183715308691475</v>
      </c>
    </row>
    <row r="66" spans="1:7">
      <c r="A66" s="35">
        <v>30.5</v>
      </c>
      <c r="B66" s="89">
        <v>397.35</v>
      </c>
      <c r="C66" s="36">
        <f t="shared" si="0"/>
        <v>0.39735000000000004</v>
      </c>
      <c r="D66" s="12">
        <f t="shared" si="2"/>
        <v>2.7933705000000003E-2</v>
      </c>
      <c r="E66" s="12">
        <f t="shared" si="1"/>
        <v>1.2470404017857145E-3</v>
      </c>
      <c r="F66" s="12">
        <f>E66/Calculation!K$19*1000</f>
        <v>1.5439199434189419E-3</v>
      </c>
      <c r="G66" s="12">
        <f t="shared" si="3"/>
        <v>78.229129408074385</v>
      </c>
    </row>
    <row r="67" spans="1:7">
      <c r="A67" s="35">
        <v>31</v>
      </c>
      <c r="B67" s="89">
        <v>347.19</v>
      </c>
      <c r="C67" s="36">
        <f t="shared" si="0"/>
        <v>0.34719</v>
      </c>
      <c r="D67" s="12">
        <f t="shared" si="2"/>
        <v>2.4407456999999997E-2</v>
      </c>
      <c r="E67" s="12">
        <f t="shared" si="1"/>
        <v>1.0896186160714286E-3</v>
      </c>
      <c r="F67" s="12">
        <f>E67/Calculation!K$19*1000</f>
        <v>1.3490211781945949E-3</v>
      </c>
      <c r="G67" s="12">
        <f t="shared" si="3"/>
        <v>78.272523524898588</v>
      </c>
    </row>
    <row r="68" spans="1:7">
      <c r="A68" s="35">
        <v>31.5</v>
      </c>
      <c r="B68" s="89">
        <v>288.98</v>
      </c>
      <c r="C68" s="36">
        <f t="shared" si="0"/>
        <v>0.28898000000000001</v>
      </c>
      <c r="D68" s="12">
        <f t="shared" si="2"/>
        <v>2.0315293999999998E-2</v>
      </c>
      <c r="E68" s="12">
        <f t="shared" si="1"/>
        <v>9.0693276785714283E-4</v>
      </c>
      <c r="F68" s="12">
        <f>E68/Calculation!K$19*1000</f>
        <v>1.1228438033200094E-3</v>
      </c>
      <c r="G68" s="12">
        <f t="shared" si="3"/>
        <v>78.309601499621309</v>
      </c>
    </row>
    <row r="69" spans="1:7">
      <c r="A69" s="35">
        <v>32</v>
      </c>
      <c r="B69" s="89">
        <v>250.61</v>
      </c>
      <c r="C69" s="36">
        <f t="shared" si="0"/>
        <v>0.25061</v>
      </c>
      <c r="D69" s="12">
        <f t="shared" si="2"/>
        <v>1.7617883000000001E-2</v>
      </c>
      <c r="E69" s="12">
        <f t="shared" si="1"/>
        <v>7.8651263392857148E-4</v>
      </c>
      <c r="F69" s="12">
        <f>E69/Calculation!K$19*1000</f>
        <v>9.7375557322315588E-4</v>
      </c>
      <c r="G69" s="12">
        <f t="shared" si="3"/>
        <v>78.341050490269453</v>
      </c>
    </row>
    <row r="70" spans="1:7">
      <c r="A70" s="35">
        <v>32.5</v>
      </c>
      <c r="B70" s="89">
        <v>220.85</v>
      </c>
      <c r="C70" s="36">
        <f t="shared" ref="C70:C101" si="4">B70/1000</f>
        <v>0.22084999999999999</v>
      </c>
      <c r="D70" s="12">
        <f t="shared" ref="D70:D101" si="5">C70/1000*$B$1</f>
        <v>1.5525754999999999E-2</v>
      </c>
      <c r="E70" s="12">
        <f t="shared" ref="E70:E101" si="6">D70/22.4</f>
        <v>6.9311406249999996E-4</v>
      </c>
      <c r="F70" s="12">
        <f>E70/Calculation!K$19*1000</f>
        <v>8.5812185605655777E-4</v>
      </c>
      <c r="G70" s="12">
        <f t="shared" si="3"/>
        <v>78.368528651708644</v>
      </c>
    </row>
    <row r="71" spans="1:7">
      <c r="A71" s="35">
        <v>33</v>
      </c>
      <c r="B71" s="89">
        <v>183.23</v>
      </c>
      <c r="C71" s="36">
        <f t="shared" si="4"/>
        <v>0.18322999999999998</v>
      </c>
      <c r="D71" s="12">
        <f t="shared" si="5"/>
        <v>1.2881068999999997E-2</v>
      </c>
      <c r="E71" s="12">
        <f t="shared" si="6"/>
        <v>5.7504772321428563E-4</v>
      </c>
      <c r="F71" s="12">
        <f>E71/Calculation!K$19*1000</f>
        <v>7.119477821382977E-4</v>
      </c>
      <c r="G71" s="12">
        <f t="shared" ref="G71:G101" si="7">G70+(F71+F70)/2*30</f>
        <v>78.39207969628157</v>
      </c>
    </row>
    <row r="72" spans="1:7">
      <c r="A72" s="35">
        <v>33.5</v>
      </c>
      <c r="B72" s="89">
        <v>0</v>
      </c>
      <c r="C72" s="36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E72/Calculation!K$19*1000</f>
        <v>0</v>
      </c>
      <c r="G72" s="12">
        <f t="shared" si="7"/>
        <v>78.402758913013642</v>
      </c>
    </row>
    <row r="73" spans="1:7">
      <c r="A73" s="35">
        <v>34</v>
      </c>
      <c r="B73" s="89">
        <v>0</v>
      </c>
      <c r="C73" s="36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E73/Calculation!K$19*1000</f>
        <v>0</v>
      </c>
      <c r="G73" s="12">
        <f t="shared" si="7"/>
        <v>78.402758913013642</v>
      </c>
    </row>
    <row r="74" spans="1:7">
      <c r="A74" s="35">
        <v>34.5</v>
      </c>
      <c r="B74" s="89">
        <v>0</v>
      </c>
      <c r="C74" s="36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E74/Calculation!K$19*1000</f>
        <v>0</v>
      </c>
      <c r="G74" s="12">
        <f t="shared" si="7"/>
        <v>78.402758913013642</v>
      </c>
    </row>
    <row r="75" spans="1:7">
      <c r="A75" s="35">
        <v>35</v>
      </c>
      <c r="B75" s="89">
        <v>0</v>
      </c>
      <c r="C75" s="36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E75/Calculation!K$19*1000</f>
        <v>0</v>
      </c>
      <c r="G75" s="12">
        <f t="shared" si="7"/>
        <v>78.402758913013642</v>
      </c>
    </row>
    <row r="76" spans="1:7">
      <c r="A76" s="35">
        <v>35.5</v>
      </c>
      <c r="B76" s="89">
        <v>0</v>
      </c>
      <c r="C76" s="36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E76/Calculation!K$19*1000</f>
        <v>0</v>
      </c>
      <c r="G76" s="12">
        <f t="shared" si="7"/>
        <v>78.402758913013642</v>
      </c>
    </row>
    <row r="77" spans="1:7">
      <c r="A77" s="35">
        <v>36</v>
      </c>
      <c r="B77" s="89">
        <v>0</v>
      </c>
      <c r="C77" s="36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E77/Calculation!K$19*1000</f>
        <v>0</v>
      </c>
      <c r="G77" s="12">
        <f t="shared" si="7"/>
        <v>78.402758913013642</v>
      </c>
    </row>
    <row r="78" spans="1:7">
      <c r="A78" s="35">
        <v>36.5</v>
      </c>
      <c r="B78" s="89">
        <v>0</v>
      </c>
      <c r="C78" s="36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E78/Calculation!K$19*1000</f>
        <v>0</v>
      </c>
      <c r="G78" s="12">
        <f t="shared" si="7"/>
        <v>78.402758913013642</v>
      </c>
    </row>
    <row r="79" spans="1:7">
      <c r="A79" s="35">
        <v>37</v>
      </c>
      <c r="B79" s="89">
        <v>0</v>
      </c>
      <c r="C79" s="36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E79/Calculation!K$19*1000</f>
        <v>0</v>
      </c>
      <c r="G79" s="12">
        <f t="shared" si="7"/>
        <v>78.402758913013642</v>
      </c>
    </row>
    <row r="80" spans="1:7">
      <c r="A80" s="35">
        <v>37.5</v>
      </c>
      <c r="B80" s="89">
        <v>0</v>
      </c>
      <c r="C80" s="36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E80/Calculation!K$19*1000</f>
        <v>0</v>
      </c>
      <c r="G80" s="12">
        <f t="shared" si="7"/>
        <v>78.402758913013642</v>
      </c>
    </row>
    <row r="81" spans="1:7">
      <c r="A81" s="35">
        <v>38</v>
      </c>
      <c r="B81" s="89">
        <v>0</v>
      </c>
      <c r="C81" s="36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E81/Calculation!K$19*1000</f>
        <v>0</v>
      </c>
      <c r="G81" s="12">
        <f t="shared" si="7"/>
        <v>78.402758913013642</v>
      </c>
    </row>
    <row r="82" spans="1:7">
      <c r="A82" s="35">
        <v>38.5</v>
      </c>
      <c r="B82" s="89">
        <v>0</v>
      </c>
      <c r="C82" s="36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E82/Calculation!K$19*1000</f>
        <v>0</v>
      </c>
      <c r="G82" s="12">
        <f t="shared" si="7"/>
        <v>78.402758913013642</v>
      </c>
    </row>
    <row r="83" spans="1:7">
      <c r="A83" s="35">
        <v>39</v>
      </c>
      <c r="B83" s="89">
        <v>0</v>
      </c>
      <c r="C83" s="36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E83/Calculation!K$19*1000</f>
        <v>0</v>
      </c>
      <c r="G83" s="12">
        <f t="shared" si="7"/>
        <v>78.402758913013642</v>
      </c>
    </row>
    <row r="84" spans="1:7">
      <c r="A84" s="35">
        <v>39.5</v>
      </c>
      <c r="B84" s="89">
        <v>0</v>
      </c>
      <c r="C84" s="36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E84/Calculation!K$19*1000</f>
        <v>0</v>
      </c>
      <c r="G84" s="12">
        <f t="shared" si="7"/>
        <v>78.402758913013642</v>
      </c>
    </row>
    <row r="85" spans="1:7">
      <c r="A85" s="35">
        <v>40</v>
      </c>
      <c r="B85" s="89">
        <v>0</v>
      </c>
      <c r="C85" s="36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E85/Calculation!K$19*1000</f>
        <v>0</v>
      </c>
      <c r="G85" s="12">
        <f t="shared" si="7"/>
        <v>78.402758913013642</v>
      </c>
    </row>
    <row r="86" spans="1:7">
      <c r="A86" s="35">
        <v>40.5</v>
      </c>
      <c r="B86" s="89">
        <v>0</v>
      </c>
      <c r="C86" s="36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E86/Calculation!K$19*1000</f>
        <v>0</v>
      </c>
      <c r="G86" s="12">
        <f t="shared" si="7"/>
        <v>78.402758913013642</v>
      </c>
    </row>
    <row r="87" spans="1:7">
      <c r="A87" s="35">
        <v>41</v>
      </c>
      <c r="B87" s="89">
        <v>0</v>
      </c>
      <c r="C87" s="36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E87/Calculation!K$19*1000</f>
        <v>0</v>
      </c>
      <c r="G87" s="12">
        <f t="shared" si="7"/>
        <v>78.402758913013642</v>
      </c>
    </row>
    <row r="88" spans="1:7">
      <c r="A88" s="35">
        <v>41.5</v>
      </c>
      <c r="B88" s="89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78.402758913013642</v>
      </c>
    </row>
    <row r="89" spans="1:7">
      <c r="A89" s="35">
        <v>42</v>
      </c>
      <c r="B89" s="89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E89/Calculation!K$19*1000</f>
        <v>0</v>
      </c>
      <c r="G89" s="12">
        <f t="shared" si="7"/>
        <v>78.402758913013642</v>
      </c>
    </row>
    <row r="90" spans="1:7">
      <c r="A90" s="35">
        <v>42.5</v>
      </c>
      <c r="B90" s="89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E90/Calculation!K$19*1000</f>
        <v>0</v>
      </c>
      <c r="G90" s="12">
        <f t="shared" si="7"/>
        <v>78.402758913013642</v>
      </c>
    </row>
    <row r="91" spans="1:7">
      <c r="A91" s="35">
        <v>43</v>
      </c>
      <c r="B91" s="89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78.402758913013642</v>
      </c>
    </row>
    <row r="92" spans="1:7">
      <c r="A92" s="35">
        <v>43.5</v>
      </c>
      <c r="B92" s="89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78.402758913013642</v>
      </c>
    </row>
    <row r="93" spans="1:7">
      <c r="A93" s="35">
        <v>44</v>
      </c>
      <c r="B93" s="89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78.402758913013642</v>
      </c>
    </row>
    <row r="94" spans="1:7">
      <c r="A94" s="35">
        <v>44.5</v>
      </c>
      <c r="B94" s="89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78.402758913013642</v>
      </c>
    </row>
    <row r="95" spans="1:7">
      <c r="A95" s="35">
        <v>45</v>
      </c>
      <c r="B95" s="89">
        <v>0</v>
      </c>
      <c r="C95" s="36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E95/Calculation!K$19*1000</f>
        <v>0</v>
      </c>
      <c r="G95" s="12">
        <f t="shared" si="7"/>
        <v>78.402758913013642</v>
      </c>
    </row>
    <row r="96" spans="1:7">
      <c r="A96" s="35">
        <v>45.5</v>
      </c>
      <c r="B96" s="89">
        <v>0</v>
      </c>
      <c r="C96" s="36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78.402758913013642</v>
      </c>
    </row>
    <row r="97" spans="1:7">
      <c r="A97" s="35">
        <v>46</v>
      </c>
      <c r="B97" s="89">
        <v>0</v>
      </c>
      <c r="C97" s="36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78.402758913013642</v>
      </c>
    </row>
    <row r="98" spans="1:7">
      <c r="A98" s="35">
        <v>46.5</v>
      </c>
      <c r="B98" s="89">
        <v>0</v>
      </c>
      <c r="C98" s="36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78.402758913013642</v>
      </c>
    </row>
    <row r="99" spans="1:7">
      <c r="A99" s="35">
        <v>47</v>
      </c>
      <c r="B99" s="89">
        <v>0</v>
      </c>
      <c r="C99" s="36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E99/Calculation!K$19*1000</f>
        <v>0</v>
      </c>
      <c r="G99" s="12">
        <f t="shared" si="7"/>
        <v>78.402758913013642</v>
      </c>
    </row>
    <row r="100" spans="1:7">
      <c r="A100" s="35">
        <v>47.5</v>
      </c>
      <c r="B100" s="89">
        <v>0</v>
      </c>
      <c r="C100" s="36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E100/Calculation!K$19*1000</f>
        <v>0</v>
      </c>
      <c r="G100" s="12">
        <f t="shared" si="7"/>
        <v>78.402758913013642</v>
      </c>
    </row>
    <row r="101" spans="1:7">
      <c r="A101" s="35">
        <v>48</v>
      </c>
      <c r="B101" s="89">
        <v>0</v>
      </c>
      <c r="C101" s="36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E101/Calculation!K$20*1000</f>
        <v>0</v>
      </c>
      <c r="G101" s="12">
        <f t="shared" si="7"/>
        <v>78.402758913013642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7" t="s">
        <v>41</v>
      </c>
      <c r="B1" s="137"/>
      <c r="D1" s="161" t="s">
        <v>4</v>
      </c>
      <c r="E1" s="161" t="s">
        <v>5</v>
      </c>
      <c r="F1" s="137" t="s">
        <v>139</v>
      </c>
      <c r="G1" s="137"/>
      <c r="H1" s="137"/>
      <c r="I1" s="137"/>
      <c r="J1" s="137" t="s">
        <v>42</v>
      </c>
      <c r="K1" s="137"/>
      <c r="L1" s="137"/>
      <c r="M1" s="137"/>
      <c r="N1" s="162" t="s">
        <v>43</v>
      </c>
      <c r="O1" s="135"/>
      <c r="P1" s="135"/>
      <c r="Q1" s="163"/>
      <c r="R1" s="137" t="s">
        <v>65</v>
      </c>
      <c r="S1" s="137"/>
      <c r="T1" s="137"/>
      <c r="U1" s="137"/>
    </row>
    <row r="2" spans="1:21">
      <c r="A2" s="137" t="s">
        <v>34</v>
      </c>
      <c r="B2" s="137"/>
      <c r="D2" s="161"/>
      <c r="E2" s="161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7" t="s">
        <v>35</v>
      </c>
      <c r="B3" s="14" t="s">
        <v>38</v>
      </c>
      <c r="D3" s="16">
        <v>0</v>
      </c>
      <c r="E3" s="63">
        <v>-0.16666666666666666</v>
      </c>
      <c r="F3" s="52">
        <v>48.830669034931915</v>
      </c>
      <c r="G3" s="52">
        <v>6.1140880853532059E-2</v>
      </c>
      <c r="H3" s="13">
        <f>F3*Calculation!I3/Calculation!F22</f>
        <v>48.830669034931915</v>
      </c>
      <c r="I3" s="13">
        <f>G3*Calculation!I3/Calculation!F22</f>
        <v>6.1140880853532066E-2</v>
      </c>
      <c r="J3" s="13">
        <v>0.94730609828300771</v>
      </c>
      <c r="K3" s="13">
        <v>7.7972570699028548E-2</v>
      </c>
      <c r="L3" s="13">
        <f>J3*Calculation!I3/Calculation!F22</f>
        <v>0.94730609828300782</v>
      </c>
      <c r="M3" s="13">
        <f>K3*Calculation!I3/Calculation!F22</f>
        <v>7.7972570699028548E-2</v>
      </c>
      <c r="N3" s="13">
        <v>49.680821537607549</v>
      </c>
      <c r="O3" s="13">
        <v>0.13460289373280002</v>
      </c>
      <c r="P3" s="13">
        <f>N3*Calculation!I3/Calculation!F22</f>
        <v>49.680821537607557</v>
      </c>
      <c r="Q3" s="13">
        <f>O3*Calculation!I3/Calculation!F22</f>
        <v>0.13460289373280002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37"/>
      <c r="B4" s="14" t="s">
        <v>39</v>
      </c>
      <c r="D4" s="16">
        <v>0</v>
      </c>
      <c r="E4" s="66">
        <v>0.16666666666666666</v>
      </c>
      <c r="F4" s="52">
        <v>48.582741267021902</v>
      </c>
      <c r="G4" s="52">
        <v>0.15594514139805493</v>
      </c>
      <c r="H4" s="13">
        <f>F4*Calculation!I4/Calculation!K3</f>
        <v>48.582741267021902</v>
      </c>
      <c r="I4" s="13">
        <f>G4*Calculation!I4/Calculation!K3</f>
        <v>0.15594514139805493</v>
      </c>
      <c r="J4" s="13">
        <v>0.94730609828300771</v>
      </c>
      <c r="K4" s="13">
        <v>2.5637223321031275E-2</v>
      </c>
      <c r="L4" s="13">
        <f>J4*Calculation!I4/Calculation!K3</f>
        <v>0.94730609828300771</v>
      </c>
      <c r="M4" s="13">
        <f>K4*Calculation!I4/Calculation!K3</f>
        <v>2.5637223321031272E-2</v>
      </c>
      <c r="N4" s="13">
        <v>47.926727726894256</v>
      </c>
      <c r="O4" s="13">
        <v>0.26435483541028271</v>
      </c>
      <c r="P4" s="13">
        <f>N4*Calculation!I4/Calculation!K3</f>
        <v>47.926727726894256</v>
      </c>
      <c r="Q4" s="13">
        <f>O4*Calculation!I4/Calculation!K3</f>
        <v>0.26435483541028271</v>
      </c>
      <c r="R4" s="13">
        <v>1.2165978709537257</v>
      </c>
      <c r="S4" s="13">
        <v>4.34499239626331E-2</v>
      </c>
      <c r="T4" s="13">
        <f>R4*Calculation!I4/Calculation!K3</f>
        <v>1.2165978709537257</v>
      </c>
      <c r="U4" s="13">
        <f>S4*Calculation!I4/Calculation!K3</f>
        <v>4.34499239626331E-2</v>
      </c>
    </row>
    <row r="5" spans="1:21">
      <c r="A5" s="15" t="s">
        <v>37</v>
      </c>
      <c r="B5" s="15">
        <v>180.16</v>
      </c>
      <c r="D5" s="16">
        <v>1</v>
      </c>
      <c r="E5" s="66">
        <v>2</v>
      </c>
      <c r="F5" s="52">
        <v>48.65674955595027</v>
      </c>
      <c r="G5" s="52">
        <v>0.26011044657770677</v>
      </c>
      <c r="H5" s="13">
        <f>F5*Calculation!I5/Calculation!K4</f>
        <v>48.656749555950277</v>
      </c>
      <c r="I5" s="13">
        <f>G5*Calculation!I5/Calculation!K4</f>
        <v>0.26011044657770677</v>
      </c>
      <c r="J5" s="13">
        <v>0.9843102427471877</v>
      </c>
      <c r="K5" s="13">
        <v>3.3914858606837212E-2</v>
      </c>
      <c r="L5" s="13">
        <f>J5*Calculation!I5/Calculation!K4</f>
        <v>0.9843102427471877</v>
      </c>
      <c r="M5" s="13">
        <f>K5*Calculation!I5/Calculation!K4</f>
        <v>3.3914858606837212E-2</v>
      </c>
      <c r="N5" s="13">
        <v>48.193172356369693</v>
      </c>
      <c r="O5" s="13">
        <v>0.27261791080341202</v>
      </c>
      <c r="P5" s="13">
        <f>N5*Calculation!I5/Calculation!K4</f>
        <v>48.193172356369693</v>
      </c>
      <c r="Q5" s="13">
        <f>O5*Calculation!I5/Calculation!K4</f>
        <v>0.27261791080341202</v>
      </c>
      <c r="R5" s="13">
        <v>1.2745311029039033</v>
      </c>
      <c r="S5" s="13">
        <v>6.637085516628051E-2</v>
      </c>
      <c r="T5" s="13">
        <f>R5*Calculation!I5/Calculation!K4</f>
        <v>1.2745311029039033</v>
      </c>
      <c r="U5" s="13">
        <f>S5*Calculation!I5/Calculation!K4</f>
        <v>6.637085516628051E-2</v>
      </c>
    </row>
    <row r="6" spans="1:21">
      <c r="A6" s="15" t="s">
        <v>40</v>
      </c>
      <c r="B6" s="15">
        <v>180.16</v>
      </c>
      <c r="D6" s="16">
        <v>2</v>
      </c>
      <c r="E6" s="66">
        <v>3.3333333333333335</v>
      </c>
      <c r="F6" s="52">
        <v>48.094286560094737</v>
      </c>
      <c r="G6" s="52">
        <v>0.11393431259873439</v>
      </c>
      <c r="H6" s="13">
        <f>F6*Calculation!I6/Calculation!K5</f>
        <v>48.126392225355147</v>
      </c>
      <c r="I6" s="13">
        <f>G6*Calculation!I6/Calculation!K5</f>
        <v>0.11401037021729162</v>
      </c>
      <c r="J6" s="13">
        <v>1.0287152161042037</v>
      </c>
      <c r="K6" s="13">
        <v>1.2818611660515681E-2</v>
      </c>
      <c r="L6" s="13">
        <f>J6*Calculation!I6/Calculation!K5</f>
        <v>1.0294019418826443</v>
      </c>
      <c r="M6" s="13">
        <f>K6*Calculation!I6/Calculation!K5</f>
        <v>1.2827168811156878E-2</v>
      </c>
      <c r="N6" s="13">
        <v>48.270885373300025</v>
      </c>
      <c r="O6" s="13">
        <v>0.30036634490077596</v>
      </c>
      <c r="P6" s="13">
        <f>N6*Calculation!I6/Calculation!K5</f>
        <v>48.303108928288879</v>
      </c>
      <c r="Q6" s="13">
        <f>O6*Calculation!I6/Calculation!K5</f>
        <v>0.30056685647948139</v>
      </c>
      <c r="R6" s="13">
        <v>1.4772974147295241</v>
      </c>
      <c r="S6" s="13">
        <v>0</v>
      </c>
      <c r="T6" s="13">
        <f>R6*Calculation!I6/Calculation!K5</f>
        <v>1.4782835945791433</v>
      </c>
      <c r="U6" s="13">
        <f>S6*Calculation!I6/Calculation!K5</f>
        <v>0</v>
      </c>
    </row>
    <row r="7" spans="1:21">
      <c r="A7" s="32" t="s">
        <v>116</v>
      </c>
      <c r="B7" s="32">
        <v>46.03</v>
      </c>
      <c r="D7" s="16">
        <v>3</v>
      </c>
      <c r="E7" s="66">
        <v>4.666666666666667</v>
      </c>
      <c r="F7" s="52">
        <v>46.262581409117828</v>
      </c>
      <c r="G7" s="52">
        <v>0.16993727802257202</v>
      </c>
      <c r="H7" s="13">
        <f>F7*Calculation!I7/Calculation!K6</f>
        <v>46.420906741686288</v>
      </c>
      <c r="I7" s="13">
        <f>G7*Calculation!I7/Calculation!K6</f>
        <v>0.17051885767591579</v>
      </c>
      <c r="J7" s="13">
        <v>1.0657193605683839</v>
      </c>
      <c r="K7" s="13">
        <v>2.2202486678508014E-2</v>
      </c>
      <c r="L7" s="13">
        <f>J7*Calculation!I7/Calculation!K6</f>
        <v>1.0693665926736244</v>
      </c>
      <c r="M7" s="13">
        <f>K7*Calculation!I7/Calculation!K6</f>
        <v>2.2278470680700525E-2</v>
      </c>
      <c r="N7" s="13">
        <v>48.093255620316413</v>
      </c>
      <c r="O7" s="13">
        <v>0.12008497170570961</v>
      </c>
      <c r="P7" s="13">
        <f>N7*Calculation!I7/Calculation!K6</f>
        <v>48.257846104860498</v>
      </c>
      <c r="Q7" s="13">
        <f>O7*Calculation!I7/Calculation!K6</f>
        <v>0.12049594084108159</v>
      </c>
      <c r="R7" s="13">
        <v>2.5345788978202619</v>
      </c>
      <c r="S7" s="13">
        <v>5.0171650592189816E-2</v>
      </c>
      <c r="T7" s="13">
        <f>R7*Calculation!I7/Calculation!K6</f>
        <v>2.5432530365020112</v>
      </c>
      <c r="U7" s="13">
        <f>S7*Calculation!I7/Calculation!K6</f>
        <v>5.0343354008289112E-2</v>
      </c>
    </row>
    <row r="8" spans="1:21">
      <c r="A8" s="15" t="s">
        <v>43</v>
      </c>
      <c r="B8" s="15">
        <v>60.05</v>
      </c>
      <c r="D8" s="16">
        <v>4</v>
      </c>
      <c r="E8" s="66">
        <v>6</v>
      </c>
      <c r="F8" s="52">
        <v>42.906305506216697</v>
      </c>
      <c r="G8" s="52">
        <v>1.9227917490774234E-2</v>
      </c>
      <c r="H8" s="13">
        <f>F8*Calculation!I8/Calculation!K7</f>
        <v>43.266883606151005</v>
      </c>
      <c r="I8" s="13">
        <f>G8*Calculation!I8/Calculation!K7</f>
        <v>1.9389506000265282E-2</v>
      </c>
      <c r="J8" s="13">
        <v>1.0805210183540557</v>
      </c>
      <c r="K8" s="13">
        <v>2.5637223321031358E-2</v>
      </c>
      <c r="L8" s="13">
        <f>J8*Calculation!I8/Calculation!K7</f>
        <v>1.089601553514109</v>
      </c>
      <c r="M8" s="13">
        <f>K8*Calculation!I8/Calculation!K7</f>
        <v>2.5852674667019414E-2</v>
      </c>
      <c r="N8" s="13">
        <v>47.515958923119619</v>
      </c>
      <c r="O8" s="13">
        <v>5.0875111795233956E-2</v>
      </c>
      <c r="P8" s="13">
        <f>N8*Calculation!I8/Calculation!K7</f>
        <v>47.915275852948795</v>
      </c>
      <c r="Q8" s="13">
        <f>O8*Calculation!I8/Calculation!K7</f>
        <v>5.1302658537574965E-2</v>
      </c>
      <c r="R8" s="13">
        <v>4.7794916358896371</v>
      </c>
      <c r="S8" s="13">
        <v>8.6899847925266199E-2</v>
      </c>
      <c r="T8" s="13">
        <f>R8*Calculation!I8/Calculation!K7</f>
        <v>4.8196577604810749</v>
      </c>
      <c r="U8" s="13">
        <f>S8*Calculation!I8/Calculation!K7</f>
        <v>8.7630141099655987E-2</v>
      </c>
    </row>
    <row r="9" spans="1:21">
      <c r="A9" s="32" t="s">
        <v>67</v>
      </c>
      <c r="B9" s="32">
        <v>74.08</v>
      </c>
      <c r="D9" s="16">
        <v>5</v>
      </c>
      <c r="E9" s="66">
        <v>7.333333333333333</v>
      </c>
      <c r="F9" s="52">
        <v>36.515689757252815</v>
      </c>
      <c r="G9" s="52">
        <v>0.20837637988900348</v>
      </c>
      <c r="H9" s="13">
        <f>F9*Calculation!I9/Calculation!K8</f>
        <v>37.225434759866914</v>
      </c>
      <c r="I9" s="13">
        <f>G9*Calculation!I9/Calculation!K8</f>
        <v>0.21242653189961042</v>
      </c>
      <c r="J9" s="13">
        <v>1.0657193605683839</v>
      </c>
      <c r="K9" s="13">
        <v>1.8868505155285834E-16</v>
      </c>
      <c r="L9" s="13">
        <f>J9*Calculation!I9/Calculation!K8</f>
        <v>1.0864334425255038</v>
      </c>
      <c r="M9" s="13">
        <f>K9*Calculation!I9/Calculation!K8</f>
        <v>1.9235246885478744E-16</v>
      </c>
      <c r="N9" s="13">
        <v>48.082153760754942</v>
      </c>
      <c r="O9" s="13">
        <v>0.32003408948985879</v>
      </c>
      <c r="P9" s="13">
        <f>N9*Calculation!I9/Calculation!K8</f>
        <v>49.016712811220096</v>
      </c>
      <c r="Q9" s="13">
        <f>O9*Calculation!I9/Calculation!K8</f>
        <v>0.32625450041983345</v>
      </c>
      <c r="R9" s="13">
        <v>9.9355492794554277</v>
      </c>
      <c r="S9" s="13">
        <v>2.5085825296094995E-2</v>
      </c>
      <c r="T9" s="13">
        <f>R9*Calculation!I9/Calculation!K8</f>
        <v>10.12866370495848</v>
      </c>
      <c r="U9" s="13">
        <f>S9*Calculation!I9/Calculation!K8</f>
        <v>2.5573411297036337E-2</v>
      </c>
    </row>
    <row r="10" spans="1:21">
      <c r="A10" s="32" t="s">
        <v>66</v>
      </c>
      <c r="B10" s="32">
        <v>88.11</v>
      </c>
      <c r="D10" s="16">
        <v>6</v>
      </c>
      <c r="E10" s="66">
        <v>8.6666666666666661</v>
      </c>
      <c r="F10" s="52">
        <v>29.31098283007697</v>
      </c>
      <c r="G10" s="52">
        <v>0.19110052299697042</v>
      </c>
      <c r="H10" s="13">
        <f>F10*Calculation!I10/Calculation!K9</f>
        <v>30.128945491241886</v>
      </c>
      <c r="I10" s="13">
        <f>G10*Calculation!I10/Calculation!K9</f>
        <v>0.19643344182970951</v>
      </c>
      <c r="J10" s="13">
        <v>1.1249259917110717</v>
      </c>
      <c r="K10" s="13">
        <v>1.2818611660515592E-2</v>
      </c>
      <c r="L10" s="13">
        <f>J10*Calculation!I10/Calculation!K9</f>
        <v>1.1563185745912807</v>
      </c>
      <c r="M10" s="13">
        <f>K10*Calculation!I10/Calculation!K9</f>
        <v>1.31763323745244E-2</v>
      </c>
      <c r="N10" s="13">
        <v>48.393005828476269</v>
      </c>
      <c r="O10" s="13">
        <v>0.37087522816519747</v>
      </c>
      <c r="P10" s="13">
        <f>N10*Calculation!I10/Calculation!K9</f>
        <v>49.743478177312412</v>
      </c>
      <c r="Q10" s="13">
        <f>O10*Calculation!I10/Calculation!K9</f>
        <v>0.38122500354969469</v>
      </c>
      <c r="R10" s="13">
        <v>12.687377797088855</v>
      </c>
      <c r="S10" s="13">
        <v>8.6899847925266199E-2</v>
      </c>
      <c r="T10" s="13">
        <f>R10*Calculation!I10/Calculation!K9</f>
        <v>13.041436252456052</v>
      </c>
      <c r="U10" s="13">
        <f>S10*Calculation!I10/Calculation!K9</f>
        <v>8.9324905838740157E-2</v>
      </c>
    </row>
    <row r="11" spans="1:21">
      <c r="A11" s="15" t="s">
        <v>42</v>
      </c>
      <c r="B11" s="15">
        <v>90.08</v>
      </c>
      <c r="D11" s="16">
        <v>7</v>
      </c>
      <c r="E11" s="66">
        <v>10</v>
      </c>
      <c r="F11" s="52">
        <v>21.673327412670222</v>
      </c>
      <c r="G11" s="52">
        <v>0.38332793113025992</v>
      </c>
      <c r="H11" s="13">
        <f>F11*Calculation!I11/Calculation!K10</f>
        <v>22.468267064420271</v>
      </c>
      <c r="I11" s="13">
        <f>G11*Calculation!I11/Calculation!K10</f>
        <v>0.39738772759236729</v>
      </c>
      <c r="J11" s="13">
        <v>1.1397276494967437</v>
      </c>
      <c r="K11" s="13">
        <v>3.3914858606837142E-2</v>
      </c>
      <c r="L11" s="13">
        <f>J11*Calculation!I11/Calculation!K10</f>
        <v>1.1815308615061368</v>
      </c>
      <c r="M11" s="13">
        <f>K11*Calculation!I11/Calculation!K10</f>
        <v>3.5158796160897732E-2</v>
      </c>
      <c r="N11" s="13">
        <v>51.84568415209548</v>
      </c>
      <c r="O11" s="13">
        <v>0.70677964107230873</v>
      </c>
      <c r="P11" s="13">
        <f>N11*Calculation!I11/Calculation!K10</f>
        <v>53.747292950775652</v>
      </c>
      <c r="Q11" s="13">
        <f>O11*Calculation!I11/Calculation!K10</f>
        <v>0.73270307917852173</v>
      </c>
      <c r="R11" s="13">
        <v>13.121877036715185</v>
      </c>
      <c r="S11" s="13">
        <v>0.27134468817720631</v>
      </c>
      <c r="T11" s="13">
        <f>R11*Calculation!I11/Calculation!K10</f>
        <v>13.603164481105257</v>
      </c>
      <c r="U11" s="13">
        <f>S11*Calculation!I11/Calculation!K10</f>
        <v>0.28129713561717412</v>
      </c>
    </row>
    <row r="12" spans="1:21">
      <c r="A12" s="15" t="s">
        <v>44</v>
      </c>
      <c r="B12" s="15">
        <v>46.07</v>
      </c>
      <c r="D12" s="16">
        <v>8</v>
      </c>
      <c r="E12" s="66">
        <v>11.333333333333334</v>
      </c>
      <c r="F12" s="52">
        <v>16.914594434576671</v>
      </c>
      <c r="G12" s="52">
        <v>0.57494724302654787</v>
      </c>
      <c r="H12" s="13">
        <f>F12*Calculation!I12/Calculation!K11</f>
        <v>17.605076005009902</v>
      </c>
      <c r="I12" s="13">
        <f>G12*Calculation!I12/Calculation!K11</f>
        <v>0.59841753531269948</v>
      </c>
      <c r="J12" s="13">
        <v>1.1693309650680876</v>
      </c>
      <c r="K12" s="13">
        <v>1.2818611660515681E-2</v>
      </c>
      <c r="L12" s="13">
        <f>J12*Calculation!I12/Calculation!K11</f>
        <v>1.2170649786880618</v>
      </c>
      <c r="M12" s="13">
        <f>K12*Calculation!I12/Calculation!K11</f>
        <v>1.3341888475952263E-2</v>
      </c>
      <c r="N12" s="13">
        <v>54.632250902026094</v>
      </c>
      <c r="O12" s="13">
        <v>1.5991302874298843</v>
      </c>
      <c r="P12" s="13">
        <f>N12*Calculation!I12/Calculation!K11</f>
        <v>56.862429257471682</v>
      </c>
      <c r="Q12" s="13">
        <f>O12*Calculation!I12/Calculation!K11</f>
        <v>1.6644094164366547</v>
      </c>
      <c r="R12" s="13">
        <v>12.861177492939387</v>
      </c>
      <c r="S12" s="13">
        <v>0.31332185752457031</v>
      </c>
      <c r="T12" s="13">
        <f>R12*Calculation!I12/Calculation!K11</f>
        <v>13.386191915679081</v>
      </c>
      <c r="U12" s="13">
        <f>S12*Calculation!I12/Calculation!K11</f>
        <v>0.32611217118366559</v>
      </c>
    </row>
    <row r="13" spans="1:21">
      <c r="D13" s="16">
        <v>9</v>
      </c>
      <c r="E13" s="66">
        <v>12.666666666666666</v>
      </c>
      <c r="F13" s="52">
        <v>13.961663706335107</v>
      </c>
      <c r="G13" s="52">
        <v>0.17209911122311228</v>
      </c>
      <c r="H13" s="13">
        <f>F13*Calculation!I13/Calculation!K12</f>
        <v>14.567780048386963</v>
      </c>
      <c r="I13" s="13">
        <f>G13*Calculation!I13/Calculation!K12</f>
        <v>0.17957043311991436</v>
      </c>
      <c r="J13" s="13">
        <v>1.4283599763173478</v>
      </c>
      <c r="K13" s="13">
        <v>2.5637223321031362E-2</v>
      </c>
      <c r="L13" s="13">
        <f>J13*Calculation!I13/Calculation!K12</f>
        <v>1.4903692283799017</v>
      </c>
      <c r="M13" s="13">
        <f>K13*Calculation!I13/Calculation!K12</f>
        <v>2.675020959161881E-2</v>
      </c>
      <c r="N13" s="13">
        <v>60.660560643907864</v>
      </c>
      <c r="O13" s="13">
        <v>0.54149312898172608</v>
      </c>
      <c r="P13" s="13">
        <f>N13*Calculation!I13/Calculation!K12</f>
        <v>63.294011634968257</v>
      </c>
      <c r="Q13" s="13">
        <f>O13*Calculation!I13/Calculation!K12</f>
        <v>0.56500091727171997</v>
      </c>
      <c r="R13" s="13">
        <v>10.485914982982113</v>
      </c>
      <c r="S13" s="13">
        <v>6.6370855166280593E-2</v>
      </c>
      <c r="T13" s="13">
        <f>R13*Calculation!I13/Calculation!K12</f>
        <v>10.941138985381482</v>
      </c>
      <c r="U13" s="13">
        <f>S13*Calculation!I13/Calculation!K12</f>
        <v>6.9252206615390902E-2</v>
      </c>
    </row>
    <row r="14" spans="1:21">
      <c r="D14" s="16">
        <v>10</v>
      </c>
      <c r="E14" s="66">
        <v>14</v>
      </c>
      <c r="F14" s="52">
        <v>9.7912966252220244</v>
      </c>
      <c r="G14" s="52">
        <v>0.14935195434140455</v>
      </c>
      <c r="H14" s="13">
        <f>F14*Calculation!I14/Calculation!K13</f>
        <v>10.2429472718319</v>
      </c>
      <c r="I14" s="13">
        <f>G14*Calculation!I14/Calculation!K13</f>
        <v>0.15624122645036942</v>
      </c>
      <c r="J14" s="13">
        <v>2.3386619301361753</v>
      </c>
      <c r="K14" s="13">
        <v>3.3914858606837212E-2</v>
      </c>
      <c r="L14" s="13">
        <f>J14*Calculation!I14/Calculation!K13</f>
        <v>2.4465391820853215</v>
      </c>
      <c r="M14" s="13">
        <f>K14*Calculation!I14/Calculation!K13</f>
        <v>3.5479275292978937E-2</v>
      </c>
      <c r="N14" s="13">
        <v>64.046627810158199</v>
      </c>
      <c r="O14" s="13">
        <v>1.0399663610988177</v>
      </c>
      <c r="P14" s="13">
        <f>N14*Calculation!I14/Calculation!K13</f>
        <v>67.000955716957165</v>
      </c>
      <c r="Q14" s="13">
        <f>O14*Calculation!I14/Calculation!K13</f>
        <v>1.087937686799733</v>
      </c>
      <c r="R14" s="13">
        <v>7.3285538416974427</v>
      </c>
      <c r="S14" s="13">
        <v>0.18089645878480373</v>
      </c>
      <c r="T14" s="13">
        <f>R14*Calculation!I14/Calculation!K13</f>
        <v>7.6666036636987114</v>
      </c>
      <c r="U14" s="13">
        <f>S14*Calculation!I14/Calculation!K13</f>
        <v>0.18924080843601659</v>
      </c>
    </row>
    <row r="15" spans="1:21">
      <c r="D15" s="16">
        <v>11</v>
      </c>
      <c r="E15" s="66">
        <v>15.333333333333334</v>
      </c>
      <c r="F15" s="52">
        <v>6.2833037300177619</v>
      </c>
      <c r="G15" s="52">
        <v>2.2202486678508014E-2</v>
      </c>
      <c r="H15" s="13">
        <f>F15*Calculation!I15/Calculation!K14</f>
        <v>6.5909841235872753</v>
      </c>
      <c r="I15" s="13">
        <f>G15*Calculation!I15/Calculation!K14</f>
        <v>2.3289696549778381E-2</v>
      </c>
      <c r="J15" s="13">
        <v>3.6338069863824747</v>
      </c>
      <c r="K15" s="13">
        <v>1.2818611660515681E-2</v>
      </c>
      <c r="L15" s="13">
        <f>J15*Calculation!I15/Calculation!K14</f>
        <v>3.8117470019803914</v>
      </c>
      <c r="M15" s="13">
        <f>K15*Calculation!I15/Calculation!K14</f>
        <v>1.3446312572359245E-2</v>
      </c>
      <c r="N15" s="13">
        <v>68.542880932556216</v>
      </c>
      <c r="O15" s="13">
        <v>0.63455649902606504</v>
      </c>
      <c r="P15" s="13">
        <f>N15*Calculation!I15/Calculation!K14</f>
        <v>71.899284106409723</v>
      </c>
      <c r="Q15" s="13">
        <f>O15*Calculation!I15/Calculation!K14</f>
        <v>0.66562941890254534</v>
      </c>
      <c r="R15" s="13">
        <v>5.2139908755159681</v>
      </c>
      <c r="S15" s="13">
        <v>7.5257475888284991E-2</v>
      </c>
      <c r="T15" s="13">
        <f>R15*Calculation!I15/Calculation!K14</f>
        <v>5.4693092292957672</v>
      </c>
      <c r="U15" s="13">
        <f>S15*Calculation!I15/Calculation!K14</f>
        <v>7.8942678895380466E-2</v>
      </c>
    </row>
    <row r="16" spans="1:21">
      <c r="D16" s="16">
        <v>12</v>
      </c>
      <c r="E16" s="66">
        <v>16.666666666666668</v>
      </c>
      <c r="F16" s="52">
        <v>2.6309946714031973</v>
      </c>
      <c r="G16" s="52">
        <v>7.7708703374777865E-2</v>
      </c>
      <c r="H16" s="13">
        <f>F16*Calculation!I16/Calculation!K15</f>
        <v>2.7650166897223234</v>
      </c>
      <c r="I16" s="13">
        <f>G16*Calculation!I16/Calculation!K15</f>
        <v>8.1667159612051635E-2</v>
      </c>
      <c r="J16" s="13">
        <v>4.899348727057431</v>
      </c>
      <c r="K16" s="13">
        <v>6.4093058302578401E-2</v>
      </c>
      <c r="L16" s="13">
        <f>J16*Calculation!I16/Calculation!K15</f>
        <v>5.1489199679217394</v>
      </c>
      <c r="M16" s="13">
        <f>K16*Calculation!I16/Calculation!K15</f>
        <v>6.7357937979957497E-2</v>
      </c>
      <c r="N16" s="13">
        <v>71.296142103802381</v>
      </c>
      <c r="O16" s="13">
        <v>1.6786584362160082</v>
      </c>
      <c r="P16" s="13">
        <f>N16*Calculation!I16/Calculation!K15</f>
        <v>74.927944542240127</v>
      </c>
      <c r="Q16" s="13">
        <f>O16*Calculation!I16/Calculation!K15</f>
        <v>1.7641687544752656</v>
      </c>
      <c r="R16" s="13">
        <v>3.4615106090231005</v>
      </c>
      <c r="S16" s="13">
        <v>0.4645959861639623</v>
      </c>
      <c r="T16" s="13">
        <f>R16*Calculation!I16/Calculation!K15</f>
        <v>3.6378388408119244</v>
      </c>
      <c r="U16" s="13">
        <f>S16*Calculation!I16/Calculation!K15</f>
        <v>0.4882623555585649</v>
      </c>
    </row>
    <row r="17" spans="4:21">
      <c r="D17" s="16">
        <v>13</v>
      </c>
      <c r="E17" s="66">
        <v>18</v>
      </c>
      <c r="F17" s="52">
        <v>0</v>
      </c>
      <c r="G17" s="52">
        <v>0</v>
      </c>
      <c r="H17" s="13">
        <f>F17*Calculation!I17/Calculation!K16</f>
        <v>0</v>
      </c>
      <c r="I17" s="13">
        <f>G17*Calculation!I17/Calculation!K16</f>
        <v>0</v>
      </c>
      <c r="J17" s="13">
        <v>5.4322084073416219</v>
      </c>
      <c r="K17" s="13">
        <v>5.5875032824679961E-2</v>
      </c>
      <c r="L17" s="13">
        <f>J17*Calculation!I17/Calculation!K16</f>
        <v>5.7201063517388766</v>
      </c>
      <c r="M17" s="13">
        <f>K17*Calculation!I17/Calculation!K16</f>
        <v>5.8836315950639179E-2</v>
      </c>
      <c r="N17" s="13">
        <v>74.626699972245348</v>
      </c>
      <c r="O17" s="13">
        <v>1.3814121965746902</v>
      </c>
      <c r="P17" s="13">
        <f>N17*Calculation!I17/Calculation!K16</f>
        <v>78.58179004024116</v>
      </c>
      <c r="Q17" s="13">
        <f>O17*Calculation!I17/Calculation!K16</f>
        <v>1.4546247285573828</v>
      </c>
      <c r="R17" s="13">
        <v>1.4338474907668912</v>
      </c>
      <c r="S17" s="13">
        <v>0.15051495177656979</v>
      </c>
      <c r="T17" s="13">
        <f>R17*Calculation!I17/Calculation!K16</f>
        <v>1.509839005491004</v>
      </c>
      <c r="U17" s="13">
        <f>S17*Calculation!I17/Calculation!K16</f>
        <v>0.15849199204604142</v>
      </c>
    </row>
    <row r="18" spans="4:21">
      <c r="D18" s="16">
        <v>14</v>
      </c>
      <c r="E18" s="66">
        <v>24</v>
      </c>
      <c r="F18" s="52">
        <v>0</v>
      </c>
      <c r="G18" s="52">
        <v>0</v>
      </c>
      <c r="H18" s="13">
        <f>F18*Calculation!I18/Calculation!K17</f>
        <v>0</v>
      </c>
      <c r="I18" s="13">
        <f>G18*Calculation!I18/Calculation!K17</f>
        <v>0</v>
      </c>
      <c r="J18" s="13">
        <v>5.224985198342214</v>
      </c>
      <c r="K18" s="13">
        <v>1.2818611660515681E-2</v>
      </c>
      <c r="L18" s="13">
        <f>J18*Calculation!I18/Calculation!K17</f>
        <v>5.5244263534389351</v>
      </c>
      <c r="M18" s="13">
        <f>K18*Calculation!I18/Calculation!K17</f>
        <v>1.3553239556414595E-2</v>
      </c>
      <c r="N18" s="13">
        <v>75.958923119622554</v>
      </c>
      <c r="O18" s="13">
        <v>0.1834328242226867</v>
      </c>
      <c r="P18" s="13">
        <f>N18*Calculation!I18/Calculation!K17</f>
        <v>80.312089074247538</v>
      </c>
      <c r="Q18" s="13">
        <f>O18*Calculation!I18/Calculation!K17</f>
        <v>0.19394526295367534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6">
        <v>30.25</v>
      </c>
      <c r="F19" s="52">
        <v>0</v>
      </c>
      <c r="G19" s="52">
        <v>0</v>
      </c>
      <c r="H19" s="13">
        <f>F19*Calculation!I19/Calculation!K18</f>
        <v>0</v>
      </c>
      <c r="I19" s="13">
        <f>G19*Calculation!I19/Calculation!K18</f>
        <v>0</v>
      </c>
      <c r="J19" s="13">
        <v>4.9733570159857905</v>
      </c>
      <c r="K19" s="13">
        <v>8.0052204162166796E-2</v>
      </c>
      <c r="L19" s="13">
        <f>J19*Calculation!I19/Calculation!K18</f>
        <v>5.2583774922251623</v>
      </c>
      <c r="M19" s="13">
        <f>K19*Calculation!I19/Calculation!K18</f>
        <v>8.4639953901623141E-2</v>
      </c>
      <c r="N19" s="13">
        <v>74.249236747155152</v>
      </c>
      <c r="O19" s="13">
        <v>1.3489102012828507</v>
      </c>
      <c r="P19" s="13">
        <f>N19*Calculation!I19/Calculation!K18</f>
        <v>78.504421474505619</v>
      </c>
      <c r="Q19" s="13">
        <f>O19*Calculation!I19/Calculation!K18</f>
        <v>1.426215535836151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6">
        <v>48</v>
      </c>
      <c r="F20" s="52">
        <v>0</v>
      </c>
      <c r="G20" s="52">
        <v>0</v>
      </c>
      <c r="H20" s="13">
        <f>F20*Calculation!I20/Calculation!K19</f>
        <v>0</v>
      </c>
      <c r="I20" s="13">
        <f>G20*Calculation!I20/Calculation!K19</f>
        <v>0</v>
      </c>
      <c r="J20" s="13">
        <v>5.6616341030195381</v>
      </c>
      <c r="K20" s="13">
        <v>0.12361821409480522</v>
      </c>
      <c r="L20" s="13">
        <f>J20*Calculation!I20/Calculation!K19</f>
        <v>5.9860993773098947</v>
      </c>
      <c r="M20" s="13">
        <f>K20*Calculation!I20/Calculation!K19</f>
        <v>0.13070270896213743</v>
      </c>
      <c r="N20" s="13">
        <v>76.602830974188194</v>
      </c>
      <c r="O20" s="13">
        <v>2.0151939393713034</v>
      </c>
      <c r="P20" s="13">
        <f>N20*Calculation!I20/Calculation!K19</f>
        <v>80.992898949475006</v>
      </c>
      <c r="Q20" s="13">
        <f>O20*Calculation!I20/Calculation!K19</f>
        <v>2.1306836447087867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61" t="s">
        <v>4</v>
      </c>
      <c r="E22" s="161" t="s">
        <v>60</v>
      </c>
      <c r="F22" s="137" t="s">
        <v>44</v>
      </c>
      <c r="G22" s="137"/>
      <c r="H22" s="137"/>
      <c r="I22" s="137"/>
      <c r="J22" s="137" t="s">
        <v>66</v>
      </c>
      <c r="K22" s="137"/>
      <c r="L22" s="137"/>
      <c r="M22" s="137"/>
      <c r="N22" s="162" t="s">
        <v>67</v>
      </c>
      <c r="O22" s="135"/>
      <c r="P22" s="135"/>
      <c r="Q22" s="163"/>
    </row>
    <row r="23" spans="4:21">
      <c r="D23" s="161"/>
      <c r="E23" s="161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3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0.43127908296447631</v>
      </c>
      <c r="K24" s="13">
        <v>7.8631293045914333E-2</v>
      </c>
      <c r="L24" s="13">
        <f>J24*Calculation!I3/Calculation!F22</f>
        <v>0.43127908296447631</v>
      </c>
      <c r="M24" s="13">
        <f>K24*Calculation!I3/Calculation!F22</f>
        <v>7.8631293045914333E-2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6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0.68096697310180454</v>
      </c>
      <c r="K25" s="13">
        <v>2.2698899103393465E-2</v>
      </c>
      <c r="L25" s="13">
        <f>J25*Calculation!I4/Calculation!K3</f>
        <v>0.68096697310180454</v>
      </c>
      <c r="M25" s="13">
        <f>K25*Calculation!I4/Calculation!K3</f>
        <v>2.2698899103393465E-2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6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0.83229296712442791</v>
      </c>
      <c r="K26" s="13">
        <v>5.24208620306095E-2</v>
      </c>
      <c r="L26" s="13">
        <f>J26*Calculation!I5/Calculation!K4</f>
        <v>0.83229296712442791</v>
      </c>
      <c r="M26" s="13">
        <f>K26*Calculation!I5/Calculation!K4</f>
        <v>5.24208620306095E-2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6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1.3014035485945601</v>
      </c>
      <c r="K27" s="13">
        <v>1.3105215507652396E-2</v>
      </c>
      <c r="L27" s="13">
        <f>J27*Calculation!I6/Calculation!K5</f>
        <v>1.3022723093079076</v>
      </c>
      <c r="M27" s="13">
        <f>K27*Calculation!I6/Calculation!K5</f>
        <v>1.3113963982624125E-2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6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2.8222297885219234</v>
      </c>
      <c r="K28" s="13">
        <v>3.4673141111155326E-2</v>
      </c>
      <c r="L28" s="13">
        <f>J28*Calculation!I7/Calculation!K6</f>
        <v>2.8318883604442475</v>
      </c>
      <c r="M28" s="13">
        <f>K28*Calculation!I7/Calculation!K6</f>
        <v>3.4791803676676038E-2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6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6.4313547459614862</v>
      </c>
      <c r="K29" s="13">
        <v>3.4673141111155333E-2</v>
      </c>
      <c r="L29" s="13">
        <f>J29*Calculation!I8/Calculation!K7</f>
        <v>6.4854028782101665</v>
      </c>
      <c r="M29" s="13">
        <f>K29*Calculation!I8/Calculation!K7</f>
        <v>3.4964528943155992E-2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6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13.225891877577267</v>
      </c>
      <c r="K30" s="13">
        <v>4.7251526488846556E-2</v>
      </c>
      <c r="L30" s="13">
        <f>J30*Calculation!I9/Calculation!K8</f>
        <v>13.482959749706406</v>
      </c>
      <c r="M30" s="13">
        <f>K30*Calculation!I9/Calculation!K8</f>
        <v>4.8169940874944396E-2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6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19.626981424734232</v>
      </c>
      <c r="K31" s="13">
        <v>9.4503052977693083E-2</v>
      </c>
      <c r="L31" s="13">
        <f>J31*Calculation!I10/Calculation!K9</f>
        <v>20.174698915132964</v>
      </c>
      <c r="M31" s="13">
        <f>K31*Calculation!I10/Calculation!K9</f>
        <v>9.7140288622433152E-2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6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24.355918737941217</v>
      </c>
      <c r="K32" s="13">
        <v>0.31778458744750915</v>
      </c>
      <c r="L32" s="13">
        <f>J32*Calculation!I11/Calculation!K10</f>
        <v>25.249251136374546</v>
      </c>
      <c r="M32" s="13">
        <f>K32*Calculation!I11/Calculation!K10</f>
        <v>0.32944036897413226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6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25.937275375477626</v>
      </c>
      <c r="K33" s="13">
        <v>0.82291988286736373</v>
      </c>
      <c r="L33" s="13">
        <f>J33*Calculation!I12/Calculation!K11</f>
        <v>26.996077624818533</v>
      </c>
      <c r="M33" s="13">
        <f>K33*Calculation!I12/Calculation!K11</f>
        <v>0.85651282624302372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6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27.359739719290278</v>
      </c>
      <c r="K34" s="13">
        <v>0.30141995667600657</v>
      </c>
      <c r="L34" s="13">
        <f>J34*Calculation!I13/Calculation!K12</f>
        <v>28.547505425939011</v>
      </c>
      <c r="M34" s="13">
        <f>K34*Calculation!I13/Calculation!K12</f>
        <v>0.31450547179831911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6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27.616993909128741</v>
      </c>
      <c r="K35" s="13">
        <v>0.45643040538283874</v>
      </c>
      <c r="L35" s="13">
        <f>J35*Calculation!I14/Calculation!K13</f>
        <v>28.890904161663464</v>
      </c>
      <c r="M35" s="13">
        <f>K35*Calculation!I14/Calculation!K13</f>
        <v>0.47748452064603464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6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28.570347671471268</v>
      </c>
      <c r="K36" s="13">
        <v>9.4503052977693111E-2</v>
      </c>
      <c r="L36" s="13">
        <f>J36*Calculation!I15/Calculation!K14</f>
        <v>29.969378530664073</v>
      </c>
      <c r="M36" s="13">
        <f>K36*Calculation!I15/Calculation!K14</f>
        <v>9.9130672106589657E-2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6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28.857867060114256</v>
      </c>
      <c r="K37" s="13">
        <v>0.67995738474364598</v>
      </c>
      <c r="L37" s="13">
        <f>J37*Calculation!I16/Calculation!K15</f>
        <v>30.327877482339407</v>
      </c>
      <c r="M37" s="13">
        <f>K37*Calculation!I16/Calculation!K15</f>
        <v>0.71459419418489645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6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29.470737335905881</v>
      </c>
      <c r="K38" s="13">
        <v>0.52469983573823087</v>
      </c>
      <c r="L38" s="13">
        <f>J38*Calculation!I17/Calculation!K16</f>
        <v>31.032637039056421</v>
      </c>
      <c r="M38" s="13">
        <f>K38*Calculation!I17/Calculation!K16</f>
        <v>0.55250804794350206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6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29.516135134112659</v>
      </c>
      <c r="K39" s="13">
        <v>0.11648170331283404</v>
      </c>
      <c r="L39" s="13">
        <f>J39*Calculation!I18/Calculation!K17</f>
        <v>31.207689322888893</v>
      </c>
      <c r="M39" s="13">
        <f>K39*Calculation!I18/Calculation!K17</f>
        <v>0.12315720849870425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6">
        <v>30.25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29.523701433813795</v>
      </c>
      <c r="K40" s="13">
        <v>0.67881980304488676</v>
      </c>
      <c r="L40" s="13">
        <f>J40*Calculation!I19/Calculation!K18</f>
        <v>31.215689243248519</v>
      </c>
      <c r="M40" s="13">
        <f>K40*Calculation!I19/Calculation!K18</f>
        <v>0.71772260912188424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6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30.908334279120794</v>
      </c>
      <c r="K41" s="13">
        <v>0.76179525448987917</v>
      </c>
      <c r="L41" s="13">
        <f>J41*Calculation!I20/Calculation!K19</f>
        <v>32.679674669059509</v>
      </c>
      <c r="M41" s="13">
        <f>K41*Calculation!I20/Calculation!K19</f>
        <v>0.80545334007144698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D20" sqref="D20:F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139</v>
      </c>
      <c r="B2" s="17">
        <v>180.16</v>
      </c>
    </row>
    <row r="4" spans="1:8">
      <c r="A4" s="164" t="s">
        <v>140</v>
      </c>
      <c r="B4" s="165"/>
      <c r="C4" s="165"/>
      <c r="D4" s="165"/>
      <c r="E4" s="165"/>
      <c r="F4" s="165"/>
      <c r="G4" s="165"/>
      <c r="H4" s="166"/>
    </row>
    <row r="5" spans="1:8">
      <c r="A5" s="167" t="s">
        <v>62</v>
      </c>
      <c r="B5" s="165"/>
      <c r="C5" s="166"/>
      <c r="D5" s="168" t="s">
        <v>45</v>
      </c>
      <c r="E5" s="168" t="s">
        <v>46</v>
      </c>
      <c r="F5" s="168" t="s">
        <v>47</v>
      </c>
      <c r="G5" s="170" t="s">
        <v>63</v>
      </c>
      <c r="H5" s="170" t="s">
        <v>64</v>
      </c>
    </row>
    <row r="6" spans="1:8">
      <c r="A6" s="28" t="s">
        <v>4</v>
      </c>
      <c r="B6" s="28" t="s">
        <v>5</v>
      </c>
      <c r="C6" s="28" t="s">
        <v>19</v>
      </c>
      <c r="D6" s="169"/>
      <c r="E6" s="169"/>
      <c r="F6" s="169"/>
      <c r="G6" s="171"/>
      <c r="H6" s="171"/>
    </row>
    <row r="7" spans="1:8">
      <c r="A7" s="16">
        <v>0</v>
      </c>
      <c r="B7" s="63">
        <v>-0.16666666666666666</v>
      </c>
      <c r="C7" s="16">
        <v>2</v>
      </c>
      <c r="D7" s="78">
        <v>4.399</v>
      </c>
      <c r="E7" s="19">
        <v>4.4039999999999999</v>
      </c>
      <c r="F7" s="78">
        <v>4.3929999999999998</v>
      </c>
      <c r="G7" s="19">
        <f>(C7*1000*AVERAGE(D7:F7)/$B$2)</f>
        <v>48.830669034931915</v>
      </c>
      <c r="H7" s="19">
        <f>(C7*1000*STDEV(D7:F7))/$B$2</f>
        <v>6.1140880853532059E-2</v>
      </c>
    </row>
    <row r="8" spans="1:8">
      <c r="A8" s="16">
        <v>0</v>
      </c>
      <c r="B8" s="66">
        <v>0.16666666666666666</v>
      </c>
      <c r="C8" s="16">
        <v>2</v>
      </c>
      <c r="D8" s="19">
        <v>4.3630000000000004</v>
      </c>
      <c r="E8" s="19">
        <v>4.375</v>
      </c>
      <c r="F8" s="19">
        <f>'[2]20150107CocuFPBHbatch1Excel_166'!$E$11</f>
        <v>4.391</v>
      </c>
      <c r="G8" s="19">
        <f t="shared" ref="G8:G17" si="0">(C8*1000*AVERAGE(D8:F8))/$B$2</f>
        <v>48.582741267021902</v>
      </c>
      <c r="H8" s="19">
        <f t="shared" ref="H8:H17" si="1">(C8*1000*STDEV(D8:F8))/$B$2</f>
        <v>0.15594514139805493</v>
      </c>
    </row>
    <row r="9" spans="1:8">
      <c r="A9" s="16">
        <v>1</v>
      </c>
      <c r="B9" s="66">
        <v>2</v>
      </c>
      <c r="C9" s="16">
        <v>2</v>
      </c>
      <c r="D9" s="19">
        <f>'[2]20150107CocuFPBHbatch1Excel_166'!$E$12</f>
        <v>4.3979999999999997</v>
      </c>
      <c r="E9" s="19">
        <f>'[2]20150107CocuFPBHbatch1Excel_166'!$E$13</f>
        <v>4.3559999999999999</v>
      </c>
      <c r="F9" s="19">
        <f>'[2]20150107CocuFPBHbatch1Excel_166'!$E$14</f>
        <v>4.3949999999999996</v>
      </c>
      <c r="G9" s="19">
        <f t="shared" si="0"/>
        <v>48.65674955595027</v>
      </c>
      <c r="H9" s="19">
        <f t="shared" si="1"/>
        <v>0.26011044657770677</v>
      </c>
    </row>
    <row r="10" spans="1:8">
      <c r="A10" s="16">
        <v>2</v>
      </c>
      <c r="B10" s="66">
        <v>3.3333333333333335</v>
      </c>
      <c r="C10" s="16">
        <v>2</v>
      </c>
      <c r="D10" s="19">
        <f>'[2]20150107CocuFPBHbatch1Excel_166'!$E$15</f>
        <v>4.335</v>
      </c>
      <c r="E10" s="19">
        <f>'[2]20150107CocuFPBHbatch1Excel_166'!$E$16</f>
        <v>4.3410000000000002</v>
      </c>
      <c r="F10" s="19">
        <f>'[2]20150107CocuFPBHbatch1Excel_166'!$E$17</f>
        <v>4.3209999999999997</v>
      </c>
      <c r="G10" s="19">
        <f t="shared" si="0"/>
        <v>48.094286560094737</v>
      </c>
      <c r="H10" s="19">
        <f t="shared" si="1"/>
        <v>0.11393431259873439</v>
      </c>
    </row>
    <row r="11" spans="1:8">
      <c r="A11" s="16">
        <v>3</v>
      </c>
      <c r="B11" s="66">
        <v>4.666666666666667</v>
      </c>
      <c r="C11" s="16">
        <v>2</v>
      </c>
      <c r="D11" s="19">
        <f>'[2]20150107CocuFPBHbatch1Excel_166'!$E$18</f>
        <v>4.173</v>
      </c>
      <c r="E11" s="19">
        <f>'[2]20150107CocuFPBHbatch1Excel_166'!$E$19</f>
        <v>4.1500000000000004</v>
      </c>
      <c r="F11" s="19">
        <f>'[2]20150107CocuFPBHbatch1Excel_166'!$E$20</f>
        <v>4.1790000000000003</v>
      </c>
      <c r="G11" s="19">
        <f t="shared" si="0"/>
        <v>46.262581409117828</v>
      </c>
      <c r="H11" s="19">
        <f t="shared" si="1"/>
        <v>0.16993727802257202</v>
      </c>
    </row>
    <row r="12" spans="1:8">
      <c r="A12" s="16">
        <v>4</v>
      </c>
      <c r="B12" s="66">
        <v>6</v>
      </c>
      <c r="C12" s="16">
        <v>2</v>
      </c>
      <c r="D12" s="19">
        <f>'[2]20150107CocuFPBHbatch1Excel_166'!$E$21</f>
        <v>3.863</v>
      </c>
      <c r="E12" s="19">
        <f>'[2]20150107CocuFPBHbatch1Excel_166'!$E$22</f>
        <v>3.8660000000000001</v>
      </c>
      <c r="F12" s="19">
        <f>'[2]20150107CocuFPBHbatch1Excel_166'!$E$23</f>
        <v>3.8660000000000001</v>
      </c>
      <c r="G12" s="19">
        <f t="shared" si="0"/>
        <v>42.906305506216697</v>
      </c>
      <c r="H12" s="19">
        <f t="shared" si="1"/>
        <v>1.9227917490774234E-2</v>
      </c>
    </row>
    <row r="13" spans="1:8">
      <c r="A13" s="16">
        <v>5</v>
      </c>
      <c r="B13" s="66">
        <v>7.333333333333333</v>
      </c>
      <c r="C13" s="16">
        <v>2</v>
      </c>
      <c r="D13" s="19">
        <f>'[2]20150107CocuFPBHbatch1Excel_166'!$E$24</f>
        <v>3.278</v>
      </c>
      <c r="E13" s="19">
        <v>3.3109999999999999</v>
      </c>
      <c r="F13" s="19">
        <f>'[2]20150107CocuFPBHbatch1Excel_166'!$E$27</f>
        <v>3.2789999999999999</v>
      </c>
      <c r="G13" s="19">
        <f t="shared" si="0"/>
        <v>36.515689757252815</v>
      </c>
      <c r="H13" s="19">
        <f t="shared" si="1"/>
        <v>0.20837637988900348</v>
      </c>
    </row>
    <row r="14" spans="1:8">
      <c r="A14" s="16">
        <v>6</v>
      </c>
      <c r="B14" s="66">
        <v>8.6666666666666661</v>
      </c>
      <c r="C14" s="16">
        <v>2</v>
      </c>
      <c r="D14" s="19">
        <f>'[2]20150107CocuFPBHbatch1Excel_166'!$E$28</f>
        <v>2.621</v>
      </c>
      <c r="E14" s="19">
        <f>'[2]20150107CocuFPBHbatch1Excel_166'!$E$29</f>
        <v>2.6539999999999999</v>
      </c>
      <c r="F14" s="19">
        <f>'[2]20150107CocuFPBHbatch1Excel_166'!$E$30</f>
        <v>2.6459999999999999</v>
      </c>
      <c r="G14" s="19">
        <f t="shared" si="0"/>
        <v>29.31098283007697</v>
      </c>
      <c r="H14" s="19">
        <f t="shared" si="1"/>
        <v>0.19110052299697042</v>
      </c>
    </row>
    <row r="15" spans="1:8">
      <c r="A15" s="16">
        <v>7</v>
      </c>
      <c r="B15" s="66">
        <v>10</v>
      </c>
      <c r="C15" s="16">
        <v>2</v>
      </c>
      <c r="D15" s="19">
        <f>'[2]20150107CocuFPBHbatch1Excel_166'!$E$31</f>
        <v>1.9810000000000001</v>
      </c>
      <c r="E15" s="19">
        <f>'[2]20150107CocuFPBHbatch1Excel_166'!$E$32</f>
        <v>1.9139999999999999</v>
      </c>
      <c r="F15" s="19">
        <f>'[2]20150107CocuFPBHbatch1Excel_166'!$E$33</f>
        <v>1.962</v>
      </c>
      <c r="G15" s="19">
        <f t="shared" si="0"/>
        <v>21.673327412670222</v>
      </c>
      <c r="H15" s="19">
        <f t="shared" si="1"/>
        <v>0.38332793113025992</v>
      </c>
    </row>
    <row r="16" spans="1:8">
      <c r="A16" s="16">
        <v>8</v>
      </c>
      <c r="B16" s="66">
        <v>11.333333333333334</v>
      </c>
      <c r="C16" s="16">
        <v>2</v>
      </c>
      <c r="D16" s="19">
        <f>'[2]20150107CocuFPBHbatch1Excel_166'!$E$34</f>
        <v>1.5569999999999999</v>
      </c>
      <c r="E16" s="19">
        <f>'[2]20150107CocuFPBHbatch1Excel_166'!$E$35</f>
        <v>1.55</v>
      </c>
      <c r="F16" s="19">
        <f>'[2]20150107CocuFPBHbatch1Excel_166'!$E$36</f>
        <v>1.464</v>
      </c>
      <c r="G16" s="19">
        <f t="shared" si="0"/>
        <v>16.914594434576671</v>
      </c>
      <c r="H16" s="19">
        <f t="shared" si="1"/>
        <v>0.57494724302654787</v>
      </c>
    </row>
    <row r="17" spans="1:8">
      <c r="A17" s="16">
        <v>9</v>
      </c>
      <c r="B17" s="66">
        <v>12.666666666666666</v>
      </c>
      <c r="C17" s="16">
        <v>2</v>
      </c>
      <c r="D17" s="19">
        <v>1.24</v>
      </c>
      <c r="E17" s="19">
        <f>'[2]20150107CocuFPBHbatch1Excel_166'!$E$38</f>
        <v>1.264</v>
      </c>
      <c r="F17" s="19">
        <f>'[2]20150107CocuFPBHbatch1Excel_166'!$E$39</f>
        <v>1.2689999999999999</v>
      </c>
      <c r="G17" s="19">
        <f t="shared" si="0"/>
        <v>13.961663706335107</v>
      </c>
      <c r="H17" s="19">
        <f t="shared" si="1"/>
        <v>0.17209911122311228</v>
      </c>
    </row>
    <row r="18" spans="1:8">
      <c r="A18" s="16">
        <v>10</v>
      </c>
      <c r="B18" s="66">
        <v>14</v>
      </c>
      <c r="C18" s="16">
        <v>2</v>
      </c>
      <c r="D18" s="19">
        <v>0.871</v>
      </c>
      <c r="E18" s="19">
        <f>'[2]20150107CocuFPBHbatch1Excel_166'!$F$41</f>
        <v>0.89700000000000002</v>
      </c>
      <c r="F18" s="19">
        <f>'[2]20150107CocuFPBHbatch1Excel_166'!$F$42</f>
        <v>0.878</v>
      </c>
      <c r="G18" s="19">
        <f t="shared" ref="G18:G23" si="2">(C18*1000*AVERAGE(D18:F18))/$B$2</f>
        <v>9.7912966252220244</v>
      </c>
      <c r="H18" s="19">
        <f t="shared" ref="H18:H23" si="3">(C18*1000*STDEV(D18:F18))/$B$2</f>
        <v>0.14935195434140455</v>
      </c>
    </row>
    <row r="19" spans="1:8">
      <c r="A19" s="16">
        <v>11</v>
      </c>
      <c r="B19" s="66">
        <v>15.333333333333334</v>
      </c>
      <c r="C19" s="16">
        <v>2</v>
      </c>
      <c r="D19" s="19">
        <f>'[2]20150107CocuFPBHbatch1Excel_166'!$F$43</f>
        <v>0.56399999999999995</v>
      </c>
      <c r="E19" s="19">
        <f>'[2]20150107CocuFPBHbatch1Excel_166'!$F$44</f>
        <v>0.56799999999999995</v>
      </c>
      <c r="F19" s="19">
        <f>'[2]20150107CocuFPBHbatch1Excel_166'!$F$45</f>
        <v>0.56599999999999995</v>
      </c>
      <c r="G19" s="19">
        <f t="shared" si="2"/>
        <v>6.2833037300177619</v>
      </c>
      <c r="H19" s="19">
        <f t="shared" si="3"/>
        <v>2.2202486678508014E-2</v>
      </c>
    </row>
    <row r="20" spans="1:8">
      <c r="A20" s="16">
        <v>12</v>
      </c>
      <c r="B20" s="66">
        <v>16.666666666666668</v>
      </c>
      <c r="C20" s="16">
        <v>2</v>
      </c>
      <c r="D20" s="79">
        <f>'[2]20150107CocuFPBHbatch1Excel_166'!$F$46</f>
        <v>0.24199999999999999</v>
      </c>
      <c r="E20" s="79">
        <f>'[2]20150107CocuFPBHbatch1Excel_166'!$F$47</f>
        <v>0.24</v>
      </c>
      <c r="F20" s="79">
        <f>'[2]20150107CocuFPBHbatch1Excel_166'!$F$48</f>
        <v>0.22900000000000001</v>
      </c>
      <c r="G20" s="19">
        <f t="shared" si="2"/>
        <v>2.6309946714031973</v>
      </c>
      <c r="H20" s="19">
        <f t="shared" si="3"/>
        <v>7.7708703374777865E-2</v>
      </c>
    </row>
    <row r="21" spans="1:8">
      <c r="A21" s="16">
        <v>13</v>
      </c>
      <c r="B21" s="66">
        <v>18</v>
      </c>
      <c r="C21" s="16">
        <v>2</v>
      </c>
      <c r="D21" s="79">
        <v>0</v>
      </c>
      <c r="E21" s="79">
        <v>0</v>
      </c>
      <c r="F21" s="79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6">
        <v>24</v>
      </c>
      <c r="C22" s="16">
        <v>2</v>
      </c>
      <c r="D22" s="79">
        <v>0</v>
      </c>
      <c r="E22" s="79">
        <v>0</v>
      </c>
      <c r="F22" s="79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6">
        <v>30.25</v>
      </c>
      <c r="C23" s="16">
        <v>2</v>
      </c>
      <c r="D23" s="79">
        <v>0</v>
      </c>
      <c r="E23" s="79">
        <v>0</v>
      </c>
      <c r="F23" s="79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6">
        <v>48</v>
      </c>
      <c r="C24" s="16">
        <v>2</v>
      </c>
      <c r="D24" s="79">
        <v>0</v>
      </c>
      <c r="E24" s="79">
        <v>0</v>
      </c>
      <c r="F24" s="79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64" t="s">
        <v>65</v>
      </c>
      <c r="B4" s="165"/>
      <c r="C4" s="165"/>
      <c r="D4" s="165"/>
      <c r="E4" s="165"/>
      <c r="F4" s="165"/>
      <c r="G4" s="165"/>
      <c r="H4" s="166"/>
    </row>
    <row r="5" spans="1:8">
      <c r="A5" s="167" t="s">
        <v>62</v>
      </c>
      <c r="B5" s="165"/>
      <c r="C5" s="166"/>
      <c r="D5" s="168" t="s">
        <v>45</v>
      </c>
      <c r="E5" s="168" t="s">
        <v>46</v>
      </c>
      <c r="F5" s="168" t="s">
        <v>47</v>
      </c>
      <c r="G5" s="170" t="s">
        <v>63</v>
      </c>
      <c r="H5" s="170" t="s">
        <v>64</v>
      </c>
    </row>
    <row r="6" spans="1:8">
      <c r="A6" s="28" t="s">
        <v>4</v>
      </c>
      <c r="B6" s="28" t="s">
        <v>60</v>
      </c>
      <c r="C6" s="28" t="s">
        <v>19</v>
      </c>
      <c r="D6" s="169"/>
      <c r="E6" s="169"/>
      <c r="F6" s="169"/>
      <c r="G6" s="171"/>
      <c r="H6" s="171"/>
    </row>
    <row r="7" spans="1:8">
      <c r="A7" s="67">
        <v>0</v>
      </c>
      <c r="B7" s="63">
        <v>-0.16666666666666666</v>
      </c>
      <c r="C7" s="16">
        <v>2</v>
      </c>
      <c r="D7" s="55">
        <v>0</v>
      </c>
      <c r="E7" s="55">
        <v>0</v>
      </c>
      <c r="F7" s="55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55">
        <v>2.8000000000000001E-2</v>
      </c>
      <c r="E8" s="55">
        <v>2.7E-2</v>
      </c>
      <c r="F8" s="55">
        <v>2.9000000000000001E-2</v>
      </c>
      <c r="G8" s="16">
        <f t="shared" ref="G8:G10" si="1">(C8*1000*AVERAGE(D8:F8))/$B$2</f>
        <v>1.2165978709537257</v>
      </c>
      <c r="H8" s="19">
        <f t="shared" si="0"/>
        <v>4.34499239626331E-2</v>
      </c>
    </row>
    <row r="9" spans="1:8">
      <c r="A9" s="68">
        <v>1</v>
      </c>
      <c r="B9" s="66">
        <v>2</v>
      </c>
      <c r="C9" s="16">
        <v>2</v>
      </c>
      <c r="D9" s="55">
        <v>2.8000000000000001E-2</v>
      </c>
      <c r="E9" s="55">
        <v>3.1E-2</v>
      </c>
      <c r="F9" s="55">
        <v>2.9000000000000001E-2</v>
      </c>
      <c r="G9" s="16">
        <f t="shared" si="1"/>
        <v>1.2745311029039033</v>
      </c>
      <c r="H9" s="19">
        <f t="shared" si="0"/>
        <v>6.637085516628051E-2</v>
      </c>
    </row>
    <row r="10" spans="1:8">
      <c r="A10" s="68">
        <v>2</v>
      </c>
      <c r="B10" s="66">
        <v>3.3333333333333335</v>
      </c>
      <c r="C10" s="16">
        <v>2</v>
      </c>
      <c r="D10" s="55">
        <v>3.4000000000000002E-2</v>
      </c>
      <c r="E10" s="55">
        <v>3.4000000000000002E-2</v>
      </c>
      <c r="F10" s="55">
        <v>3.4000000000000002E-2</v>
      </c>
      <c r="G10" s="16">
        <f t="shared" si="1"/>
        <v>1.4772974147295241</v>
      </c>
      <c r="H10" s="19">
        <f t="shared" ref="H10:H23" si="2">(C10*1000*STDEV(D10:F10))/$B$2</f>
        <v>0</v>
      </c>
    </row>
    <row r="11" spans="1:8">
      <c r="A11" s="68">
        <v>3</v>
      </c>
      <c r="B11" s="66">
        <v>4.666666666666667</v>
      </c>
      <c r="C11" s="16">
        <v>2</v>
      </c>
      <c r="D11" s="55">
        <v>5.7000000000000002E-2</v>
      </c>
      <c r="E11" s="55">
        <v>5.8999999999999997E-2</v>
      </c>
      <c r="F11" s="55">
        <v>5.8999999999999997E-2</v>
      </c>
      <c r="G11" s="16">
        <f t="shared" ref="G11:G23" si="3">(C11*1000*AVERAGE(D11:F11))/$B$2</f>
        <v>2.5345788978202619</v>
      </c>
      <c r="H11" s="19">
        <f t="shared" si="2"/>
        <v>5.0171650592189816E-2</v>
      </c>
    </row>
    <row r="12" spans="1:8">
      <c r="A12" s="68">
        <v>4</v>
      </c>
      <c r="B12" s="66">
        <v>6</v>
      </c>
      <c r="C12" s="16">
        <v>2</v>
      </c>
      <c r="D12" s="55">
        <v>0.108</v>
      </c>
      <c r="E12" s="55">
        <v>0.11</v>
      </c>
      <c r="F12" s="55">
        <v>0.112</v>
      </c>
      <c r="G12" s="16">
        <f t="shared" si="3"/>
        <v>4.7794916358896371</v>
      </c>
      <c r="H12" s="19">
        <f t="shared" si="2"/>
        <v>8.6899847925266199E-2</v>
      </c>
    </row>
    <row r="13" spans="1:8">
      <c r="A13" s="68">
        <v>5</v>
      </c>
      <c r="B13" s="66">
        <v>7.333333333333333</v>
      </c>
      <c r="C13" s="16">
        <v>2</v>
      </c>
      <c r="D13" s="55">
        <v>0.22800000000000001</v>
      </c>
      <c r="E13" s="55">
        <v>0.22900000000000001</v>
      </c>
      <c r="F13" s="55">
        <v>0.22900000000000001</v>
      </c>
      <c r="G13" s="16">
        <f t="shared" si="3"/>
        <v>9.9355492794554277</v>
      </c>
      <c r="H13" s="19">
        <f t="shared" si="2"/>
        <v>2.5085825296094995E-2</v>
      </c>
    </row>
    <row r="14" spans="1:8">
      <c r="A14" s="68">
        <v>6</v>
      </c>
      <c r="B14" s="66">
        <v>8.6666666666666661</v>
      </c>
      <c r="C14" s="16">
        <v>2</v>
      </c>
      <c r="D14" s="55">
        <v>0.28999999999999998</v>
      </c>
      <c r="E14" s="55">
        <v>0.29399999999999998</v>
      </c>
      <c r="F14" s="55">
        <v>0.29199999999999998</v>
      </c>
      <c r="G14" s="16">
        <f t="shared" si="3"/>
        <v>12.687377797088855</v>
      </c>
      <c r="H14" s="19">
        <f t="shared" si="2"/>
        <v>8.6899847925266199E-2</v>
      </c>
    </row>
    <row r="15" spans="1:8">
      <c r="A15" s="68">
        <v>7</v>
      </c>
      <c r="B15" s="66">
        <v>10</v>
      </c>
      <c r="C15" s="16">
        <v>2</v>
      </c>
      <c r="D15" s="55">
        <v>0.307</v>
      </c>
      <c r="E15" s="55">
        <v>0.29499999999999998</v>
      </c>
      <c r="F15" s="55">
        <v>0.30399999999999999</v>
      </c>
      <c r="G15" s="16">
        <f t="shared" si="3"/>
        <v>13.121877036715185</v>
      </c>
      <c r="H15" s="19">
        <f t="shared" si="2"/>
        <v>0.27134468817720631</v>
      </c>
    </row>
    <row r="16" spans="1:8">
      <c r="A16" s="68">
        <v>8</v>
      </c>
      <c r="B16" s="66">
        <v>11.333333333333334</v>
      </c>
      <c r="C16" s="16">
        <v>2</v>
      </c>
      <c r="D16" s="55">
        <v>0.29799999999999999</v>
      </c>
      <c r="E16" s="55">
        <v>0.30199999999999999</v>
      </c>
      <c r="F16" s="55">
        <v>0.28799999999999998</v>
      </c>
      <c r="G16" s="16">
        <f t="shared" si="3"/>
        <v>12.861177492939387</v>
      </c>
      <c r="H16" s="19">
        <f t="shared" si="2"/>
        <v>0.31332185752457031</v>
      </c>
    </row>
    <row r="17" spans="1:8">
      <c r="A17" s="68">
        <v>9</v>
      </c>
      <c r="B17" s="66">
        <v>12.666666666666666</v>
      </c>
      <c r="C17" s="16">
        <v>2</v>
      </c>
      <c r="D17" s="55">
        <v>0.24</v>
      </c>
      <c r="E17" s="55">
        <v>0.24299999999999999</v>
      </c>
      <c r="F17" s="55">
        <v>0.24099999999999999</v>
      </c>
      <c r="G17" s="16">
        <f t="shared" si="3"/>
        <v>10.485914982982113</v>
      </c>
      <c r="H17" s="19">
        <f t="shared" si="2"/>
        <v>6.6370855166280593E-2</v>
      </c>
    </row>
    <row r="18" spans="1:8">
      <c r="A18" s="68">
        <v>10</v>
      </c>
      <c r="B18" s="66">
        <v>14</v>
      </c>
      <c r="C18" s="16">
        <v>2</v>
      </c>
      <c r="D18" s="55">
        <v>0.17</v>
      </c>
      <c r="E18" s="55">
        <v>0.17199999999999999</v>
      </c>
      <c r="F18" s="55">
        <v>0.16400000000000001</v>
      </c>
      <c r="G18" s="16">
        <f t="shared" si="3"/>
        <v>7.3285538416974427</v>
      </c>
      <c r="H18" s="19">
        <f t="shared" si="2"/>
        <v>0.18089645878480373</v>
      </c>
    </row>
    <row r="19" spans="1:8">
      <c r="A19" s="68">
        <v>11</v>
      </c>
      <c r="B19" s="66">
        <v>15.333333333333334</v>
      </c>
      <c r="C19" s="16">
        <v>2</v>
      </c>
      <c r="D19" s="55">
        <v>0.121</v>
      </c>
      <c r="E19" s="55">
        <v>0.121</v>
      </c>
      <c r="F19" s="55">
        <v>0.11799999999999999</v>
      </c>
      <c r="G19" s="16">
        <f t="shared" si="3"/>
        <v>5.2139908755159681</v>
      </c>
      <c r="H19" s="19">
        <f t="shared" si="2"/>
        <v>7.5257475888284991E-2</v>
      </c>
    </row>
    <row r="20" spans="1:8">
      <c r="A20" s="68">
        <v>12</v>
      </c>
      <c r="B20" s="66">
        <v>16.666666666666668</v>
      </c>
      <c r="C20" s="16">
        <v>2</v>
      </c>
      <c r="D20" s="55">
        <v>7.2999999999999995E-2</v>
      </c>
      <c r="E20" s="55">
        <v>7.3999999999999996E-2</v>
      </c>
      <c r="F20" s="55">
        <v>9.1999999999999998E-2</v>
      </c>
      <c r="G20" s="16">
        <f t="shared" si="3"/>
        <v>3.4615106090231005</v>
      </c>
      <c r="H20" s="19">
        <f t="shared" si="2"/>
        <v>0.4645959861639623</v>
      </c>
    </row>
    <row r="21" spans="1:8">
      <c r="A21" s="68">
        <v>13</v>
      </c>
      <c r="B21" s="66">
        <v>18</v>
      </c>
      <c r="C21" s="16">
        <v>2</v>
      </c>
      <c r="D21" s="55">
        <v>3.6999999999999998E-2</v>
      </c>
      <c r="E21" s="55">
        <v>3.1E-2</v>
      </c>
      <c r="F21" s="55">
        <v>3.1E-2</v>
      </c>
      <c r="G21" s="16">
        <f t="shared" si="3"/>
        <v>1.4338474907668912</v>
      </c>
      <c r="H21" s="19">
        <f t="shared" si="2"/>
        <v>0.15051495177656979</v>
      </c>
    </row>
    <row r="22" spans="1:8">
      <c r="A22" s="68">
        <v>14</v>
      </c>
      <c r="B22" s="66">
        <v>24</v>
      </c>
      <c r="C22" s="16">
        <v>2</v>
      </c>
      <c r="D22" s="55">
        <v>0</v>
      </c>
      <c r="E22" s="55">
        <v>0</v>
      </c>
      <c r="F22" s="55">
        <v>0</v>
      </c>
      <c r="G22" s="16">
        <f t="shared" si="3"/>
        <v>0</v>
      </c>
      <c r="H22" s="19">
        <f t="shared" si="2"/>
        <v>0</v>
      </c>
    </row>
    <row r="23" spans="1:8">
      <c r="A23" s="68">
        <v>15</v>
      </c>
      <c r="B23" s="66">
        <v>30.25</v>
      </c>
      <c r="C23" s="16">
        <v>2</v>
      </c>
      <c r="D23" s="55">
        <v>0</v>
      </c>
      <c r="E23" s="55">
        <v>0</v>
      </c>
      <c r="F23" s="55">
        <v>0</v>
      </c>
      <c r="G23" s="16">
        <f t="shared" si="3"/>
        <v>0</v>
      </c>
      <c r="H23" s="19">
        <f t="shared" si="2"/>
        <v>0</v>
      </c>
    </row>
    <row r="24" spans="1:8">
      <c r="A24" s="68">
        <v>16</v>
      </c>
      <c r="B24" s="66">
        <v>48</v>
      </c>
      <c r="C24" s="16">
        <v>2</v>
      </c>
      <c r="D24" s="55">
        <v>0</v>
      </c>
      <c r="E24" s="55">
        <v>0</v>
      </c>
      <c r="F24" s="55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64" t="s">
        <v>43</v>
      </c>
      <c r="B4" s="165"/>
      <c r="C4" s="165"/>
      <c r="D4" s="165"/>
      <c r="E4" s="165"/>
      <c r="F4" s="165"/>
      <c r="G4" s="165"/>
      <c r="H4" s="166"/>
    </row>
    <row r="5" spans="1:8">
      <c r="A5" s="167" t="s">
        <v>62</v>
      </c>
      <c r="B5" s="165"/>
      <c r="C5" s="166"/>
      <c r="D5" s="168" t="s">
        <v>45</v>
      </c>
      <c r="E5" s="168" t="s">
        <v>46</v>
      </c>
      <c r="F5" s="168" t="s">
        <v>47</v>
      </c>
      <c r="G5" s="170" t="s">
        <v>63</v>
      </c>
      <c r="H5" s="170" t="s">
        <v>64</v>
      </c>
    </row>
    <row r="6" spans="1:8">
      <c r="A6" s="22" t="s">
        <v>4</v>
      </c>
      <c r="B6" s="22" t="s">
        <v>60</v>
      </c>
      <c r="C6" s="22" t="s">
        <v>19</v>
      </c>
      <c r="D6" s="169"/>
      <c r="E6" s="169"/>
      <c r="F6" s="169"/>
      <c r="G6" s="171"/>
      <c r="H6" s="171"/>
    </row>
    <row r="7" spans="1:8">
      <c r="A7" s="67">
        <v>0</v>
      </c>
      <c r="B7" s="63">
        <v>-0.16666666666666666</v>
      </c>
      <c r="C7" s="16">
        <v>2</v>
      </c>
      <c r="D7" s="19">
        <v>1.494</v>
      </c>
      <c r="E7" s="19">
        <v>1.4870000000000001</v>
      </c>
      <c r="F7" s="19">
        <v>1.494</v>
      </c>
      <c r="G7" s="16">
        <f>(C7*1000*AVERAGE(D7:F7))/$B$2</f>
        <v>49.680821537607549</v>
      </c>
      <c r="H7" s="19">
        <f>(C7*1000*STDEV(D7:F7))/$B$2</f>
        <v>0.13460289373280002</v>
      </c>
    </row>
    <row r="8" spans="1:8">
      <c r="A8" s="68">
        <v>0</v>
      </c>
      <c r="B8" s="66">
        <v>0.16666666666666666</v>
      </c>
      <c r="C8" s="16">
        <v>2</v>
      </c>
      <c r="D8" s="19">
        <v>1.4359999999999999</v>
      </c>
      <c r="E8" s="19">
        <v>1.4330000000000001</v>
      </c>
      <c r="F8" s="19">
        <v>1.448</v>
      </c>
      <c r="G8" s="16">
        <f t="shared" ref="G8:G17" si="0">(C8*1000*AVERAGE(D8:F8))/$B$2</f>
        <v>47.926727726894256</v>
      </c>
      <c r="H8" s="19">
        <f t="shared" ref="H8:H17" si="1">(C8*1000*STDEV(D8:F8))/$B$2</f>
        <v>0.26435483541028271</v>
      </c>
    </row>
    <row r="9" spans="1:8">
      <c r="A9" s="68">
        <v>1</v>
      </c>
      <c r="B9" s="66">
        <v>2</v>
      </c>
      <c r="C9" s="16">
        <v>2</v>
      </c>
      <c r="D9" s="19">
        <v>1.456</v>
      </c>
      <c r="E9" s="19">
        <v>1.44</v>
      </c>
      <c r="F9" s="19">
        <v>1.4450000000000001</v>
      </c>
      <c r="G9" s="16">
        <f t="shared" si="0"/>
        <v>48.193172356369693</v>
      </c>
      <c r="H9" s="19">
        <f t="shared" si="1"/>
        <v>0.27261791080341202</v>
      </c>
    </row>
    <row r="10" spans="1:8">
      <c r="A10" s="68">
        <v>2</v>
      </c>
      <c r="B10" s="66">
        <v>3.3333333333333335</v>
      </c>
      <c r="C10" s="16">
        <v>2</v>
      </c>
      <c r="D10" s="19">
        <v>1.45</v>
      </c>
      <c r="E10" s="19">
        <v>1.458</v>
      </c>
      <c r="F10" s="19">
        <v>1.44</v>
      </c>
      <c r="G10" s="16">
        <f t="shared" si="0"/>
        <v>48.270885373300025</v>
      </c>
      <c r="H10" s="19">
        <f t="shared" si="1"/>
        <v>0.30036634490077596</v>
      </c>
    </row>
    <row r="11" spans="1:8">
      <c r="A11" s="68">
        <v>3</v>
      </c>
      <c r="B11" s="66">
        <v>4.666666666666667</v>
      </c>
      <c r="C11" s="16">
        <v>2</v>
      </c>
      <c r="D11" s="19">
        <v>1.4430000000000001</v>
      </c>
      <c r="E11" s="19">
        <v>1.4410000000000001</v>
      </c>
      <c r="F11" s="19">
        <v>1.448</v>
      </c>
      <c r="G11" s="16">
        <f t="shared" si="0"/>
        <v>48.093255620316413</v>
      </c>
      <c r="H11" s="19">
        <f t="shared" si="1"/>
        <v>0.12008497170570961</v>
      </c>
    </row>
    <row r="12" spans="1:8">
      <c r="A12" s="68">
        <v>4</v>
      </c>
      <c r="B12" s="66">
        <v>6</v>
      </c>
      <c r="C12" s="16">
        <v>2</v>
      </c>
      <c r="D12" s="19">
        <v>1.425</v>
      </c>
      <c r="E12" s="19">
        <v>1.4279999999999999</v>
      </c>
      <c r="F12" s="19">
        <v>1.427</v>
      </c>
      <c r="G12" s="16">
        <f t="shared" si="0"/>
        <v>47.515958923119619</v>
      </c>
      <c r="H12" s="19">
        <f t="shared" si="1"/>
        <v>5.0875111795233956E-2</v>
      </c>
    </row>
    <row r="13" spans="1:8">
      <c r="A13" s="68">
        <v>5</v>
      </c>
      <c r="B13" s="66">
        <v>7.333333333333333</v>
      </c>
      <c r="C13" s="16">
        <v>2</v>
      </c>
      <c r="D13" s="19">
        <v>1.4350000000000001</v>
      </c>
      <c r="E13" s="19">
        <v>1.454</v>
      </c>
      <c r="F13" s="19">
        <v>1.4419999999999999</v>
      </c>
      <c r="G13" s="16">
        <f t="shared" si="0"/>
        <v>48.082153760754942</v>
      </c>
      <c r="H13" s="19">
        <f t="shared" si="1"/>
        <v>0.32003408948985879</v>
      </c>
    </row>
    <row r="14" spans="1:8">
      <c r="A14" s="68">
        <v>6</v>
      </c>
      <c r="B14" s="66">
        <v>8.6666666666666661</v>
      </c>
      <c r="C14" s="16">
        <v>2</v>
      </c>
      <c r="D14" s="19">
        <v>1.4410000000000001</v>
      </c>
      <c r="E14" s="19">
        <v>1.4550000000000001</v>
      </c>
      <c r="F14" s="19">
        <v>1.4630000000000001</v>
      </c>
      <c r="G14" s="16">
        <f t="shared" si="0"/>
        <v>48.393005828476269</v>
      </c>
      <c r="H14" s="19">
        <f t="shared" si="1"/>
        <v>0.37087522816519747</v>
      </c>
    </row>
    <row r="15" spans="1:8">
      <c r="A15" s="68">
        <v>7</v>
      </c>
      <c r="B15" s="66">
        <v>10</v>
      </c>
      <c r="C15" s="16">
        <v>2</v>
      </c>
      <c r="D15" s="19">
        <v>1.5629999999999999</v>
      </c>
      <c r="E15" s="19">
        <v>1.5329999999999999</v>
      </c>
      <c r="F15" s="19">
        <v>1.5740000000000001</v>
      </c>
      <c r="G15" s="16">
        <f t="shared" si="0"/>
        <v>51.84568415209548</v>
      </c>
      <c r="H15" s="19">
        <f t="shared" si="1"/>
        <v>0.70677964107230873</v>
      </c>
    </row>
    <row r="16" spans="1:8">
      <c r="A16" s="68">
        <v>8</v>
      </c>
      <c r="B16" s="66">
        <v>11.333333333333334</v>
      </c>
      <c r="C16" s="16">
        <v>2</v>
      </c>
      <c r="D16" s="19">
        <v>1.671</v>
      </c>
      <c r="E16" s="19">
        <v>1.665</v>
      </c>
      <c r="F16" s="19">
        <v>1.585</v>
      </c>
      <c r="G16" s="16">
        <f t="shared" si="0"/>
        <v>54.632250902026094</v>
      </c>
      <c r="H16" s="19">
        <f t="shared" si="1"/>
        <v>1.5991302874298843</v>
      </c>
    </row>
    <row r="17" spans="1:8">
      <c r="A17" s="68">
        <v>9</v>
      </c>
      <c r="B17" s="66">
        <v>12.666666666666666</v>
      </c>
      <c r="C17" s="16">
        <v>2</v>
      </c>
      <c r="D17" s="19">
        <v>1.8029999999999999</v>
      </c>
      <c r="E17" s="19">
        <v>1.827</v>
      </c>
      <c r="F17" s="19">
        <v>1.8340000000000001</v>
      </c>
      <c r="G17" s="16">
        <f t="shared" si="0"/>
        <v>60.660560643907864</v>
      </c>
      <c r="H17" s="19">
        <f t="shared" si="1"/>
        <v>0.54149312898172608</v>
      </c>
    </row>
    <row r="18" spans="1:8">
      <c r="A18" s="68">
        <v>10</v>
      </c>
      <c r="B18" s="66">
        <v>14</v>
      </c>
      <c r="C18" s="16">
        <v>2</v>
      </c>
      <c r="D18" s="19">
        <v>1.8979999999999999</v>
      </c>
      <c r="E18" s="19">
        <v>1.958</v>
      </c>
      <c r="F18" s="19">
        <v>1.913</v>
      </c>
      <c r="G18" s="16">
        <f t="shared" ref="G18:G23" si="2">(C18*1000*AVERAGE(D18:F18))/$B$2</f>
        <v>64.046627810158199</v>
      </c>
      <c r="H18" s="19">
        <f t="shared" ref="H18:H23" si="3">(C18*1000*STDEV(D18:F18))/$B$2</f>
        <v>1.0399663610988177</v>
      </c>
    </row>
    <row r="19" spans="1:8">
      <c r="A19" s="68">
        <v>11</v>
      </c>
      <c r="B19" s="66">
        <v>15.333333333333334</v>
      </c>
      <c r="C19" s="16">
        <v>2</v>
      </c>
      <c r="D19" s="19">
        <v>2.0470000000000002</v>
      </c>
      <c r="E19" s="19">
        <v>2.0470000000000002</v>
      </c>
      <c r="F19" s="19">
        <v>2.08</v>
      </c>
      <c r="G19" s="16">
        <f t="shared" si="2"/>
        <v>68.542880932556216</v>
      </c>
      <c r="H19" s="19">
        <f t="shared" si="3"/>
        <v>0.63455649902606504</v>
      </c>
    </row>
    <row r="20" spans="1:8">
      <c r="A20" s="68">
        <v>12</v>
      </c>
      <c r="B20" s="66">
        <v>16.666666666666668</v>
      </c>
      <c r="C20" s="16">
        <v>2</v>
      </c>
      <c r="D20" s="19">
        <v>2.1480000000000001</v>
      </c>
      <c r="E20" s="19">
        <v>2.1869999999999998</v>
      </c>
      <c r="F20" s="19">
        <v>2.0870000000000002</v>
      </c>
      <c r="G20" s="16">
        <f t="shared" si="2"/>
        <v>71.296142103802381</v>
      </c>
      <c r="H20" s="19">
        <f t="shared" si="3"/>
        <v>1.6786584362160082</v>
      </c>
    </row>
    <row r="21" spans="1:8">
      <c r="A21" s="68">
        <v>13</v>
      </c>
      <c r="B21" s="66">
        <v>18</v>
      </c>
      <c r="C21" s="16">
        <v>2</v>
      </c>
      <c r="D21" s="19">
        <v>2.1949999999999998</v>
      </c>
      <c r="E21" s="19">
        <v>2.2509999999999999</v>
      </c>
      <c r="F21" s="19">
        <v>2.2759999999999998</v>
      </c>
      <c r="G21" s="16">
        <f t="shared" si="2"/>
        <v>74.626699972245348</v>
      </c>
      <c r="H21" s="19">
        <f t="shared" si="3"/>
        <v>1.3814121965746902</v>
      </c>
    </row>
    <row r="22" spans="1:8">
      <c r="A22" s="68">
        <v>14</v>
      </c>
      <c r="B22" s="66">
        <v>24</v>
      </c>
      <c r="C22" s="16">
        <v>2</v>
      </c>
      <c r="D22" s="19">
        <v>2.2810000000000001</v>
      </c>
      <c r="E22" s="19">
        <v>2.286</v>
      </c>
      <c r="F22" s="19">
        <v>2.2749999999999999</v>
      </c>
      <c r="G22" s="16">
        <f t="shared" si="2"/>
        <v>75.958923119622554</v>
      </c>
      <c r="H22" s="19">
        <f t="shared" si="3"/>
        <v>0.1834328242226867</v>
      </c>
    </row>
    <row r="23" spans="1:8">
      <c r="A23" s="68">
        <v>15</v>
      </c>
      <c r="B23" s="66">
        <v>30.25</v>
      </c>
      <c r="C23" s="16">
        <v>2</v>
      </c>
      <c r="D23" s="19">
        <v>2.2189999999999999</v>
      </c>
      <c r="E23" s="19">
        <v>2.1949999999999998</v>
      </c>
      <c r="F23" s="19">
        <v>2.274</v>
      </c>
      <c r="G23" s="16">
        <f t="shared" si="2"/>
        <v>74.249236747155152</v>
      </c>
      <c r="H23" s="19">
        <f t="shared" si="3"/>
        <v>1.3489102012828507</v>
      </c>
    </row>
    <row r="24" spans="1:8">
      <c r="A24" s="68">
        <v>16</v>
      </c>
      <c r="B24" s="66">
        <v>48</v>
      </c>
      <c r="C24" s="16">
        <v>2</v>
      </c>
      <c r="D24" s="19">
        <v>2.2389999999999999</v>
      </c>
      <c r="E24" s="19">
        <v>2.3010000000000002</v>
      </c>
      <c r="F24" s="19">
        <v>2.36</v>
      </c>
      <c r="G24" s="16">
        <f t="shared" ref="G24" si="4">(C24*1000*AVERAGE(D24:F24))/$B$2</f>
        <v>76.602830974188194</v>
      </c>
      <c r="H24" s="19">
        <f t="shared" ref="H24" si="5">(C24*1000*STDEV(D24:F24))/$B$2</f>
        <v>2.0151939393713034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64" t="s">
        <v>67</v>
      </c>
      <c r="B4" s="165"/>
      <c r="C4" s="165"/>
      <c r="D4" s="165"/>
      <c r="E4" s="165"/>
      <c r="F4" s="165"/>
      <c r="G4" s="165"/>
      <c r="H4" s="166"/>
    </row>
    <row r="5" spans="1:8">
      <c r="A5" s="167" t="s">
        <v>62</v>
      </c>
      <c r="B5" s="165"/>
      <c r="C5" s="166"/>
      <c r="D5" s="168" t="s">
        <v>45</v>
      </c>
      <c r="E5" s="168" t="s">
        <v>46</v>
      </c>
      <c r="F5" s="168" t="s">
        <v>47</v>
      </c>
      <c r="G5" s="170" t="s">
        <v>63</v>
      </c>
      <c r="H5" s="170" t="s">
        <v>64</v>
      </c>
    </row>
    <row r="6" spans="1:8">
      <c r="A6" s="28" t="s">
        <v>4</v>
      </c>
      <c r="B6" s="28" t="s">
        <v>60</v>
      </c>
      <c r="C6" s="28" t="s">
        <v>19</v>
      </c>
      <c r="D6" s="169"/>
      <c r="E6" s="169"/>
      <c r="F6" s="169"/>
      <c r="G6" s="171"/>
      <c r="H6" s="171"/>
    </row>
    <row r="7" spans="1:8">
      <c r="A7" s="67">
        <v>0</v>
      </c>
      <c r="B7" s="63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30.25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64" t="s">
        <v>66</v>
      </c>
      <c r="B4" s="165"/>
      <c r="C4" s="165"/>
      <c r="D4" s="165"/>
      <c r="E4" s="165"/>
      <c r="F4" s="165"/>
      <c r="G4" s="165"/>
      <c r="H4" s="166"/>
    </row>
    <row r="5" spans="1:8">
      <c r="A5" s="167" t="s">
        <v>62</v>
      </c>
      <c r="B5" s="165"/>
      <c r="C5" s="166"/>
      <c r="D5" s="168" t="s">
        <v>45</v>
      </c>
      <c r="E5" s="168" t="s">
        <v>46</v>
      </c>
      <c r="F5" s="168" t="s">
        <v>47</v>
      </c>
      <c r="G5" s="170" t="s">
        <v>63</v>
      </c>
      <c r="H5" s="170" t="s">
        <v>64</v>
      </c>
    </row>
    <row r="6" spans="1:8">
      <c r="A6" s="28" t="s">
        <v>4</v>
      </c>
      <c r="B6" s="28" t="s">
        <v>60</v>
      </c>
      <c r="C6" s="28" t="s">
        <v>19</v>
      </c>
      <c r="D6" s="169"/>
      <c r="E6" s="169"/>
      <c r="F6" s="169"/>
      <c r="G6" s="171"/>
      <c r="H6" s="171"/>
    </row>
    <row r="7" spans="1:8">
      <c r="A7" s="67">
        <v>0</v>
      </c>
      <c r="B7" s="63">
        <v>-0.16666666666666666</v>
      </c>
      <c r="C7" s="16">
        <v>2</v>
      </c>
      <c r="D7" s="81">
        <v>1.4999999999999999E-2</v>
      </c>
      <c r="E7" s="81">
        <v>2.1000000000000001E-2</v>
      </c>
      <c r="F7" s="81">
        <v>2.1000000000000001E-2</v>
      </c>
      <c r="G7" s="16">
        <f>(C7*1000*AVERAGE(D7:F7))/$B$2</f>
        <v>0.43127908296447631</v>
      </c>
      <c r="H7" s="19">
        <f>(C7*1000*STDEV(D7:F7))/$B$2</f>
        <v>7.8631293045914333E-2</v>
      </c>
    </row>
    <row r="8" spans="1:8">
      <c r="A8" s="68">
        <v>0</v>
      </c>
      <c r="B8" s="66">
        <v>0.16666666666666666</v>
      </c>
      <c r="C8" s="16">
        <v>2</v>
      </c>
      <c r="D8" s="56">
        <v>2.9000000000000001E-2</v>
      </c>
      <c r="E8" s="56">
        <v>3.1E-2</v>
      </c>
      <c r="F8" s="56">
        <v>0.03</v>
      </c>
      <c r="G8" s="16">
        <f>(C8*1000*AVERAGE(D8:F8))/$B$2</f>
        <v>0.68096697310180454</v>
      </c>
      <c r="H8" s="19">
        <f t="shared" ref="H8:H17" si="0">(C8*1000*STDEV(D8:F8))/$B$2</f>
        <v>2.2698899103393465E-2</v>
      </c>
    </row>
    <row r="9" spans="1:8">
      <c r="A9" s="68">
        <v>1</v>
      </c>
      <c r="B9" s="66">
        <v>2</v>
      </c>
      <c r="C9" s="16">
        <v>2</v>
      </c>
      <c r="D9" s="56">
        <v>3.4000000000000002E-2</v>
      </c>
      <c r="E9" s="56">
        <v>3.7999999999999999E-2</v>
      </c>
      <c r="F9" s="56">
        <v>3.7999999999999999E-2</v>
      </c>
      <c r="G9" s="16">
        <f t="shared" ref="G9:G17" si="1">(C9*1000*AVERAGE(D9:F9))/$B$2</f>
        <v>0.83229296712442791</v>
      </c>
      <c r="H9" s="19">
        <f t="shared" si="0"/>
        <v>5.24208620306095E-2</v>
      </c>
    </row>
    <row r="10" spans="1:8">
      <c r="A10" s="68">
        <v>2</v>
      </c>
      <c r="B10" s="66">
        <v>3.3333333333333335</v>
      </c>
      <c r="C10" s="16">
        <v>2</v>
      </c>
      <c r="D10" s="55">
        <v>5.7000000000000002E-2</v>
      </c>
      <c r="E10" s="55">
        <v>5.7000000000000002E-2</v>
      </c>
      <c r="F10" s="55">
        <v>5.8000000000000003E-2</v>
      </c>
      <c r="G10" s="16">
        <f t="shared" si="1"/>
        <v>1.3014035485945601</v>
      </c>
      <c r="H10" s="19">
        <f t="shared" si="0"/>
        <v>1.3105215507652396E-2</v>
      </c>
    </row>
    <row r="11" spans="1:8">
      <c r="A11" s="68">
        <v>3</v>
      </c>
      <c r="B11" s="66">
        <v>4.666666666666667</v>
      </c>
      <c r="C11" s="16">
        <v>2</v>
      </c>
      <c r="D11" s="55">
        <v>0.123</v>
      </c>
      <c r="E11" s="55">
        <v>0.124</v>
      </c>
      <c r="F11" s="55">
        <v>0.126</v>
      </c>
      <c r="G11" s="16">
        <f t="shared" si="1"/>
        <v>2.8222297885219234</v>
      </c>
      <c r="H11" s="19">
        <f t="shared" si="0"/>
        <v>3.4673141111155326E-2</v>
      </c>
    </row>
    <row r="12" spans="1:8">
      <c r="A12" s="68">
        <v>4</v>
      </c>
      <c r="B12" s="66">
        <v>6</v>
      </c>
      <c r="C12" s="16">
        <v>2</v>
      </c>
      <c r="D12" s="55">
        <v>0.28299999999999997</v>
      </c>
      <c r="E12" s="55">
        <v>0.28199999999999997</v>
      </c>
      <c r="F12" s="55">
        <v>0.28499999999999998</v>
      </c>
      <c r="G12" s="16">
        <f t="shared" si="1"/>
        <v>6.4313547459614862</v>
      </c>
      <c r="H12" s="19">
        <f t="shared" si="0"/>
        <v>3.4673141111155333E-2</v>
      </c>
    </row>
    <row r="13" spans="1:8">
      <c r="A13" s="68">
        <v>5</v>
      </c>
      <c r="B13" s="66">
        <v>7.333333333333333</v>
      </c>
      <c r="C13" s="16">
        <v>2</v>
      </c>
      <c r="D13" s="55">
        <v>0.58199999999999996</v>
      </c>
      <c r="E13" s="55">
        <v>0.58499999999999996</v>
      </c>
      <c r="F13" s="55">
        <v>0.58099999999999996</v>
      </c>
      <c r="G13" s="16">
        <f t="shared" si="1"/>
        <v>13.225891877577267</v>
      </c>
      <c r="H13" s="19">
        <f t="shared" si="0"/>
        <v>4.7251526488846556E-2</v>
      </c>
    </row>
    <row r="14" spans="1:8">
      <c r="A14" s="68">
        <v>6</v>
      </c>
      <c r="B14" s="66">
        <v>8.6666666666666661</v>
      </c>
      <c r="C14" s="16">
        <v>2</v>
      </c>
      <c r="D14" s="82">
        <v>0.86</v>
      </c>
      <c r="E14" s="82">
        <v>0.86599999999999999</v>
      </c>
      <c r="F14" s="82">
        <v>0.86799999999999999</v>
      </c>
      <c r="G14" s="16">
        <f t="shared" si="1"/>
        <v>19.626981424734232</v>
      </c>
      <c r="H14" s="19">
        <f t="shared" si="0"/>
        <v>9.4503052977693083E-2</v>
      </c>
    </row>
    <row r="15" spans="1:8">
      <c r="A15" s="68">
        <v>7</v>
      </c>
      <c r="B15" s="66">
        <v>10</v>
      </c>
      <c r="C15" s="16">
        <v>2</v>
      </c>
      <c r="D15" s="82">
        <v>1.079</v>
      </c>
      <c r="E15" s="82">
        <v>1.0569999999999999</v>
      </c>
      <c r="F15" s="82">
        <v>1.083</v>
      </c>
      <c r="G15" s="16">
        <f t="shared" si="1"/>
        <v>24.355918737941217</v>
      </c>
      <c r="H15" s="19">
        <f t="shared" si="0"/>
        <v>0.31778458744750915</v>
      </c>
    </row>
    <row r="16" spans="1:8">
      <c r="A16" s="68">
        <v>8</v>
      </c>
      <c r="B16" s="66">
        <v>11.333333333333334</v>
      </c>
      <c r="C16" s="16">
        <v>2</v>
      </c>
      <c r="D16" s="82">
        <v>1.167</v>
      </c>
      <c r="E16" s="82">
        <v>1.1599999999999999</v>
      </c>
      <c r="F16" s="82">
        <v>1.101</v>
      </c>
      <c r="G16" s="16">
        <f t="shared" si="1"/>
        <v>25.937275375477626</v>
      </c>
      <c r="H16" s="19">
        <f t="shared" si="0"/>
        <v>0.82291988286736373</v>
      </c>
    </row>
    <row r="17" spans="1:8">
      <c r="A17" s="68">
        <v>9</v>
      </c>
      <c r="B17" s="66">
        <v>12.666666666666666</v>
      </c>
      <c r="C17" s="16">
        <v>2</v>
      </c>
      <c r="D17" s="82">
        <v>1.19</v>
      </c>
      <c r="E17" s="82">
        <v>1.2130000000000001</v>
      </c>
      <c r="F17" s="82">
        <v>1.2130000000000001</v>
      </c>
      <c r="G17" s="16">
        <f t="shared" si="1"/>
        <v>27.359739719290278</v>
      </c>
      <c r="H17" s="19">
        <f t="shared" si="0"/>
        <v>0.30141995667600657</v>
      </c>
    </row>
    <row r="18" spans="1:8">
      <c r="A18" s="68">
        <v>10</v>
      </c>
      <c r="B18" s="66">
        <v>14</v>
      </c>
      <c r="C18" s="16">
        <v>2</v>
      </c>
      <c r="D18" s="69">
        <v>1.2</v>
      </c>
      <c r="E18" s="69">
        <v>1.2390000000000001</v>
      </c>
      <c r="F18" s="69">
        <v>1.2110000000000001</v>
      </c>
      <c r="G18" s="16">
        <f t="shared" ref="G18:G23" si="2">(C18*1000*AVERAGE(D18:F18))/$B$2</f>
        <v>27.616993909128741</v>
      </c>
      <c r="H18" s="19">
        <f t="shared" ref="H18:H23" si="3">(C18*1000*STDEV(D18:F18))/$B$2</f>
        <v>0.45643040538283874</v>
      </c>
    </row>
    <row r="19" spans="1:8">
      <c r="A19" s="68">
        <v>11</v>
      </c>
      <c r="B19" s="66">
        <v>15.333333333333334</v>
      </c>
      <c r="C19" s="16">
        <v>2</v>
      </c>
      <c r="D19" s="69">
        <v>1.254</v>
      </c>
      <c r="E19" s="69">
        <v>1.26</v>
      </c>
      <c r="F19" s="69">
        <v>1.262</v>
      </c>
      <c r="G19" s="16">
        <f t="shared" si="2"/>
        <v>28.570347671471268</v>
      </c>
      <c r="H19" s="19">
        <f t="shared" si="3"/>
        <v>9.4503052977693111E-2</v>
      </c>
    </row>
    <row r="20" spans="1:8">
      <c r="A20" s="68">
        <v>12</v>
      </c>
      <c r="B20" s="66">
        <v>16.666666666666668</v>
      </c>
      <c r="C20" s="16">
        <v>2</v>
      </c>
      <c r="D20" s="69">
        <v>1.28</v>
      </c>
      <c r="E20" s="69">
        <v>1.296</v>
      </c>
      <c r="F20" s="69">
        <v>1.238</v>
      </c>
      <c r="G20" s="16">
        <f t="shared" si="2"/>
        <v>28.857867060114256</v>
      </c>
      <c r="H20" s="19">
        <f t="shared" si="3"/>
        <v>0.67995738474364598</v>
      </c>
    </row>
    <row r="21" spans="1:8">
      <c r="A21" s="68">
        <v>13</v>
      </c>
      <c r="B21" s="66">
        <v>18</v>
      </c>
      <c r="C21" s="16">
        <v>2</v>
      </c>
      <c r="D21" s="69">
        <v>1.274</v>
      </c>
      <c r="E21" s="69">
        <v>1.3009999999999999</v>
      </c>
      <c r="F21" s="69">
        <v>1.32</v>
      </c>
      <c r="G21" s="16">
        <f t="shared" si="2"/>
        <v>29.470737335905881</v>
      </c>
      <c r="H21" s="19">
        <f t="shared" si="3"/>
        <v>0.52469983573823087</v>
      </c>
    </row>
    <row r="22" spans="1:8">
      <c r="A22" s="68">
        <v>14</v>
      </c>
      <c r="B22" s="66">
        <v>24</v>
      </c>
      <c r="C22" s="16">
        <v>2</v>
      </c>
      <c r="D22" s="69">
        <v>1.2989999999999999</v>
      </c>
      <c r="E22" s="69">
        <v>1.306</v>
      </c>
      <c r="F22" s="69">
        <v>1.296</v>
      </c>
      <c r="G22" s="16">
        <f t="shared" si="2"/>
        <v>29.516135134112659</v>
      </c>
      <c r="H22" s="19">
        <f t="shared" si="3"/>
        <v>0.11648170331283404</v>
      </c>
    </row>
    <row r="23" spans="1:8">
      <c r="A23" s="68">
        <v>15</v>
      </c>
      <c r="B23" s="66">
        <v>30.25</v>
      </c>
      <c r="C23" s="16">
        <v>2</v>
      </c>
      <c r="D23" s="69">
        <v>1.2949999999999999</v>
      </c>
      <c r="E23" s="69">
        <v>1.274</v>
      </c>
      <c r="F23" s="69">
        <v>1.333</v>
      </c>
      <c r="G23" s="16">
        <f t="shared" si="2"/>
        <v>29.523701433813795</v>
      </c>
      <c r="H23" s="19">
        <f t="shared" si="3"/>
        <v>0.67881980304488676</v>
      </c>
    </row>
    <row r="24" spans="1:8">
      <c r="A24" s="68">
        <v>16</v>
      </c>
      <c r="B24" s="66">
        <v>48</v>
      </c>
      <c r="C24" s="16">
        <v>2</v>
      </c>
      <c r="D24" s="69">
        <v>1.327</v>
      </c>
      <c r="E24" s="69">
        <v>1.3640000000000001</v>
      </c>
      <c r="F24" s="69">
        <v>1.3939999999999999</v>
      </c>
      <c r="G24" s="16">
        <f t="shared" ref="G24" si="4">(C24*1000*AVERAGE(D24:F24))/$B$2</f>
        <v>30.908334279120794</v>
      </c>
      <c r="H24" s="19">
        <f t="shared" ref="H24" si="5">(C24*1000*STDEV(D24:F24))/$B$2</f>
        <v>0.76179525448987917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8" t="s">
        <v>4</v>
      </c>
      <c r="B1" s="138" t="s">
        <v>117</v>
      </c>
      <c r="C1" s="138" t="s">
        <v>117</v>
      </c>
      <c r="D1" s="138" t="s">
        <v>5</v>
      </c>
      <c r="E1" s="4" t="s">
        <v>7</v>
      </c>
      <c r="F1" s="4" t="s">
        <v>9</v>
      </c>
      <c r="G1" s="137" t="s">
        <v>11</v>
      </c>
      <c r="H1" s="137" t="s">
        <v>12</v>
      </c>
      <c r="I1" s="4" t="s">
        <v>13</v>
      </c>
      <c r="J1" s="4" t="s">
        <v>16</v>
      </c>
      <c r="K1" s="4" t="s">
        <v>16</v>
      </c>
    </row>
    <row r="2" spans="1:11">
      <c r="A2" s="139"/>
      <c r="B2" s="139"/>
      <c r="C2" s="139"/>
      <c r="D2" s="139"/>
      <c r="E2" s="5" t="s">
        <v>8</v>
      </c>
      <c r="F2" s="5" t="s">
        <v>10</v>
      </c>
      <c r="G2" s="137"/>
      <c r="H2" s="137"/>
      <c r="I2" s="5" t="s">
        <v>14</v>
      </c>
      <c r="J2" s="5" t="s">
        <v>17</v>
      </c>
      <c r="K2" s="5" t="s">
        <v>138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51</v>
      </c>
      <c r="F3" s="1">
        <f>E3</f>
        <v>51</v>
      </c>
      <c r="G3" s="1">
        <v>0</v>
      </c>
      <c r="H3" s="1">
        <v>0</v>
      </c>
      <c r="I3" s="1">
        <f>$F$22+G3+H3</f>
        <v>1500</v>
      </c>
      <c r="J3" s="13">
        <f>F3*1500/I3</f>
        <v>51</v>
      </c>
      <c r="K3" s="13">
        <f>$F$23-J3</f>
        <v>1599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18" si="0">C4/60</f>
        <v>0.16666666666666666</v>
      </c>
      <c r="E4" s="1">
        <v>51</v>
      </c>
      <c r="F4" s="1">
        <f>E4+F3</f>
        <v>102</v>
      </c>
      <c r="G4" s="40">
        <v>0</v>
      </c>
      <c r="H4" s="40">
        <v>0</v>
      </c>
      <c r="I4" s="1">
        <f t="shared" ref="I4:I19" si="1">$F$23-F3+G4+H4</f>
        <v>1599</v>
      </c>
      <c r="J4" s="13">
        <f>E4*K3/I4</f>
        <v>51</v>
      </c>
      <c r="K4" s="13">
        <f>K3-J4</f>
        <v>1548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50</v>
      </c>
      <c r="F5" s="1">
        <f t="shared" ref="F5:F18" si="2">E5+F4</f>
        <v>152</v>
      </c>
      <c r="G5" s="40">
        <v>0</v>
      </c>
      <c r="H5" s="40">
        <v>0</v>
      </c>
      <c r="I5" s="40">
        <f t="shared" si="1"/>
        <v>1548</v>
      </c>
      <c r="J5" s="13">
        <f t="shared" ref="J5:J13" si="3">E5*K4/I5</f>
        <v>50</v>
      </c>
      <c r="K5" s="13">
        <f>K4-J5</f>
        <v>1498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46</v>
      </c>
      <c r="F6" s="1">
        <f t="shared" si="2"/>
        <v>198</v>
      </c>
      <c r="G6" s="40">
        <v>1</v>
      </c>
      <c r="H6" s="40">
        <v>0</v>
      </c>
      <c r="I6" s="40">
        <f t="shared" si="1"/>
        <v>1499</v>
      </c>
      <c r="J6" s="13">
        <f>E6*K5/I6</f>
        <v>45.969312875250168</v>
      </c>
      <c r="K6" s="13">
        <f t="shared" ref="K6:K13" si="4">K5-J6</f>
        <v>1452.0306871247499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47</v>
      </c>
      <c r="F7" s="1">
        <f t="shared" si="2"/>
        <v>245</v>
      </c>
      <c r="G7" s="40">
        <v>5</v>
      </c>
      <c r="H7" s="40">
        <v>0</v>
      </c>
      <c r="I7" s="40">
        <f t="shared" si="1"/>
        <v>1457</v>
      </c>
      <c r="J7" s="13">
        <f>E7*K6/I7</f>
        <v>46.839699584669347</v>
      </c>
      <c r="K7" s="13">
        <f>K6-J7</f>
        <v>1405.1909875400806</v>
      </c>
    </row>
    <row r="8" spans="1:11">
      <c r="A8" s="1">
        <v>4</v>
      </c>
      <c r="B8" s="32">
        <v>80</v>
      </c>
      <c r="C8" s="32">
        <f t="shared" ref="C8:C18" si="5">C7+B8</f>
        <v>360</v>
      </c>
      <c r="D8" s="13">
        <f t="shared" si="0"/>
        <v>6</v>
      </c>
      <c r="E8" s="1">
        <v>46</v>
      </c>
      <c r="F8" s="1">
        <f t="shared" si="2"/>
        <v>291</v>
      </c>
      <c r="G8" s="40">
        <v>12</v>
      </c>
      <c r="H8" s="40">
        <v>0</v>
      </c>
      <c r="I8" s="40">
        <f t="shared" si="1"/>
        <v>1417</v>
      </c>
      <c r="J8" s="13">
        <f t="shared" si="3"/>
        <v>45.616644620214331</v>
      </c>
      <c r="K8" s="13">
        <f t="shared" si="4"/>
        <v>1359.5743429198662</v>
      </c>
    </row>
    <row r="9" spans="1:11">
      <c r="A9" s="1">
        <v>5</v>
      </c>
      <c r="B9" s="32">
        <v>80</v>
      </c>
      <c r="C9" s="32">
        <f t="shared" si="5"/>
        <v>440</v>
      </c>
      <c r="D9" s="13">
        <f t="shared" si="0"/>
        <v>7.333333333333333</v>
      </c>
      <c r="E9" s="1">
        <v>62</v>
      </c>
      <c r="F9" s="1">
        <f t="shared" si="2"/>
        <v>353</v>
      </c>
      <c r="G9" s="40">
        <v>27</v>
      </c>
      <c r="H9" s="40">
        <v>0</v>
      </c>
      <c r="I9" s="40">
        <f t="shared" si="1"/>
        <v>1386</v>
      </c>
      <c r="J9" s="13">
        <f t="shared" si="3"/>
        <v>60.817899899734279</v>
      </c>
      <c r="K9" s="13">
        <f t="shared" si="4"/>
        <v>1298.7564430201319</v>
      </c>
    </row>
    <row r="10" spans="1:11">
      <c r="A10" s="1">
        <v>6</v>
      </c>
      <c r="B10" s="32">
        <v>80</v>
      </c>
      <c r="C10" s="32">
        <f t="shared" si="5"/>
        <v>520</v>
      </c>
      <c r="D10" s="13">
        <f t="shared" si="0"/>
        <v>8.6666666666666661</v>
      </c>
      <c r="E10" s="1">
        <v>46</v>
      </c>
      <c r="F10" s="1">
        <f t="shared" si="2"/>
        <v>399</v>
      </c>
      <c r="G10" s="40">
        <v>38</v>
      </c>
      <c r="H10" s="40">
        <v>0</v>
      </c>
      <c r="I10" s="40">
        <f t="shared" si="1"/>
        <v>1335</v>
      </c>
      <c r="J10" s="13">
        <f t="shared" si="3"/>
        <v>44.751158336274209</v>
      </c>
      <c r="K10" s="13">
        <f t="shared" si="4"/>
        <v>1254.0052846838578</v>
      </c>
    </row>
    <row r="11" spans="1:11">
      <c r="A11" s="1">
        <v>7</v>
      </c>
      <c r="B11" s="32">
        <v>80</v>
      </c>
      <c r="C11" s="32">
        <f t="shared" si="5"/>
        <v>600</v>
      </c>
      <c r="D11" s="13">
        <f t="shared" si="0"/>
        <v>10</v>
      </c>
      <c r="E11" s="1">
        <v>49</v>
      </c>
      <c r="F11" s="1">
        <f t="shared" si="2"/>
        <v>448</v>
      </c>
      <c r="G11" s="40">
        <v>49</v>
      </c>
      <c r="H11" s="40">
        <v>0</v>
      </c>
      <c r="I11" s="40">
        <f t="shared" si="1"/>
        <v>1300</v>
      </c>
      <c r="J11" s="13">
        <f t="shared" si="3"/>
        <v>47.266353038083871</v>
      </c>
      <c r="K11" s="13">
        <f t="shared" si="4"/>
        <v>1206.7389316457738</v>
      </c>
    </row>
    <row r="12" spans="1:11">
      <c r="A12" s="1">
        <v>8</v>
      </c>
      <c r="B12" s="32">
        <v>80</v>
      </c>
      <c r="C12" s="32">
        <f t="shared" si="5"/>
        <v>680</v>
      </c>
      <c r="D12" s="13">
        <f t="shared" si="0"/>
        <v>11.333333333333334</v>
      </c>
      <c r="E12" s="1">
        <v>51</v>
      </c>
      <c r="F12" s="1">
        <f t="shared" si="2"/>
        <v>499</v>
      </c>
      <c r="G12" s="40">
        <v>54</v>
      </c>
      <c r="H12" s="40">
        <v>0</v>
      </c>
      <c r="I12" s="40">
        <f t="shared" si="1"/>
        <v>1256</v>
      </c>
      <c r="J12" s="13">
        <f t="shared" si="3"/>
        <v>48.99974961300515</v>
      </c>
      <c r="K12" s="13">
        <f t="shared" si="4"/>
        <v>1157.7391820327687</v>
      </c>
    </row>
    <row r="13" spans="1:11">
      <c r="A13" s="1">
        <v>9</v>
      </c>
      <c r="B13" s="32">
        <v>80</v>
      </c>
      <c r="C13" s="32">
        <f t="shared" si="5"/>
        <v>760</v>
      </c>
      <c r="D13" s="13">
        <f>C13/60</f>
        <v>12.666666666666666</v>
      </c>
      <c r="E13" s="1">
        <v>55</v>
      </c>
      <c r="F13" s="1">
        <f t="shared" si="2"/>
        <v>554</v>
      </c>
      <c r="G13" s="40">
        <v>57</v>
      </c>
      <c r="H13" s="40">
        <v>0</v>
      </c>
      <c r="I13" s="40">
        <f t="shared" si="1"/>
        <v>1208</v>
      </c>
      <c r="J13" s="13">
        <f t="shared" si="3"/>
        <v>52.711634943544929</v>
      </c>
      <c r="K13" s="13">
        <f t="shared" si="4"/>
        <v>1105.0275470892238</v>
      </c>
    </row>
    <row r="14" spans="1:11">
      <c r="A14" s="37">
        <v>10</v>
      </c>
      <c r="B14" s="32">
        <v>80</v>
      </c>
      <c r="C14" s="32">
        <f t="shared" si="5"/>
        <v>840</v>
      </c>
      <c r="D14" s="13">
        <f t="shared" si="0"/>
        <v>14</v>
      </c>
      <c r="E14" s="3">
        <v>51</v>
      </c>
      <c r="F14" s="37">
        <f t="shared" si="2"/>
        <v>605</v>
      </c>
      <c r="G14" s="40">
        <v>60</v>
      </c>
      <c r="H14" s="40">
        <v>0</v>
      </c>
      <c r="I14" s="40">
        <f t="shared" si="1"/>
        <v>1156</v>
      </c>
      <c r="J14" s="13">
        <f t="shared" ref="J14:J19" si="6">E14*K13/I14</f>
        <v>48.751215312759875</v>
      </c>
      <c r="K14" s="13">
        <f t="shared" ref="K14:K18" si="7">K13-J14</f>
        <v>1056.2763317764641</v>
      </c>
    </row>
    <row r="15" spans="1:11">
      <c r="A15" s="37">
        <v>11</v>
      </c>
      <c r="B15" s="32">
        <v>80</v>
      </c>
      <c r="C15" s="32">
        <f t="shared" si="5"/>
        <v>920</v>
      </c>
      <c r="D15" s="13">
        <f t="shared" si="0"/>
        <v>15.333333333333334</v>
      </c>
      <c r="E15" s="37">
        <v>44</v>
      </c>
      <c r="F15" s="37">
        <f t="shared" si="2"/>
        <v>649</v>
      </c>
      <c r="G15" s="40">
        <v>63</v>
      </c>
      <c r="H15" s="40">
        <v>0</v>
      </c>
      <c r="I15" s="40">
        <f t="shared" si="1"/>
        <v>1108</v>
      </c>
      <c r="J15" s="13">
        <f t="shared" si="6"/>
        <v>41.945991514588826</v>
      </c>
      <c r="K15" s="13">
        <f t="shared" si="7"/>
        <v>1014.3303402618752</v>
      </c>
    </row>
    <row r="16" spans="1:11">
      <c r="A16" s="37">
        <v>12</v>
      </c>
      <c r="B16" s="32">
        <v>80</v>
      </c>
      <c r="C16" s="32">
        <f t="shared" si="5"/>
        <v>1000</v>
      </c>
      <c r="D16" s="13">
        <f t="shared" si="0"/>
        <v>16.666666666666668</v>
      </c>
      <c r="E16" s="37">
        <v>45</v>
      </c>
      <c r="F16" s="37">
        <f t="shared" si="2"/>
        <v>694</v>
      </c>
      <c r="G16" s="40">
        <v>65</v>
      </c>
      <c r="H16" s="40">
        <v>0</v>
      </c>
      <c r="I16" s="40">
        <f t="shared" si="1"/>
        <v>1066</v>
      </c>
      <c r="J16" s="13">
        <f t="shared" si="6"/>
        <v>42.818822994169217</v>
      </c>
      <c r="K16" s="13">
        <f t="shared" si="7"/>
        <v>971.51151726770604</v>
      </c>
    </row>
    <row r="17" spans="1:11">
      <c r="A17" s="37">
        <v>13</v>
      </c>
      <c r="B17" s="32">
        <v>80</v>
      </c>
      <c r="C17" s="32">
        <f t="shared" si="5"/>
        <v>1080</v>
      </c>
      <c r="D17" s="13">
        <f t="shared" si="0"/>
        <v>18</v>
      </c>
      <c r="E17" s="37">
        <v>46</v>
      </c>
      <c r="F17" s="37">
        <f t="shared" si="2"/>
        <v>740</v>
      </c>
      <c r="G17" s="40">
        <v>67</v>
      </c>
      <c r="H17" s="40">
        <v>0</v>
      </c>
      <c r="I17" s="40">
        <f t="shared" si="1"/>
        <v>1023</v>
      </c>
      <c r="J17" s="13">
        <f t="shared" si="6"/>
        <v>43.684779857589909</v>
      </c>
      <c r="K17" s="13">
        <f t="shared" si="7"/>
        <v>927.82673741011615</v>
      </c>
    </row>
    <row r="18" spans="1:11">
      <c r="A18" s="37">
        <v>14</v>
      </c>
      <c r="B18" s="32">
        <v>360</v>
      </c>
      <c r="C18" s="32">
        <f t="shared" si="5"/>
        <v>1440</v>
      </c>
      <c r="D18" s="13">
        <f t="shared" si="0"/>
        <v>24</v>
      </c>
      <c r="E18" s="37">
        <v>58</v>
      </c>
      <c r="F18" s="37">
        <f t="shared" si="2"/>
        <v>798</v>
      </c>
      <c r="G18" s="40">
        <v>67</v>
      </c>
      <c r="H18" s="40">
        <v>4</v>
      </c>
      <c r="I18" s="40">
        <f t="shared" si="1"/>
        <v>981</v>
      </c>
      <c r="J18" s="13">
        <f t="shared" si="6"/>
        <v>54.856218929446214</v>
      </c>
      <c r="K18" s="13">
        <f t="shared" si="7"/>
        <v>872.97051848066997</v>
      </c>
    </row>
    <row r="19" spans="1:11">
      <c r="A19" s="37">
        <v>15</v>
      </c>
      <c r="B19" s="32">
        <v>375</v>
      </c>
      <c r="C19" s="32">
        <f>C18+B19</f>
        <v>1815</v>
      </c>
      <c r="D19" s="13">
        <f>C19/60</f>
        <v>30.25</v>
      </c>
      <c r="E19" s="37">
        <v>69</v>
      </c>
      <c r="F19" s="37">
        <f>E19+F18</f>
        <v>867</v>
      </c>
      <c r="G19" s="40">
        <v>67</v>
      </c>
      <c r="H19" s="40">
        <v>4</v>
      </c>
      <c r="I19" s="40">
        <f t="shared" si="1"/>
        <v>923</v>
      </c>
      <c r="J19" s="13">
        <f t="shared" si="6"/>
        <v>65.259984588479128</v>
      </c>
      <c r="K19" s="13">
        <f>K18-J19</f>
        <v>807.71053389219082</v>
      </c>
    </row>
    <row r="20" spans="1:11">
      <c r="A20" s="40">
        <v>16</v>
      </c>
      <c r="B20" s="32">
        <v>1065</v>
      </c>
      <c r="C20" s="32">
        <f>C19+B20</f>
        <v>2880</v>
      </c>
      <c r="D20" s="13">
        <f t="shared" ref="D20" si="8">C20/60</f>
        <v>48</v>
      </c>
      <c r="E20" s="40">
        <v>68</v>
      </c>
      <c r="F20" s="40">
        <f>E20+F19</f>
        <v>935</v>
      </c>
      <c r="G20" s="40">
        <v>67</v>
      </c>
      <c r="H20" s="40">
        <v>4</v>
      </c>
      <c r="I20" s="40">
        <f>$F$23-F19+G20+H20</f>
        <v>854</v>
      </c>
      <c r="J20" s="13">
        <f t="shared" ref="J20" si="9">E20*K19/I20</f>
        <v>64.314187710385212</v>
      </c>
      <c r="K20" s="13">
        <f t="shared" ref="K20" si="10">K19-J20</f>
        <v>743.3963461818056</v>
      </c>
    </row>
    <row r="22" spans="1:11">
      <c r="A22" s="134" t="s">
        <v>15</v>
      </c>
      <c r="B22" s="135"/>
      <c r="C22" s="135"/>
      <c r="D22" s="135"/>
      <c r="E22" s="136"/>
      <c r="F22" s="1">
        <v>1500</v>
      </c>
    </row>
    <row r="23" spans="1:11">
      <c r="A23" s="134" t="s">
        <v>15</v>
      </c>
      <c r="B23" s="135"/>
      <c r="C23" s="135"/>
      <c r="D23" s="135"/>
      <c r="E23" s="136"/>
      <c r="F23" s="40">
        <v>1650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64" t="s">
        <v>42</v>
      </c>
      <c r="B4" s="165"/>
      <c r="C4" s="165"/>
      <c r="D4" s="165"/>
      <c r="E4" s="165"/>
      <c r="F4" s="165"/>
      <c r="G4" s="165"/>
      <c r="H4" s="166"/>
    </row>
    <row r="5" spans="1:8">
      <c r="A5" s="167" t="s">
        <v>62</v>
      </c>
      <c r="B5" s="165"/>
      <c r="C5" s="166"/>
      <c r="D5" s="168" t="s">
        <v>45</v>
      </c>
      <c r="E5" s="168" t="s">
        <v>46</v>
      </c>
      <c r="F5" s="168" t="s">
        <v>47</v>
      </c>
      <c r="G5" s="170" t="s">
        <v>63</v>
      </c>
      <c r="H5" s="170" t="s">
        <v>64</v>
      </c>
    </row>
    <row r="6" spans="1:8">
      <c r="A6" s="22" t="s">
        <v>4</v>
      </c>
      <c r="B6" s="22" t="s">
        <v>60</v>
      </c>
      <c r="C6" s="22" t="s">
        <v>19</v>
      </c>
      <c r="D6" s="169"/>
      <c r="E6" s="169"/>
      <c r="F6" s="169"/>
      <c r="G6" s="171"/>
      <c r="H6" s="171"/>
    </row>
    <row r="7" spans="1:8">
      <c r="A7" s="67">
        <v>0</v>
      </c>
      <c r="B7" s="63">
        <v>0</v>
      </c>
      <c r="C7" s="16">
        <v>2</v>
      </c>
      <c r="D7" s="42">
        <v>4.5999999999999999E-2</v>
      </c>
      <c r="E7" s="42">
        <v>4.2999999999999997E-2</v>
      </c>
      <c r="F7" s="42">
        <v>3.9E-2</v>
      </c>
      <c r="G7" s="16">
        <f>(C7*1000*AVERAGE(D7:F7))/$B$2</f>
        <v>0.94730609828300771</v>
      </c>
      <c r="H7" s="19">
        <f>(C7*1000*STDEV(D7:F7))/$B$2</f>
        <v>7.7972570699028548E-2</v>
      </c>
    </row>
    <row r="8" spans="1:8">
      <c r="A8" s="68">
        <v>0</v>
      </c>
      <c r="B8" s="66">
        <v>0</v>
      </c>
      <c r="C8" s="16">
        <v>2</v>
      </c>
      <c r="D8" s="42">
        <v>4.2000000000000003E-2</v>
      </c>
      <c r="E8" s="42">
        <v>4.3999999999999997E-2</v>
      </c>
      <c r="F8" s="42">
        <v>4.2000000000000003E-2</v>
      </c>
      <c r="G8" s="16">
        <f t="shared" ref="G8:G23" si="0">(C8*1000*AVERAGE(D8:F8))/$B$2</f>
        <v>0.94730609828300771</v>
      </c>
      <c r="H8" s="19">
        <f t="shared" ref="H8:H23" si="1">(C8*1000*STDEV(D8:F8))/$B$2</f>
        <v>2.5637223321031275E-2</v>
      </c>
    </row>
    <row r="9" spans="1:8">
      <c r="A9" s="68">
        <v>1</v>
      </c>
      <c r="B9" s="66">
        <v>2</v>
      </c>
      <c r="C9" s="16">
        <v>2</v>
      </c>
      <c r="D9" s="42">
        <v>4.2999999999999997E-2</v>
      </c>
      <c r="E9" s="42">
        <v>4.3999999999999997E-2</v>
      </c>
      <c r="F9" s="42">
        <v>4.5999999999999999E-2</v>
      </c>
      <c r="G9" s="16">
        <f t="shared" si="0"/>
        <v>0.9843102427471877</v>
      </c>
      <c r="H9" s="19">
        <f t="shared" si="1"/>
        <v>3.3914858606837212E-2</v>
      </c>
    </row>
    <row r="10" spans="1:8">
      <c r="A10" s="68">
        <v>2</v>
      </c>
      <c r="B10" s="66">
        <v>3</v>
      </c>
      <c r="C10" s="16">
        <v>2</v>
      </c>
      <c r="D10" s="55">
        <v>4.5999999999999999E-2</v>
      </c>
      <c r="E10" s="55">
        <v>4.7E-2</v>
      </c>
      <c r="F10" s="55">
        <v>4.5999999999999999E-2</v>
      </c>
      <c r="G10" s="16">
        <f t="shared" si="0"/>
        <v>1.0287152161042037</v>
      </c>
      <c r="H10" s="19">
        <f t="shared" si="1"/>
        <v>1.2818611660515681E-2</v>
      </c>
    </row>
    <row r="11" spans="1:8">
      <c r="A11" s="68">
        <v>3</v>
      </c>
      <c r="B11" s="66">
        <v>5</v>
      </c>
      <c r="C11" s="16">
        <v>2</v>
      </c>
      <c r="D11" s="55">
        <v>4.8000000000000001E-2</v>
      </c>
      <c r="E11" s="55">
        <v>4.7E-2</v>
      </c>
      <c r="F11" s="55">
        <v>4.9000000000000002E-2</v>
      </c>
      <c r="G11" s="16">
        <f t="shared" si="0"/>
        <v>1.0657193605683839</v>
      </c>
      <c r="H11" s="19">
        <f t="shared" si="1"/>
        <v>2.2202486678508014E-2</v>
      </c>
    </row>
    <row r="12" spans="1:8">
      <c r="A12" s="68">
        <v>4</v>
      </c>
      <c r="B12" s="66">
        <v>6</v>
      </c>
      <c r="C12" s="16">
        <v>2</v>
      </c>
      <c r="D12" s="55">
        <v>0.05</v>
      </c>
      <c r="E12" s="55">
        <v>4.8000000000000001E-2</v>
      </c>
      <c r="F12" s="55">
        <v>4.8000000000000001E-2</v>
      </c>
      <c r="G12" s="16">
        <f t="shared" si="0"/>
        <v>1.0805210183540557</v>
      </c>
      <c r="H12" s="19">
        <f t="shared" si="1"/>
        <v>2.5637223321031358E-2</v>
      </c>
    </row>
    <row r="13" spans="1:8">
      <c r="A13" s="68">
        <v>5</v>
      </c>
      <c r="B13" s="66">
        <v>7</v>
      </c>
      <c r="C13" s="16">
        <v>2</v>
      </c>
      <c r="D13" s="55">
        <v>4.8000000000000001E-2</v>
      </c>
      <c r="E13" s="55">
        <v>4.8000000000000001E-2</v>
      </c>
      <c r="F13" s="55">
        <v>4.8000000000000001E-2</v>
      </c>
      <c r="G13" s="16">
        <f t="shared" si="0"/>
        <v>1.0657193605683839</v>
      </c>
      <c r="H13" s="19">
        <f t="shared" si="1"/>
        <v>1.8868505155285834E-16</v>
      </c>
    </row>
    <row r="14" spans="1:8">
      <c r="A14" s="68">
        <v>6</v>
      </c>
      <c r="B14" s="66">
        <v>9</v>
      </c>
      <c r="C14" s="16">
        <v>2</v>
      </c>
      <c r="D14" s="55">
        <v>0.05</v>
      </c>
      <c r="E14" s="55">
        <v>5.0999999999999997E-2</v>
      </c>
      <c r="F14" s="55">
        <v>5.0999999999999997E-2</v>
      </c>
      <c r="G14" s="16">
        <f t="shared" si="0"/>
        <v>1.1249259917110717</v>
      </c>
      <c r="H14" s="19">
        <f t="shared" si="1"/>
        <v>1.2818611660515592E-2</v>
      </c>
    </row>
    <row r="15" spans="1:8">
      <c r="A15" s="68">
        <v>7</v>
      </c>
      <c r="B15" s="66">
        <v>10</v>
      </c>
      <c r="C15" s="16">
        <v>2</v>
      </c>
      <c r="D15" s="55">
        <v>5.2999999999999999E-2</v>
      </c>
      <c r="E15" s="55">
        <v>0.05</v>
      </c>
      <c r="F15" s="55">
        <v>5.0999999999999997E-2</v>
      </c>
      <c r="G15" s="16">
        <f t="shared" si="0"/>
        <v>1.1397276494967437</v>
      </c>
      <c r="H15" s="19">
        <f t="shared" si="1"/>
        <v>3.3914858606837142E-2</v>
      </c>
    </row>
    <row r="16" spans="1:8">
      <c r="A16" s="68">
        <v>8</v>
      </c>
      <c r="B16" s="66">
        <v>11</v>
      </c>
      <c r="C16" s="16">
        <v>2</v>
      </c>
      <c r="D16" s="55">
        <v>5.2999999999999999E-2</v>
      </c>
      <c r="E16" s="55">
        <v>5.2999999999999999E-2</v>
      </c>
      <c r="F16" s="55">
        <v>5.1999999999999998E-2</v>
      </c>
      <c r="G16" s="16">
        <f t="shared" si="0"/>
        <v>1.1693309650680876</v>
      </c>
      <c r="H16" s="19">
        <f t="shared" si="1"/>
        <v>1.2818611660515681E-2</v>
      </c>
    </row>
    <row r="17" spans="1:8">
      <c r="A17" s="68">
        <v>9</v>
      </c>
      <c r="B17" s="66">
        <v>13</v>
      </c>
      <c r="C17" s="16">
        <v>2</v>
      </c>
      <c r="D17" s="55">
        <v>6.3E-2</v>
      </c>
      <c r="E17" s="55">
        <v>6.5000000000000002E-2</v>
      </c>
      <c r="F17" s="55">
        <v>6.5000000000000002E-2</v>
      </c>
      <c r="G17" s="16">
        <f t="shared" si="0"/>
        <v>1.4283599763173478</v>
      </c>
      <c r="H17" s="19">
        <f t="shared" si="1"/>
        <v>2.5637223321031362E-2</v>
      </c>
    </row>
    <row r="18" spans="1:8">
      <c r="A18" s="68">
        <v>10</v>
      </c>
      <c r="B18" s="66">
        <v>14</v>
      </c>
      <c r="C18" s="16">
        <v>2</v>
      </c>
      <c r="D18" s="42">
        <v>0.104</v>
      </c>
      <c r="E18" s="42">
        <v>0.107</v>
      </c>
      <c r="F18" s="42">
        <v>0.105</v>
      </c>
      <c r="G18" s="16">
        <f t="shared" si="0"/>
        <v>2.3386619301361753</v>
      </c>
      <c r="H18" s="19">
        <f t="shared" si="1"/>
        <v>3.3914858606837212E-2</v>
      </c>
    </row>
    <row r="19" spans="1:8">
      <c r="A19" s="68">
        <v>11</v>
      </c>
      <c r="B19" s="66">
        <v>15</v>
      </c>
      <c r="C19" s="16">
        <v>2</v>
      </c>
      <c r="D19" s="55">
        <v>0.16300000000000001</v>
      </c>
      <c r="E19" s="55">
        <v>0.16400000000000001</v>
      </c>
      <c r="F19" s="55">
        <v>0.16400000000000001</v>
      </c>
      <c r="G19" s="16">
        <f t="shared" si="0"/>
        <v>3.6338069863824747</v>
      </c>
      <c r="H19" s="19">
        <f t="shared" si="1"/>
        <v>1.2818611660515681E-2</v>
      </c>
    </row>
    <row r="20" spans="1:8">
      <c r="A20" s="68">
        <v>12</v>
      </c>
      <c r="B20" s="66">
        <v>17</v>
      </c>
      <c r="C20" s="16">
        <v>2</v>
      </c>
      <c r="D20" s="55">
        <v>0.219</v>
      </c>
      <c r="E20" s="55">
        <v>0.224</v>
      </c>
      <c r="F20" s="55">
        <v>0.219</v>
      </c>
      <c r="G20" s="16">
        <f t="shared" si="0"/>
        <v>4.899348727057431</v>
      </c>
      <c r="H20" s="19">
        <f t="shared" si="1"/>
        <v>6.4093058302578401E-2</v>
      </c>
    </row>
    <row r="21" spans="1:8">
      <c r="A21" s="68">
        <v>13</v>
      </c>
      <c r="B21" s="66">
        <v>18</v>
      </c>
      <c r="C21" s="16">
        <v>2</v>
      </c>
      <c r="D21" s="55">
        <v>0.24199999999999999</v>
      </c>
      <c r="E21" s="55">
        <v>0.245</v>
      </c>
      <c r="F21" s="55">
        <v>0.247</v>
      </c>
      <c r="G21" s="16">
        <f t="shared" si="0"/>
        <v>5.4322084073416219</v>
      </c>
      <c r="H21" s="19">
        <f t="shared" si="1"/>
        <v>5.5875032824679961E-2</v>
      </c>
    </row>
    <row r="22" spans="1:8">
      <c r="A22" s="68">
        <v>14</v>
      </c>
      <c r="B22" s="66">
        <v>24</v>
      </c>
      <c r="C22" s="16">
        <v>2</v>
      </c>
      <c r="D22" s="55">
        <v>0.23499999999999999</v>
      </c>
      <c r="E22" s="55">
        <v>0.23599999999999999</v>
      </c>
      <c r="F22" s="55">
        <v>0.23499999999999999</v>
      </c>
      <c r="G22" s="16">
        <f t="shared" si="0"/>
        <v>5.224985198342214</v>
      </c>
      <c r="H22" s="19">
        <f t="shared" si="1"/>
        <v>1.2818611660515681E-2</v>
      </c>
    </row>
    <row r="23" spans="1:8">
      <c r="A23" s="68">
        <v>15</v>
      </c>
      <c r="B23" s="66">
        <v>30</v>
      </c>
      <c r="C23" s="16">
        <v>2</v>
      </c>
      <c r="D23" s="55">
        <v>0.22</v>
      </c>
      <c r="E23" s="55">
        <v>0.22500000000000001</v>
      </c>
      <c r="F23" s="55">
        <v>0.22700000000000001</v>
      </c>
      <c r="G23" s="16">
        <f t="shared" si="0"/>
        <v>4.9733570159857905</v>
      </c>
      <c r="H23" s="19">
        <f t="shared" si="1"/>
        <v>8.0052204162166796E-2</v>
      </c>
    </row>
    <row r="24" spans="1:8">
      <c r="A24" s="68">
        <v>16</v>
      </c>
      <c r="B24" s="66">
        <v>48</v>
      </c>
      <c r="C24" s="16">
        <v>2</v>
      </c>
      <c r="D24" s="55">
        <v>0.249</v>
      </c>
      <c r="E24" s="55">
        <v>0.25600000000000001</v>
      </c>
      <c r="F24" s="55">
        <v>0.26</v>
      </c>
      <c r="G24" s="16">
        <f t="shared" ref="G24" si="2">(C24*1000*AVERAGE(D24:F24))/$B$2</f>
        <v>5.6616341030195381</v>
      </c>
      <c r="H24" s="19">
        <f t="shared" ref="H24" si="3">(C24*1000*STDEV(D24:F24))/$B$2</f>
        <v>0.12361821409480522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5" sqref="A25:XFD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64" t="s">
        <v>44</v>
      </c>
      <c r="B4" s="165"/>
      <c r="C4" s="165"/>
      <c r="D4" s="165"/>
      <c r="E4" s="165"/>
      <c r="F4" s="165"/>
      <c r="G4" s="165"/>
      <c r="H4" s="166"/>
    </row>
    <row r="5" spans="1:8">
      <c r="A5" s="167" t="s">
        <v>62</v>
      </c>
      <c r="B5" s="165"/>
      <c r="C5" s="166"/>
      <c r="D5" s="168" t="s">
        <v>45</v>
      </c>
      <c r="E5" s="168" t="s">
        <v>46</v>
      </c>
      <c r="F5" s="168" t="s">
        <v>47</v>
      </c>
      <c r="G5" s="170" t="s">
        <v>63</v>
      </c>
      <c r="H5" s="170" t="s">
        <v>64</v>
      </c>
    </row>
    <row r="6" spans="1:8">
      <c r="A6" s="22" t="s">
        <v>4</v>
      </c>
      <c r="B6" s="22" t="s">
        <v>60</v>
      </c>
      <c r="C6" s="22" t="s">
        <v>19</v>
      </c>
      <c r="D6" s="169"/>
      <c r="E6" s="169"/>
      <c r="F6" s="169"/>
      <c r="G6" s="171"/>
      <c r="H6" s="171"/>
    </row>
    <row r="7" spans="1:8">
      <c r="A7" s="67">
        <v>0</v>
      </c>
      <c r="B7" s="63">
        <v>0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5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9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13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17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R48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27.83203125" customWidth="1"/>
    <col min="2" max="2" width="11" bestFit="1" customWidth="1"/>
    <col min="9" max="9" width="22.33203125" customWidth="1"/>
    <col min="10" max="10" width="8.83203125" customWidth="1"/>
  </cols>
  <sheetData>
    <row r="1" spans="1:18">
      <c r="B1" s="30" t="s">
        <v>147</v>
      </c>
      <c r="C1" s="30" t="s">
        <v>78</v>
      </c>
    </row>
    <row r="2" spans="1:18">
      <c r="A2" s="30" t="s">
        <v>141</v>
      </c>
      <c r="B2" s="31">
        <f>Metabolites!H4-Metabolites!H20</f>
        <v>48.582741267021902</v>
      </c>
      <c r="C2" s="31">
        <f>Metabolites!I4+Metabolites!I20</f>
        <v>0.15594514139805493</v>
      </c>
      <c r="I2" s="83"/>
      <c r="J2" s="83" t="s">
        <v>152</v>
      </c>
      <c r="K2" s="83"/>
      <c r="L2" s="83" t="s">
        <v>153</v>
      </c>
      <c r="M2" s="83"/>
      <c r="N2" s="83" t="s">
        <v>154</v>
      </c>
      <c r="O2" s="83" t="s">
        <v>155</v>
      </c>
      <c r="P2" s="83" t="s">
        <v>156</v>
      </c>
      <c r="Q2" s="83" t="s">
        <v>157</v>
      </c>
      <c r="R2" s="59"/>
    </row>
    <row r="3" spans="1:18">
      <c r="A3" s="30" t="s">
        <v>197</v>
      </c>
      <c r="B3" s="31">
        <f>Metabolites!P20-Metabolites!P4</f>
        <v>33.066171222580749</v>
      </c>
      <c r="C3" s="31">
        <f>Metabolites!Q4+Metabolites!Q20</f>
        <v>2.3950384801190694</v>
      </c>
      <c r="I3" s="83"/>
      <c r="J3" s="83" t="s">
        <v>158</v>
      </c>
      <c r="K3" s="83"/>
      <c r="L3" s="83"/>
      <c r="M3" s="83"/>
      <c r="N3" s="83"/>
      <c r="O3" s="83"/>
      <c r="P3" s="83"/>
      <c r="Q3" s="83"/>
      <c r="R3" s="59"/>
    </row>
    <row r="4" spans="1:18">
      <c r="A4" s="30" t="s">
        <v>196</v>
      </c>
      <c r="B4" s="31">
        <f>Metabolites!T4-Metabolites!T20</f>
        <v>1.2165978709537257</v>
      </c>
      <c r="C4" s="31">
        <f>Metabolites!U4+Metabolites!U20</f>
        <v>4.34499239626331E-2</v>
      </c>
      <c r="I4" s="83"/>
      <c r="J4" s="83"/>
      <c r="K4" s="83"/>
      <c r="L4" s="83"/>
      <c r="M4" s="83"/>
      <c r="N4" s="83"/>
      <c r="O4" s="83"/>
      <c r="P4" s="83"/>
      <c r="Q4" s="83"/>
      <c r="R4" s="59"/>
    </row>
    <row r="5" spans="1:18">
      <c r="A5" s="30" t="s">
        <v>123</v>
      </c>
      <c r="B5" s="31">
        <f>Metabolites!L20-Metabolites!L4</f>
        <v>5.038793279026887</v>
      </c>
      <c r="C5" s="31">
        <f>Metabolites!M20+Metabolites!M4</f>
        <v>0.1563399322831687</v>
      </c>
      <c r="I5" s="83"/>
      <c r="J5" s="83"/>
      <c r="K5" s="83"/>
      <c r="L5" s="80" t="s">
        <v>127</v>
      </c>
      <c r="M5" s="80"/>
      <c r="N5" s="80" t="s">
        <v>128</v>
      </c>
      <c r="O5" s="80"/>
      <c r="P5" s="83"/>
      <c r="Q5" s="83"/>
      <c r="R5" s="59"/>
    </row>
    <row r="6" spans="1:18">
      <c r="A6" s="30" t="s">
        <v>124</v>
      </c>
      <c r="B6" s="31">
        <f>Metabolites!L41-Metabolites!L25</f>
        <v>31.998707695957705</v>
      </c>
      <c r="C6" s="31">
        <f>Metabolites!M41+Metabolites!M25</f>
        <v>0.82815223917484049</v>
      </c>
      <c r="I6" s="172" t="s">
        <v>159</v>
      </c>
      <c r="J6" s="172"/>
      <c r="K6" s="172"/>
      <c r="L6" s="86" t="s">
        <v>101</v>
      </c>
      <c r="M6" s="80"/>
      <c r="N6" s="87">
        <f>B7-B4</f>
        <v>81.2051802432117</v>
      </c>
      <c r="O6" s="86" t="s">
        <v>48</v>
      </c>
      <c r="P6" s="83"/>
      <c r="Q6" s="83"/>
      <c r="R6" s="59"/>
    </row>
    <row r="7" spans="1:18">
      <c r="A7" s="30" t="s">
        <v>79</v>
      </c>
      <c r="B7" s="31">
        <f>'H2'!G101</f>
        <v>82.42177811416542</v>
      </c>
      <c r="I7" s="172" t="s">
        <v>160</v>
      </c>
      <c r="J7" s="172"/>
      <c r="K7" s="172"/>
      <c r="L7" s="86" t="s">
        <v>101</v>
      </c>
      <c r="M7" s="80"/>
      <c r="N7" s="87">
        <f>C23-B3</f>
        <v>101.21491540074115</v>
      </c>
      <c r="O7" s="86" t="s">
        <v>48</v>
      </c>
      <c r="P7" s="83"/>
      <c r="Q7" s="83"/>
      <c r="R7" s="59"/>
    </row>
    <row r="8" spans="1:18">
      <c r="A8" s="30" t="s">
        <v>80</v>
      </c>
      <c r="B8" s="31">
        <f>'CO2'!G101</f>
        <v>78.402758913013642</v>
      </c>
      <c r="I8" s="83" t="s">
        <v>161</v>
      </c>
      <c r="J8" s="83"/>
      <c r="K8" s="83"/>
      <c r="L8" s="87">
        <f>N6</f>
        <v>81.2051802432117</v>
      </c>
      <c r="M8" s="86" t="s">
        <v>48</v>
      </c>
      <c r="N8" s="80" t="s">
        <v>101</v>
      </c>
      <c r="O8" s="80"/>
    </row>
    <row r="9" spans="1:18">
      <c r="A9" s="30" t="s">
        <v>125</v>
      </c>
      <c r="B9" s="31">
        <f>Calculation!G20*1.5/1000</f>
        <v>0.10050000000000001</v>
      </c>
      <c r="I9" s="83" t="s">
        <v>162</v>
      </c>
      <c r="J9" s="83"/>
      <c r="K9" s="83"/>
      <c r="L9" s="87">
        <f>4*N7</f>
        <v>404.85966160296459</v>
      </c>
      <c r="M9" s="86" t="s">
        <v>48</v>
      </c>
      <c r="N9" s="80"/>
      <c r="O9" s="80"/>
    </row>
    <row r="10" spans="1:18" ht="16">
      <c r="A10" s="30" t="s">
        <v>126</v>
      </c>
      <c r="B10" s="31">
        <f>Calculation!H20*1.5/1000</f>
        <v>6.0000000000000001E-3</v>
      </c>
      <c r="I10" s="83" t="s">
        <v>163</v>
      </c>
      <c r="J10" s="59"/>
      <c r="K10" s="59"/>
      <c r="L10" s="87">
        <f>2*N7</f>
        <v>202.4298308014823</v>
      </c>
      <c r="M10" s="86" t="s">
        <v>48</v>
      </c>
      <c r="N10" s="86"/>
      <c r="O10" s="86"/>
    </row>
    <row r="11" spans="1:18">
      <c r="I11" s="83" t="s">
        <v>164</v>
      </c>
      <c r="J11" s="59"/>
      <c r="K11" s="59"/>
      <c r="L11" s="84">
        <f>L8-L9</f>
        <v>-323.65448135975288</v>
      </c>
      <c r="M11" s="86" t="s">
        <v>48</v>
      </c>
      <c r="N11" s="84" t="e">
        <f>#REF!</f>
        <v>#REF!</v>
      </c>
      <c r="O11" s="86" t="s">
        <v>48</v>
      </c>
    </row>
    <row r="12" spans="1:18">
      <c r="A12" s="30" t="s">
        <v>81</v>
      </c>
      <c r="B12" s="88">
        <f>((4*$B$6)+(3*$B$5)+(2*$B$3)+(B8))/((6*$B$2)+($B$4))</f>
        <v>0.98269044180859932</v>
      </c>
      <c r="I12" s="83" t="s">
        <v>165</v>
      </c>
      <c r="J12" s="59"/>
      <c r="K12" s="59"/>
      <c r="L12" s="84">
        <f>L8-L10</f>
        <v>-121.2246505582706</v>
      </c>
      <c r="M12" s="86" t="s">
        <v>48</v>
      </c>
      <c r="N12" s="84" t="e">
        <f>#REF!</f>
        <v>#REF!</v>
      </c>
      <c r="O12" s="86" t="s">
        <v>48</v>
      </c>
    </row>
    <row r="15" spans="1:18">
      <c r="A15" t="s">
        <v>150</v>
      </c>
      <c r="I15" t="s">
        <v>151</v>
      </c>
    </row>
    <row r="17" spans="1:18">
      <c r="A17" s="59"/>
      <c r="B17" s="59"/>
      <c r="C17" s="59" t="s">
        <v>127</v>
      </c>
      <c r="D17" s="59" t="s">
        <v>128</v>
      </c>
      <c r="I17" s="59"/>
      <c r="J17" s="59"/>
      <c r="K17" s="59" t="s">
        <v>127</v>
      </c>
      <c r="L17" s="59" t="s">
        <v>128</v>
      </c>
    </row>
    <row r="18" spans="1:18">
      <c r="A18" s="30" t="s">
        <v>187</v>
      </c>
      <c r="B18" s="59" t="s">
        <v>129</v>
      </c>
      <c r="C18" s="84">
        <f>B2</f>
        <v>48.582741267021902</v>
      </c>
      <c r="D18" s="60" t="s">
        <v>101</v>
      </c>
      <c r="E18" s="59"/>
      <c r="I18" s="30" t="s">
        <v>187</v>
      </c>
      <c r="J18" s="59" t="s">
        <v>129</v>
      </c>
      <c r="K18" s="84">
        <v>48.582741267021902</v>
      </c>
      <c r="L18" s="84">
        <v>48.582741267021902</v>
      </c>
    </row>
    <row r="19" spans="1:18">
      <c r="A19" s="30" t="s">
        <v>188</v>
      </c>
      <c r="B19" s="59" t="s">
        <v>130</v>
      </c>
      <c r="C19" s="84">
        <f>2*C18</f>
        <v>97.165482534043804</v>
      </c>
      <c r="D19" s="60" t="s">
        <v>101</v>
      </c>
      <c r="E19" s="59"/>
      <c r="I19" s="30" t="s">
        <v>188</v>
      </c>
      <c r="J19" s="59" t="s">
        <v>130</v>
      </c>
      <c r="K19" s="84">
        <v>97.165482534043804</v>
      </c>
      <c r="L19" s="84">
        <v>97.165482534043804</v>
      </c>
    </row>
    <row r="20" spans="1:18">
      <c r="A20" s="30" t="s">
        <v>189</v>
      </c>
      <c r="B20" s="59" t="s">
        <v>131</v>
      </c>
      <c r="C20" s="84">
        <f>B5</f>
        <v>5.038793279026887</v>
      </c>
      <c r="D20" s="60" t="s">
        <v>101</v>
      </c>
      <c r="E20" s="59"/>
      <c r="I20" s="30" t="s">
        <v>189</v>
      </c>
      <c r="J20" s="59" t="s">
        <v>131</v>
      </c>
      <c r="K20" s="84">
        <v>5.038793279026887</v>
      </c>
      <c r="L20" s="84">
        <v>5.038793279026887</v>
      </c>
    </row>
    <row r="21" spans="1:18">
      <c r="A21" s="30" t="s">
        <v>190</v>
      </c>
      <c r="B21" s="59" t="s">
        <v>132</v>
      </c>
      <c r="C21" s="84">
        <f>N6</f>
        <v>81.2051802432117</v>
      </c>
      <c r="D21" s="60" t="s">
        <v>101</v>
      </c>
      <c r="E21" s="59"/>
      <c r="I21" s="30" t="s">
        <v>190</v>
      </c>
      <c r="J21" s="59" t="s">
        <v>132</v>
      </c>
      <c r="K21" s="84">
        <v>-1.2165978709537257</v>
      </c>
      <c r="L21" s="84">
        <v>-1.2165978709537257</v>
      </c>
    </row>
    <row r="22" spans="1:18">
      <c r="A22" s="30" t="s">
        <v>191</v>
      </c>
      <c r="B22" s="59" t="s">
        <v>133</v>
      </c>
      <c r="C22" s="85">
        <f>C19-C20-C21</f>
        <v>10.921509011805213</v>
      </c>
      <c r="D22" s="70" t="s">
        <v>101</v>
      </c>
      <c r="E22" s="59"/>
      <c r="I22" s="30" t="s">
        <v>191</v>
      </c>
      <c r="J22" s="59" t="s">
        <v>133</v>
      </c>
      <c r="K22" s="85">
        <v>93.343287125970633</v>
      </c>
      <c r="L22" s="85">
        <v>24.954042808693252</v>
      </c>
    </row>
    <row r="23" spans="1:18">
      <c r="A23" s="30" t="s">
        <v>192</v>
      </c>
      <c r="B23" s="59" t="s">
        <v>134</v>
      </c>
      <c r="C23" s="84">
        <f>C24-C22+C21</f>
        <v>134.2810866233219</v>
      </c>
      <c r="D23" s="60" t="s">
        <v>101</v>
      </c>
      <c r="E23" s="59"/>
      <c r="I23" s="30" t="s">
        <v>192</v>
      </c>
      <c r="J23" s="59" t="s">
        <v>134</v>
      </c>
      <c r="K23" s="84">
        <v>-33.066171222580749</v>
      </c>
      <c r="L23" s="84">
        <v>-33.066171222580749</v>
      </c>
    </row>
    <row r="24" spans="1:18">
      <c r="A24" s="30" t="s">
        <v>193</v>
      </c>
      <c r="B24" s="59" t="s">
        <v>136</v>
      </c>
      <c r="C24" s="84">
        <f>2*C25</f>
        <v>63.997415391915411</v>
      </c>
      <c r="D24" s="60" t="s">
        <v>101</v>
      </c>
      <c r="E24" s="59"/>
      <c r="I24" s="30" t="s">
        <v>193</v>
      </c>
      <c r="J24" s="59" t="s">
        <v>136</v>
      </c>
      <c r="K24" s="84">
        <v>59.060518032436164</v>
      </c>
      <c r="L24" s="84">
        <v>31.998707695957705</v>
      </c>
    </row>
    <row r="25" spans="1:18">
      <c r="A25" s="30" t="s">
        <v>195</v>
      </c>
      <c r="B25" s="59" t="s">
        <v>137</v>
      </c>
      <c r="C25" s="85">
        <f>D25</f>
        <v>31.998707695957705</v>
      </c>
      <c r="D25" s="71">
        <f>B6</f>
        <v>31.998707695957705</v>
      </c>
      <c r="E25" s="59"/>
      <c r="I25" s="30" t="s">
        <v>195</v>
      </c>
      <c r="J25" s="59" t="s">
        <v>137</v>
      </c>
      <c r="K25" s="85">
        <v>29.530259016218082</v>
      </c>
      <c r="L25" s="85">
        <v>31.998707695957705</v>
      </c>
    </row>
    <row r="26" spans="1:18">
      <c r="A26" s="30" t="s">
        <v>194</v>
      </c>
      <c r="B26" s="59"/>
      <c r="C26" s="80">
        <v>0</v>
      </c>
      <c r="D26">
        <v>0</v>
      </c>
      <c r="E26" s="59"/>
      <c r="I26" s="30" t="s">
        <v>194</v>
      </c>
      <c r="J26" s="59"/>
      <c r="K26" s="80">
        <f>0</f>
        <v>0</v>
      </c>
      <c r="L26" s="84">
        <f>B7</f>
        <v>82.42177811416542</v>
      </c>
    </row>
    <row r="27" spans="1:18">
      <c r="A27" s="59"/>
      <c r="B27" s="59"/>
      <c r="C27" s="59"/>
      <c r="D27" s="59"/>
      <c r="E27" s="59"/>
    </row>
    <row r="28" spans="1:18">
      <c r="A28" s="30" t="s">
        <v>81</v>
      </c>
      <c r="B28" s="72">
        <f>((4*$B$6)+(3*$B$5)+($B$4)+($B$8))/((6*$B$2)+(2*$C$23))</f>
        <v>0.3976915256965925</v>
      </c>
      <c r="C28" s="59"/>
      <c r="D28" s="59"/>
      <c r="E28" s="59"/>
      <c r="I28" s="30" t="s">
        <v>81</v>
      </c>
      <c r="J28" s="72" t="e">
        <f>((4*$B$6)+(3*$B$5)+($B$4)+(J24))/((6*$B$2)+(2*$B$3))</f>
        <v>#VALUE!</v>
      </c>
    </row>
    <row r="31" spans="1:18">
      <c r="B31" t="s">
        <v>166</v>
      </c>
      <c r="I31" s="83"/>
      <c r="J31" s="83"/>
      <c r="K31" s="83"/>
      <c r="L31" s="83"/>
      <c r="M31" s="83"/>
      <c r="N31" s="83"/>
      <c r="O31" s="83"/>
      <c r="P31" s="83"/>
      <c r="Q31" s="83"/>
      <c r="R31" s="59"/>
    </row>
    <row r="32" spans="1:18">
      <c r="I32" s="83"/>
      <c r="J32" s="83"/>
      <c r="K32" s="83"/>
      <c r="L32" s="83"/>
      <c r="M32" s="83"/>
      <c r="N32" s="83"/>
      <c r="O32" s="83"/>
      <c r="P32" s="83"/>
      <c r="Q32" s="83"/>
      <c r="R32" s="59"/>
    </row>
    <row r="33" spans="9:18">
      <c r="I33" s="83"/>
      <c r="J33" s="83"/>
      <c r="K33" s="83"/>
      <c r="L33" s="83"/>
      <c r="M33" s="83"/>
      <c r="N33" s="83"/>
      <c r="O33" s="83"/>
      <c r="P33" s="83"/>
      <c r="Q33" s="83"/>
      <c r="R33" s="59"/>
    </row>
    <row r="34" spans="9:18">
      <c r="I34" s="83"/>
      <c r="J34" s="83"/>
      <c r="K34" s="83"/>
      <c r="L34" s="83"/>
      <c r="M34" s="83"/>
      <c r="N34" s="83"/>
      <c r="O34" s="83"/>
      <c r="P34" s="83"/>
      <c r="Q34" s="83"/>
      <c r="R34" s="59"/>
    </row>
    <row r="35" spans="9:18">
      <c r="I35" s="83"/>
      <c r="J35" s="83"/>
      <c r="K35" s="83"/>
      <c r="L35" s="83"/>
      <c r="M35" s="83"/>
      <c r="N35" s="83"/>
      <c r="O35" s="83"/>
      <c r="P35" s="83"/>
      <c r="Q35" s="83"/>
      <c r="R35" s="59"/>
    </row>
    <row r="36" spans="9:18">
      <c r="I36" s="83"/>
      <c r="J36" s="83"/>
      <c r="K36" s="83"/>
      <c r="L36" s="83"/>
      <c r="M36" s="83"/>
      <c r="N36" s="83"/>
      <c r="O36" s="83"/>
      <c r="P36" s="83"/>
      <c r="Q36" s="83"/>
      <c r="R36" s="59"/>
    </row>
    <row r="37" spans="9:18">
      <c r="I37" s="83"/>
      <c r="J37" s="83"/>
      <c r="K37" s="83"/>
      <c r="L37" s="83"/>
      <c r="M37" s="83"/>
      <c r="N37" s="83"/>
      <c r="O37" s="83"/>
      <c r="P37" s="83"/>
      <c r="Q37" s="83"/>
      <c r="R37" s="59"/>
    </row>
    <row r="38" spans="9:18">
      <c r="I38" s="83"/>
      <c r="J38" s="83"/>
      <c r="K38" s="83"/>
      <c r="L38" s="83"/>
      <c r="M38" s="83"/>
      <c r="N38" s="83"/>
      <c r="O38" s="83"/>
      <c r="P38" s="83"/>
      <c r="Q38" s="83"/>
      <c r="R38" s="59"/>
    </row>
    <row r="39" spans="9:18">
      <c r="P39" s="59"/>
      <c r="Q39" s="59"/>
      <c r="R39" s="59"/>
    </row>
    <row r="40" spans="9:18">
      <c r="P40" s="59"/>
      <c r="Q40" s="59"/>
      <c r="R40" s="59"/>
    </row>
    <row r="41" spans="9:18">
      <c r="P41" s="59"/>
      <c r="Q41" s="59"/>
      <c r="R41" s="59"/>
    </row>
    <row r="42" spans="9:18">
      <c r="P42" s="59"/>
      <c r="Q42" s="59"/>
      <c r="R42" s="59"/>
    </row>
    <row r="43" spans="9:18">
      <c r="P43" s="59"/>
      <c r="Q43" s="59"/>
      <c r="R43" s="59"/>
    </row>
    <row r="44" spans="9:18">
      <c r="P44" s="59"/>
      <c r="Q44" s="59"/>
      <c r="R44" s="59"/>
    </row>
    <row r="45" spans="9:18">
      <c r="P45" s="59"/>
      <c r="Q45" s="59"/>
      <c r="R45" s="59"/>
    </row>
    <row r="46" spans="9:18">
      <c r="P46" s="59"/>
      <c r="Q46" s="59"/>
      <c r="R46" s="59"/>
    </row>
    <row r="47" spans="9:18">
      <c r="P47" s="59"/>
      <c r="Q47" s="59"/>
      <c r="R47" s="59"/>
    </row>
    <row r="48" spans="9:18">
      <c r="P48" s="59"/>
      <c r="Q48" s="59"/>
      <c r="R48" s="59"/>
    </row>
  </sheetData>
  <mergeCells count="2">
    <mergeCell ref="I6:K6"/>
    <mergeCell ref="I7:K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D20" sqref="D20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8" t="s">
        <v>4</v>
      </c>
      <c r="B1" s="138" t="s">
        <v>117</v>
      </c>
      <c r="C1" s="138" t="s">
        <v>117</v>
      </c>
      <c r="D1" s="138" t="s">
        <v>5</v>
      </c>
      <c r="E1" s="143" t="s">
        <v>18</v>
      </c>
      <c r="F1" s="143"/>
      <c r="G1" s="143"/>
      <c r="H1" s="143"/>
      <c r="I1" s="143" t="s">
        <v>20</v>
      </c>
      <c r="J1" s="143"/>
      <c r="K1" s="143"/>
      <c r="L1" s="143"/>
      <c r="M1" s="143" t="s">
        <v>21</v>
      </c>
      <c r="N1" s="143"/>
      <c r="O1" s="143"/>
      <c r="P1" s="143"/>
      <c r="Q1" s="38" t="s">
        <v>22</v>
      </c>
      <c r="R1" s="38" t="s">
        <v>22</v>
      </c>
      <c r="S1" s="38" t="s">
        <v>22</v>
      </c>
    </row>
    <row r="2" spans="1:19">
      <c r="A2" s="139"/>
      <c r="B2" s="139"/>
      <c r="C2" s="139"/>
      <c r="D2" s="139"/>
      <c r="E2" s="41" t="s">
        <v>19</v>
      </c>
      <c r="F2" s="41" t="s">
        <v>68</v>
      </c>
      <c r="G2" s="41" t="s">
        <v>118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61" t="s">
        <v>6</v>
      </c>
      <c r="B3" s="62">
        <v>-10</v>
      </c>
      <c r="C3" s="62">
        <v>-10</v>
      </c>
      <c r="D3" s="13">
        <f>C3/60</f>
        <v>-0.16666666666666666</v>
      </c>
      <c r="Q3" s="140"/>
      <c r="R3" s="141"/>
      <c r="S3" s="142"/>
    </row>
    <row r="4" spans="1:19">
      <c r="A4" s="64">
        <v>0</v>
      </c>
      <c r="B4" s="65">
        <v>10</v>
      </c>
      <c r="C4" s="65">
        <v>10</v>
      </c>
      <c r="D4" s="13">
        <f t="shared" ref="D4:D18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64">
        <v>1</v>
      </c>
      <c r="B5" s="65">
        <v>110</v>
      </c>
      <c r="C5" s="65"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64">
        <v>2</v>
      </c>
      <c r="B6" s="65">
        <v>80</v>
      </c>
      <c r="C6" s="65"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64">
        <v>3</v>
      </c>
      <c r="B7" s="65">
        <v>80</v>
      </c>
      <c r="C7" s="65"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64">
        <v>4</v>
      </c>
      <c r="B8" s="65">
        <v>80</v>
      </c>
      <c r="C8" s="65"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64">
        <v>5</v>
      </c>
      <c r="B9" s="65">
        <v>80</v>
      </c>
      <c r="C9" s="65"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64">
        <v>6</v>
      </c>
      <c r="B10" s="65">
        <v>80</v>
      </c>
      <c r="C10" s="65"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64">
        <v>7</v>
      </c>
      <c r="B11" s="65">
        <v>80</v>
      </c>
      <c r="C11" s="65"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64">
        <v>8</v>
      </c>
      <c r="B12" s="65">
        <v>80</v>
      </c>
      <c r="C12" s="65"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64">
        <v>9</v>
      </c>
      <c r="B13" s="65">
        <v>80</v>
      </c>
      <c r="C13" s="65">
        <v>760</v>
      </c>
      <c r="D13" s="13">
        <f>C13/60</f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64">
        <v>10</v>
      </c>
      <c r="B14" s="65">
        <v>80</v>
      </c>
      <c r="C14" s="65"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64">
        <v>11</v>
      </c>
      <c r="B15" s="65">
        <v>80</v>
      </c>
      <c r="C15" s="65"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64">
        <v>12</v>
      </c>
      <c r="B16" s="65">
        <v>80</v>
      </c>
      <c r="C16" s="65"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64">
        <v>13</v>
      </c>
      <c r="B17" s="65">
        <v>80</v>
      </c>
      <c r="C17" s="65"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64">
        <v>14</v>
      </c>
      <c r="B18" s="65">
        <v>360</v>
      </c>
      <c r="C18" s="65">
        <v>1440</v>
      </c>
      <c r="D18" s="13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64">
        <v>15</v>
      </c>
      <c r="B19" s="65">
        <v>375</v>
      </c>
      <c r="C19" s="65">
        <v>1815</v>
      </c>
      <c r="D19" s="13">
        <f>C19/60</f>
        <v>30.25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64">
        <v>16</v>
      </c>
      <c r="B20" s="65">
        <v>1065</v>
      </c>
      <c r="C20" s="65">
        <v>2880</v>
      </c>
      <c r="D20" s="13">
        <f t="shared" ref="D20" si="2">C20/60</f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E1" workbookViewId="0">
      <selection activeCell="X15" sqref="X15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8" t="s">
        <v>4</v>
      </c>
      <c r="B1" s="138" t="s">
        <v>117</v>
      </c>
      <c r="C1" s="138" t="s">
        <v>117</v>
      </c>
      <c r="D1" s="138" t="s">
        <v>5</v>
      </c>
      <c r="E1" s="137" t="s">
        <v>119</v>
      </c>
      <c r="F1" s="137"/>
      <c r="G1" s="137"/>
      <c r="H1" s="137"/>
      <c r="I1" s="137" t="s">
        <v>120</v>
      </c>
      <c r="J1" s="137"/>
      <c r="K1" s="137"/>
      <c r="L1" s="137"/>
      <c r="M1" s="137" t="s">
        <v>121</v>
      </c>
      <c r="N1" s="137"/>
      <c r="O1" s="137"/>
      <c r="P1" s="137"/>
      <c r="Q1" s="24" t="s">
        <v>122</v>
      </c>
      <c r="R1" s="24" t="s">
        <v>122</v>
      </c>
      <c r="S1" s="24" t="s">
        <v>122</v>
      </c>
      <c r="T1" s="57" t="s">
        <v>122</v>
      </c>
      <c r="U1" s="76" t="s">
        <v>119</v>
      </c>
      <c r="V1" s="76" t="s">
        <v>120</v>
      </c>
      <c r="W1" s="76" t="s">
        <v>121</v>
      </c>
      <c r="X1" s="76" t="s">
        <v>122</v>
      </c>
    </row>
    <row r="2" spans="1:24">
      <c r="A2" s="139"/>
      <c r="B2" s="139"/>
      <c r="C2" s="139"/>
      <c r="D2" s="139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8" t="s">
        <v>135</v>
      </c>
      <c r="U2" s="77" t="s">
        <v>148</v>
      </c>
      <c r="V2" s="77" t="s">
        <v>148</v>
      </c>
      <c r="W2" s="77" t="s">
        <v>148</v>
      </c>
      <c r="X2" s="77" t="s">
        <v>149</v>
      </c>
    </row>
    <row r="3" spans="1:24">
      <c r="A3" s="61" t="s">
        <v>6</v>
      </c>
      <c r="B3" s="62">
        <v>-10</v>
      </c>
      <c r="C3" s="62">
        <v>-10</v>
      </c>
      <c r="D3" s="13">
        <f>C3/60</f>
        <v>-0.16666666666666666</v>
      </c>
      <c r="E3" s="43" t="s">
        <v>101</v>
      </c>
      <c r="F3" s="43" t="s">
        <v>101</v>
      </c>
      <c r="G3" s="43" t="s">
        <v>101</v>
      </c>
      <c r="H3" s="44" t="s">
        <v>101</v>
      </c>
      <c r="I3" s="43" t="s">
        <v>101</v>
      </c>
      <c r="J3" s="43" t="s">
        <v>101</v>
      </c>
      <c r="K3" s="43" t="s">
        <v>101</v>
      </c>
      <c r="L3" s="44" t="s">
        <v>101</v>
      </c>
      <c r="M3" s="43" t="s">
        <v>101</v>
      </c>
      <c r="N3" s="43" t="s">
        <v>101</v>
      </c>
      <c r="O3" s="43" t="s">
        <v>101</v>
      </c>
      <c r="P3" s="44" t="s">
        <v>101</v>
      </c>
      <c r="Q3" s="144" t="s">
        <v>101</v>
      </c>
      <c r="R3" s="145"/>
      <c r="S3" s="146"/>
      <c r="T3" s="75"/>
      <c r="U3" s="44" t="s">
        <v>101</v>
      </c>
      <c r="V3" s="44" t="s">
        <v>101</v>
      </c>
      <c r="W3" s="44" t="s">
        <v>101</v>
      </c>
      <c r="X3" s="44" t="s">
        <v>101</v>
      </c>
    </row>
    <row r="4" spans="1:24">
      <c r="A4" s="64">
        <v>0</v>
      </c>
      <c r="B4" s="65">
        <v>10</v>
      </c>
      <c r="C4" s="65">
        <v>10</v>
      </c>
      <c r="D4" s="13">
        <f t="shared" ref="D4:D18" si="0">C4/60</f>
        <v>0.16666666666666666</v>
      </c>
      <c r="E4" s="32">
        <v>2</v>
      </c>
      <c r="F4" s="32">
        <v>2829</v>
      </c>
      <c r="G4" s="32">
        <v>7</v>
      </c>
      <c r="H4" s="44">
        <f>('Flow cytometer'!F4/'Flow cytometer'!G4)*POWER(10,'Flow cytometer'!E4+2)*10.2</f>
        <v>41222571.428571433</v>
      </c>
      <c r="I4" s="32">
        <v>2</v>
      </c>
      <c r="J4" s="32">
        <v>3034</v>
      </c>
      <c r="K4" s="32">
        <v>7</v>
      </c>
      <c r="L4" s="44">
        <f>('Flow cytometer'!J4/'Flow cytometer'!K4)*POWER(10,'Flow cytometer'!I4+2)*10.2</f>
        <v>44209714.285714284</v>
      </c>
      <c r="M4" s="32">
        <v>2</v>
      </c>
      <c r="N4" s="32">
        <v>3003</v>
      </c>
      <c r="O4" s="32">
        <v>7</v>
      </c>
      <c r="P4" s="44">
        <f>('Flow cytometer'!N4/'Flow cytometer'!O4)*POWER(10,'Flow cytometer'!M4+2)*10.2</f>
        <v>43758000</v>
      </c>
      <c r="Q4" s="47">
        <f>AVERAGE(H4,L4,P4)*Calculation!I4/Calculation!K3</f>
        <v>43063428.571428575</v>
      </c>
      <c r="R4" s="48">
        <f>STDEV(H4,L4,P4)*Calculation!I4/Calculation!K3</f>
        <v>1610148.3516389737</v>
      </c>
      <c r="S4" s="49">
        <f>LOG(Q4)</f>
        <v>7.6341086039913142</v>
      </c>
      <c r="T4" s="74">
        <f>LN(Q4)</f>
        <v>17.578184669847985</v>
      </c>
      <c r="U4" s="49">
        <f>LOG(H4)</f>
        <v>7.6151350792046513</v>
      </c>
      <c r="V4" s="49">
        <f>LOG(L4)</f>
        <v>7.6455177081983727</v>
      </c>
      <c r="W4" s="49">
        <f>LOG(P4)</f>
        <v>7.641057463946642</v>
      </c>
      <c r="X4" s="49">
        <f xml:space="preserve"> STDEV(U4:W4)*Calculation!I4/Calculation!K3</f>
        <v>1.6406136829791335E-2</v>
      </c>
    </row>
    <row r="5" spans="1:24">
      <c r="A5" s="64">
        <v>1</v>
      </c>
      <c r="B5" s="65">
        <v>110</v>
      </c>
      <c r="C5" s="65">
        <v>120</v>
      </c>
      <c r="D5" s="13">
        <f t="shared" si="0"/>
        <v>2</v>
      </c>
      <c r="E5" s="32">
        <v>2</v>
      </c>
      <c r="F5" s="32">
        <v>5504</v>
      </c>
      <c r="G5" s="32">
        <v>7</v>
      </c>
      <c r="H5" s="44">
        <f>('Flow cytometer'!F5/'Flow cytometer'!G5)*POWER(10,'Flow cytometer'!E5+2)*10.2</f>
        <v>80201142.857142866</v>
      </c>
      <c r="I5" s="32">
        <v>2</v>
      </c>
      <c r="J5" s="32">
        <v>5598</v>
      </c>
      <c r="K5" s="32">
        <v>7</v>
      </c>
      <c r="L5" s="44">
        <f>('Flow cytometer'!J5/'Flow cytometer'!K5)*POWER(10,'Flow cytometer'!I5+2)*10.2</f>
        <v>81570857.142857134</v>
      </c>
      <c r="M5" s="32">
        <v>2</v>
      </c>
      <c r="N5" s="32">
        <v>5859</v>
      </c>
      <c r="O5" s="32">
        <v>7</v>
      </c>
      <c r="P5" s="44">
        <f>('Flow cytometer'!N5/'Flow cytometer'!O5)*POWER(10,'Flow cytometer'!M5+2)*10.2</f>
        <v>85374000</v>
      </c>
      <c r="Q5" s="47">
        <f>AVERAGE(H5,L5,P5)*Calculation!I5/Calculation!K4</f>
        <v>82382000</v>
      </c>
      <c r="R5" s="48">
        <f>STDEV(H5,L5,P5)*Calculation!I5/Calculation!K4</f>
        <v>2680126.3601036496</v>
      </c>
      <c r="S5" s="49">
        <f t="shared" ref="S5:S19" si="1">LOG(Q5)</f>
        <v>7.9158323311797609</v>
      </c>
      <c r="T5" s="49">
        <f t="shared" ref="T5:T19" si="2">LN(Q5)</f>
        <v>18.226877524414824</v>
      </c>
      <c r="U5" s="49">
        <f t="shared" ref="U5:U20" si="3">LOG(H5)</f>
        <v>7.904180556975116</v>
      </c>
      <c r="V5" s="49">
        <f t="shared" ref="V5:V20" si="4">LOG(L5)</f>
        <v>7.9115350258778046</v>
      </c>
      <c r="W5" s="49">
        <f t="shared" ref="W5:W20" si="5">LOG(P5)</f>
        <v>7.931325629755178</v>
      </c>
      <c r="X5" s="49">
        <f xml:space="preserve"> STDEV(U5:W5)*Calculation!I5/Calculation!K4</f>
        <v>1.4039297174399321E-2</v>
      </c>
    </row>
    <row r="6" spans="1:24">
      <c r="A6" s="64">
        <v>2</v>
      </c>
      <c r="B6" s="65">
        <v>80</v>
      </c>
      <c r="C6" s="65">
        <v>200</v>
      </c>
      <c r="D6" s="13">
        <f t="shared" si="0"/>
        <v>3.3333333333333335</v>
      </c>
      <c r="E6" s="32">
        <v>2</v>
      </c>
      <c r="F6" s="32">
        <v>9907</v>
      </c>
      <c r="G6" s="32">
        <v>7</v>
      </c>
      <c r="H6" s="44">
        <f>('Flow cytometer'!F6/'Flow cytometer'!G6)*POWER(10,'Flow cytometer'!E6+2)*10.2</f>
        <v>144359142.85714284</v>
      </c>
      <c r="I6" s="32">
        <v>2</v>
      </c>
      <c r="J6" s="32">
        <v>10513</v>
      </c>
      <c r="K6" s="32">
        <v>7</v>
      </c>
      <c r="L6" s="44">
        <f>('Flow cytometer'!J6/'Flow cytometer'!K6)*POWER(10,'Flow cytometer'!I6+2)*10.2</f>
        <v>153189428.57142857</v>
      </c>
      <c r="M6" s="32">
        <v>2</v>
      </c>
      <c r="N6" s="32">
        <v>10724</v>
      </c>
      <c r="O6" s="32">
        <v>7</v>
      </c>
      <c r="P6" s="44">
        <f>('Flow cytometer'!N6/'Flow cytometer'!O6)*POWER(10,'Flow cytometer'!M6+2)*10.2</f>
        <v>156264000</v>
      </c>
      <c r="Q6" s="47">
        <f>AVERAGE(H6,L6,P6)*Calculation!I6/Calculation!K5</f>
        <v>151371839.02345985</v>
      </c>
      <c r="R6" s="48">
        <f>STDEV(H6,L6,P6)*Calculation!I6/Calculation!K5</f>
        <v>6184100.6574148014</v>
      </c>
      <c r="S6" s="49">
        <f t="shared" si="1"/>
        <v>8.1800450872229362</v>
      </c>
      <c r="T6" s="49">
        <f t="shared" si="2"/>
        <v>18.835249877858711</v>
      </c>
      <c r="U6" s="49">
        <f t="shared" si="3"/>
        <v>8.1594442947402115</v>
      </c>
      <c r="V6" s="49">
        <f t="shared" si="4"/>
        <v>8.1852287961614376</v>
      </c>
      <c r="W6" s="49">
        <f t="shared" si="5"/>
        <v>8.1938589370585024</v>
      </c>
      <c r="X6" s="49">
        <f xml:space="preserve"> STDEV(U6:W6)*Calculation!I6/Calculation!K5</f>
        <v>1.7917666559634789E-2</v>
      </c>
    </row>
    <row r="7" spans="1:24">
      <c r="A7" s="64">
        <v>3</v>
      </c>
      <c r="B7" s="65">
        <v>80</v>
      </c>
      <c r="C7" s="65">
        <v>280</v>
      </c>
      <c r="D7" s="13">
        <f t="shared" si="0"/>
        <v>4.666666666666667</v>
      </c>
      <c r="E7" s="32">
        <v>2</v>
      </c>
      <c r="F7" s="32">
        <v>21903</v>
      </c>
      <c r="G7" s="32">
        <v>7</v>
      </c>
      <c r="H7" s="44">
        <f>('Flow cytometer'!F7/'Flow cytometer'!G7)*POWER(10,'Flow cytometer'!E7+2)*10.2</f>
        <v>319158000</v>
      </c>
      <c r="I7" s="32">
        <v>2</v>
      </c>
      <c r="J7" s="32">
        <v>18970</v>
      </c>
      <c r="K7" s="32">
        <v>7</v>
      </c>
      <c r="L7" s="44">
        <f>('Flow cytometer'!J7/'Flow cytometer'!K7)*POWER(10,'Flow cytometer'!I7+2)*10.2</f>
        <v>276420000</v>
      </c>
      <c r="M7" s="32">
        <v>2</v>
      </c>
      <c r="N7" s="32">
        <v>18595</v>
      </c>
      <c r="O7" s="32">
        <v>7</v>
      </c>
      <c r="P7" s="44">
        <f>('Flow cytometer'!N7/'Flow cytometer'!O7)*POWER(10,'Flow cytometer'!M7+2)*10.2</f>
        <v>270955714.28571427</v>
      </c>
      <c r="Q7" s="47">
        <f>AVERAGE(H7,L7,P7)*Calculation!I7/Calculation!K6</f>
        <v>289833089.82592589</v>
      </c>
      <c r="R7" s="48">
        <f>STDEV(H7,L7,P7)*Calculation!I7/Calculation!K6</f>
        <v>26484316.009851296</v>
      </c>
      <c r="S7" s="49">
        <f t="shared" si="1"/>
        <v>8.4621479667405133</v>
      </c>
      <c r="T7" s="49">
        <f t="shared" si="2"/>
        <v>19.48481576292658</v>
      </c>
      <c r="U7" s="49">
        <f t="shared" si="3"/>
        <v>8.5040057349081106</v>
      </c>
      <c r="V7" s="49">
        <f t="shared" si="4"/>
        <v>8.4415694626363234</v>
      </c>
      <c r="W7" s="49">
        <f t="shared" si="5"/>
        <v>8.4328983144426513</v>
      </c>
      <c r="X7" s="49">
        <f xml:space="preserve"> STDEV(U7:W7)*Calculation!I7/Calculation!K6</f>
        <v>3.8926540292308298E-2</v>
      </c>
    </row>
    <row r="8" spans="1:24">
      <c r="A8" s="64">
        <v>4</v>
      </c>
      <c r="B8" s="65">
        <v>80</v>
      </c>
      <c r="C8" s="65">
        <v>360</v>
      </c>
      <c r="D8" s="13">
        <f t="shared" si="0"/>
        <v>6</v>
      </c>
      <c r="E8" s="32">
        <v>3</v>
      </c>
      <c r="F8" s="32">
        <v>6670</v>
      </c>
      <c r="G8" s="32">
        <v>7</v>
      </c>
      <c r="H8" s="44">
        <f>('Flow cytometer'!F8/'Flow cytometer'!G8)*POWER(10,'Flow cytometer'!E8+2)*10.2</f>
        <v>971914285.71428561</v>
      </c>
      <c r="I8" s="32">
        <v>3</v>
      </c>
      <c r="J8" s="32">
        <v>5700</v>
      </c>
      <c r="K8" s="32">
        <v>7</v>
      </c>
      <c r="L8" s="44">
        <f>('Flow cytometer'!J8/'Flow cytometer'!K8)*POWER(10,'Flow cytometer'!I8+2)*10.2</f>
        <v>830571428.57142854</v>
      </c>
      <c r="M8" s="32">
        <v>3</v>
      </c>
      <c r="N8" s="32">
        <v>6790</v>
      </c>
      <c r="O8" s="32">
        <v>7</v>
      </c>
      <c r="P8" s="44">
        <f>('Flow cytometer'!N8/'Flow cytometer'!O8)*POWER(10,'Flow cytometer'!M8+2)*10.2</f>
        <v>989399999.99999988</v>
      </c>
      <c r="Q8" s="47">
        <f>AVERAGE(H8,L8,P8)*Calculation!I8/Calculation!K7</f>
        <v>938449433.14274704</v>
      </c>
      <c r="R8" s="48">
        <f>STDEV(H8,L8,P8)*Calculation!I8/Calculation!K7</f>
        <v>87823878.839730486</v>
      </c>
      <c r="S8" s="49">
        <f t="shared" si="1"/>
        <v>8.9724108763194046</v>
      </c>
      <c r="T8" s="49">
        <f t="shared" si="2"/>
        <v>20.659739532030702</v>
      </c>
      <c r="U8" s="49">
        <f t="shared" si="3"/>
        <v>8.9876279656642097</v>
      </c>
      <c r="V8" s="49">
        <f t="shared" si="4"/>
        <v>8.9193769874201525</v>
      </c>
      <c r="W8" s="49">
        <f t="shared" si="5"/>
        <v>8.9953719060281632</v>
      </c>
      <c r="X8" s="49">
        <f xml:space="preserve"> STDEV(U8:W8)*Calculation!I8/Calculation!K7</f>
        <v>4.2171283975397482E-2</v>
      </c>
    </row>
    <row r="9" spans="1:24">
      <c r="A9" s="64">
        <v>5</v>
      </c>
      <c r="B9" s="65">
        <v>80</v>
      </c>
      <c r="C9" s="65">
        <v>440</v>
      </c>
      <c r="D9" s="13">
        <f t="shared" si="0"/>
        <v>7.333333333333333</v>
      </c>
      <c r="E9" s="32">
        <v>3</v>
      </c>
      <c r="F9" s="32">
        <v>14872</v>
      </c>
      <c r="G9" s="32">
        <v>7</v>
      </c>
      <c r="H9" s="44">
        <f>('Flow cytometer'!F9/'Flow cytometer'!G9)*POWER(10,'Flow cytometer'!E9+2)*10.2</f>
        <v>2167062857.1428566</v>
      </c>
      <c r="I9" s="32">
        <v>3</v>
      </c>
      <c r="J9" s="32">
        <v>15220</v>
      </c>
      <c r="K9" s="32">
        <v>7</v>
      </c>
      <c r="L9" s="44">
        <f>('Flow cytometer'!J9/'Flow cytometer'!K9)*POWER(10,'Flow cytometer'!I9+2)*10.2</f>
        <v>2217771428.5714283</v>
      </c>
      <c r="M9" s="32">
        <v>3</v>
      </c>
      <c r="N9" s="32">
        <v>14719</v>
      </c>
      <c r="O9" s="32">
        <v>7</v>
      </c>
      <c r="P9" s="44">
        <f>('Flow cytometer'!N9/'Flow cytometer'!O9)*POWER(10,'Flow cytometer'!M9+2)*10.2</f>
        <v>2144768571.4285712</v>
      </c>
      <c r="Q9" s="47">
        <f>AVERAGE(H9,L9,P9)*Calculation!I9/Calculation!K8</f>
        <v>2218838959.2004852</v>
      </c>
      <c r="R9" s="48">
        <f>STDEV(H9,L9,P9)*Calculation!I9/Calculation!K8</f>
        <v>38138859.955520183</v>
      </c>
      <c r="S9" s="49">
        <f t="shared" si="1"/>
        <v>9.3461257827779392</v>
      </c>
      <c r="T9" s="49">
        <f t="shared" si="2"/>
        <v>21.52024990467179</v>
      </c>
      <c r="U9" s="49">
        <f t="shared" si="3"/>
        <v>9.3358715085115023</v>
      </c>
      <c r="V9" s="49">
        <f t="shared" si="4"/>
        <v>9.3459167841822151</v>
      </c>
      <c r="W9" s="49">
        <f t="shared" si="5"/>
        <v>9.3313804370457145</v>
      </c>
      <c r="X9" s="49">
        <f xml:space="preserve"> STDEV(U9:W9)*Calculation!I9/Calculation!K8</f>
        <v>7.5875896196953103E-3</v>
      </c>
    </row>
    <row r="10" spans="1:24">
      <c r="A10" s="64">
        <v>6</v>
      </c>
      <c r="B10" s="65">
        <v>80</v>
      </c>
      <c r="C10" s="65">
        <v>520</v>
      </c>
      <c r="D10" s="13">
        <f t="shared" si="0"/>
        <v>8.6666666666666661</v>
      </c>
      <c r="E10" s="32">
        <v>3</v>
      </c>
      <c r="F10" s="32">
        <v>16648</v>
      </c>
      <c r="G10" s="32">
        <v>7</v>
      </c>
      <c r="H10" s="44">
        <f>('Flow cytometer'!F10/'Flow cytometer'!G10)*POWER(10,'Flow cytometer'!E10+2)*10.2</f>
        <v>2425851428.5714283</v>
      </c>
      <c r="I10" s="32">
        <v>3</v>
      </c>
      <c r="J10" s="32">
        <v>17104</v>
      </c>
      <c r="K10" s="32">
        <v>7</v>
      </c>
      <c r="L10" s="44">
        <f>('Flow cytometer'!J10/'Flow cytometer'!K10)*POWER(10,'Flow cytometer'!I10+2)*10.2</f>
        <v>2492297142.8571429</v>
      </c>
      <c r="M10" s="32">
        <v>3</v>
      </c>
      <c r="N10" s="32">
        <v>15519</v>
      </c>
      <c r="O10" s="32">
        <v>7</v>
      </c>
      <c r="P10" s="44">
        <f>('Flow cytometer'!N10/'Flow cytometer'!O10)*POWER(10,'Flow cytometer'!M10+2)*10.2</f>
        <v>2261340000</v>
      </c>
      <c r="Q10" s="47">
        <f>AVERAGE(H10,L10,P10)*Calculation!I10/Calculation!K9</f>
        <v>2459947306.8686757</v>
      </c>
      <c r="R10" s="48">
        <f>STDEV(H10,L10,P10)*Calculation!I10/Calculation!K9</f>
        <v>122215893.31257781</v>
      </c>
      <c r="S10" s="49">
        <f t="shared" si="1"/>
        <v>9.3909258044280683</v>
      </c>
      <c r="T10" s="49">
        <f t="shared" si="2"/>
        <v>21.623405766689189</v>
      </c>
      <c r="U10" s="49">
        <f t="shared" si="3"/>
        <v>9.3848641989512309</v>
      </c>
      <c r="V10" s="49">
        <f t="shared" si="4"/>
        <v>9.3965998196123639</v>
      </c>
      <c r="W10" s="49">
        <f t="shared" si="5"/>
        <v>9.3543658648764065</v>
      </c>
      <c r="X10" s="49">
        <f xml:space="preserve"> STDEV(U10:W10)*Calculation!I10/Calculation!K9</f>
        <v>2.2408909029511825E-2</v>
      </c>
    </row>
    <row r="11" spans="1:24">
      <c r="A11" s="64">
        <v>7</v>
      </c>
      <c r="B11" s="65">
        <v>80</v>
      </c>
      <c r="C11" s="65">
        <v>600</v>
      </c>
      <c r="D11" s="13">
        <f t="shared" si="0"/>
        <v>10</v>
      </c>
      <c r="E11" s="32">
        <v>3</v>
      </c>
      <c r="F11" s="32">
        <v>20969</v>
      </c>
      <c r="G11" s="32">
        <v>7</v>
      </c>
      <c r="H11" s="44">
        <f>('Flow cytometer'!F11/'Flow cytometer'!G11)*POWER(10,'Flow cytometer'!E11+2)*10.2</f>
        <v>3055482857.1428571</v>
      </c>
      <c r="I11" s="32">
        <v>3</v>
      </c>
      <c r="J11" s="32">
        <v>19738</v>
      </c>
      <c r="K11" s="32">
        <v>7</v>
      </c>
      <c r="L11" s="44">
        <f>('Flow cytometer'!J11/'Flow cytometer'!K11)*POWER(10,'Flow cytometer'!I11+2)*10.2</f>
        <v>2876108571.4285717</v>
      </c>
      <c r="M11" s="32">
        <v>3</v>
      </c>
      <c r="N11" s="32">
        <v>20860</v>
      </c>
      <c r="O11" s="32">
        <v>7</v>
      </c>
      <c r="P11" s="44">
        <f>('Flow cytometer'!N11/'Flow cytometer'!O11)*POWER(10,'Flow cytometer'!M11+2)*10.2</f>
        <v>3039600000</v>
      </c>
      <c r="Q11" s="47">
        <f>AVERAGE(H11,L11,P11)*Calculation!I11/Calculation!K10</f>
        <v>3100079667.2833414</v>
      </c>
      <c r="R11" s="48">
        <f>STDEV(H11,L11,P11)*Calculation!I11/Calculation!K10</f>
        <v>102936848.70703855</v>
      </c>
      <c r="S11" s="49">
        <f t="shared" si="1"/>
        <v>9.4913728546784562</v>
      </c>
      <c r="T11" s="49">
        <f t="shared" si="2"/>
        <v>21.854693647230953</v>
      </c>
      <c r="U11" s="49">
        <f t="shared" si="3"/>
        <v>9.4850798514434587</v>
      </c>
      <c r="V11" s="49">
        <f t="shared" si="4"/>
        <v>9.4588052763848118</v>
      </c>
      <c r="W11" s="49">
        <f t="shared" si="5"/>
        <v>9.4828164358381724</v>
      </c>
      <c r="X11" s="49">
        <f xml:space="preserve"> STDEV(U11:W11)*Calculation!I11/Calculation!K10</f>
        <v>1.5094335042047156E-2</v>
      </c>
    </row>
    <row r="12" spans="1:24">
      <c r="A12" s="64">
        <v>8</v>
      </c>
      <c r="B12" s="65">
        <v>80</v>
      </c>
      <c r="C12" s="65">
        <v>680</v>
      </c>
      <c r="D12" s="13">
        <f t="shared" si="0"/>
        <v>11.333333333333334</v>
      </c>
      <c r="E12" s="32">
        <v>3</v>
      </c>
      <c r="F12" s="32">
        <v>19173</v>
      </c>
      <c r="G12" s="32">
        <v>7</v>
      </c>
      <c r="H12" s="44">
        <f>('Flow cytometer'!F12/'Flow cytometer'!G12)*POWER(10,'Flow cytometer'!E12+2)*10.2</f>
        <v>2793780000</v>
      </c>
      <c r="I12" s="32">
        <v>3</v>
      </c>
      <c r="J12" s="32">
        <v>19153</v>
      </c>
      <c r="K12" s="32">
        <v>7</v>
      </c>
      <c r="L12" s="44">
        <f>('Flow cytometer'!J12/'Flow cytometer'!K12)*POWER(10,'Flow cytometer'!I12+2)*10.2</f>
        <v>2790865714.2857141</v>
      </c>
      <c r="M12" s="32">
        <v>3</v>
      </c>
      <c r="N12" s="32">
        <v>18736</v>
      </c>
      <c r="O12" s="32">
        <v>7</v>
      </c>
      <c r="P12" s="44">
        <f>('Flow cytometer'!N12/'Flow cytometer'!O12)*POWER(10,'Flow cytometer'!M12+2)*10.2</f>
        <v>2730102857.1428566</v>
      </c>
      <c r="Q12" s="47">
        <f>AVERAGE(H12,L12,P12)*Calculation!I12/Calculation!K11</f>
        <v>2884723428.8064499</v>
      </c>
      <c r="R12" s="48">
        <f>STDEV(H12,L12,P12)*Calculation!I12/Calculation!K11</f>
        <v>37419905.830294296</v>
      </c>
      <c r="S12" s="49">
        <f t="shared" si="1"/>
        <v>9.4601041817548612</v>
      </c>
      <c r="T12" s="49">
        <f t="shared" si="2"/>
        <v>21.782694867079375</v>
      </c>
      <c r="U12" s="49">
        <f t="shared" si="3"/>
        <v>9.4461922040158797</v>
      </c>
      <c r="V12" s="49">
        <f t="shared" si="4"/>
        <v>9.4457389404127632</v>
      </c>
      <c r="W12" s="49">
        <f t="shared" si="5"/>
        <v>9.4361790094759481</v>
      </c>
      <c r="X12" s="49">
        <f xml:space="preserve"> STDEV(U12:W12)*Calculation!I12/Calculation!K11</f>
        <v>5.8856568602063753E-3</v>
      </c>
    </row>
    <row r="13" spans="1:24">
      <c r="A13" s="64">
        <v>9</v>
      </c>
      <c r="B13" s="65">
        <v>80</v>
      </c>
      <c r="C13" s="65">
        <v>760</v>
      </c>
      <c r="D13" s="13">
        <f>C13/60</f>
        <v>12.666666666666666</v>
      </c>
      <c r="E13" s="32">
        <v>3</v>
      </c>
      <c r="F13" s="32">
        <v>24262</v>
      </c>
      <c r="G13" s="32">
        <v>7</v>
      </c>
      <c r="H13" s="44">
        <f>('Flow cytometer'!F13/'Flow cytometer'!G13)*POWER(10,'Flow cytometer'!E13+2)*10.2</f>
        <v>3535319999.9999995</v>
      </c>
      <c r="I13" s="32">
        <v>3</v>
      </c>
      <c r="J13" s="32">
        <v>21592</v>
      </c>
      <c r="K13" s="32">
        <v>7</v>
      </c>
      <c r="L13" s="44">
        <f>('Flow cytometer'!J13/'Flow cytometer'!K13)*POWER(10,'Flow cytometer'!I13+2)*10.2</f>
        <v>3146262857.1428571</v>
      </c>
      <c r="M13" s="32">
        <v>3</v>
      </c>
      <c r="N13" s="32">
        <v>23791</v>
      </c>
      <c r="O13" s="32">
        <v>7</v>
      </c>
      <c r="P13" s="44">
        <f>('Flow cytometer'!N13/'Flow cytometer'!O13)*POWER(10,'Flow cytometer'!M13+2)*10.2</f>
        <v>3466688571.4285712</v>
      </c>
      <c r="Q13" s="47">
        <f>AVERAGE(H13,L13,P13)*Calculation!I13/Calculation!K12</f>
        <v>3529612448.1133509</v>
      </c>
      <c r="R13" s="48">
        <f>STDEV(H13,L13,P13)*Calculation!I13/Calculation!K12</f>
        <v>216680281.07038391</v>
      </c>
      <c r="S13" s="49">
        <f t="shared" si="1"/>
        <v>9.5477270224173392</v>
      </c>
      <c r="T13" s="49">
        <f t="shared" si="2"/>
        <v>21.984453913794592</v>
      </c>
      <c r="U13" s="49">
        <f t="shared" si="3"/>
        <v>9.5484287301398165</v>
      </c>
      <c r="V13" s="49">
        <f t="shared" si="4"/>
        <v>9.4977950032961207</v>
      </c>
      <c r="W13" s="49">
        <f t="shared" si="5"/>
        <v>9.539914828738878</v>
      </c>
      <c r="X13" s="49">
        <f xml:space="preserve"> STDEV(U13:W13)*Calculation!I13/Calculation!K12</f>
        <v>2.8288937620523178E-2</v>
      </c>
    </row>
    <row r="14" spans="1:24">
      <c r="A14" s="64">
        <v>10</v>
      </c>
      <c r="B14" s="65">
        <v>80</v>
      </c>
      <c r="C14" s="65">
        <v>840</v>
      </c>
      <c r="D14" s="13">
        <f t="shared" si="0"/>
        <v>14</v>
      </c>
      <c r="E14" s="32">
        <v>3</v>
      </c>
      <c r="F14" s="32">
        <v>21599</v>
      </c>
      <c r="G14" s="32">
        <v>7</v>
      </c>
      <c r="H14" s="44">
        <f>('Flow cytometer'!F14/'Flow cytometer'!G14)*POWER(10,'Flow cytometer'!E14+2)*10.2</f>
        <v>3147282857.1428571</v>
      </c>
      <c r="I14" s="32">
        <v>3</v>
      </c>
      <c r="J14" s="32">
        <v>22601</v>
      </c>
      <c r="K14" s="32">
        <v>7</v>
      </c>
      <c r="L14" s="44">
        <f>('Flow cytometer'!J14/'Flow cytometer'!K14)*POWER(10,'Flow cytometer'!I14+2)*10.2</f>
        <v>3293288571.4285712</v>
      </c>
      <c r="M14" s="32">
        <v>3</v>
      </c>
      <c r="N14" s="32">
        <v>22380</v>
      </c>
      <c r="O14" s="32">
        <v>7</v>
      </c>
      <c r="P14" s="44">
        <f>('Flow cytometer'!N14/'Flow cytometer'!O14)*POWER(10,'Flow cytometer'!M14+2)*10.2</f>
        <v>3261085714.2857141</v>
      </c>
      <c r="Q14" s="47">
        <f>AVERAGE(H14,L14,P14)*Calculation!I14/Calculation!K13</f>
        <v>3383057640.1118774</v>
      </c>
      <c r="R14" s="48">
        <f>STDEV(H14,L14,P14)*Calculation!I14/Calculation!K13</f>
        <v>80247595.351051062</v>
      </c>
      <c r="S14" s="49">
        <f t="shared" si="1"/>
        <v>9.5293093973059442</v>
      </c>
      <c r="T14" s="49">
        <f t="shared" si="2"/>
        <v>21.942045764764742</v>
      </c>
      <c r="U14" s="49">
        <f t="shared" si="3"/>
        <v>9.4979357762071412</v>
      </c>
      <c r="V14" s="49">
        <f t="shared" si="4"/>
        <v>9.5176297870399242</v>
      </c>
      <c r="W14" s="49">
        <f t="shared" si="5"/>
        <v>9.5133622139399918</v>
      </c>
      <c r="X14" s="49">
        <f xml:space="preserve"> STDEV(U14:W14)*Calculation!I14/Calculation!K13</f>
        <v>1.083841903289195E-2</v>
      </c>
    </row>
    <row r="15" spans="1:24">
      <c r="A15" s="64">
        <v>11</v>
      </c>
      <c r="B15" s="65">
        <v>80</v>
      </c>
      <c r="C15" s="65">
        <v>920</v>
      </c>
      <c r="D15" s="13">
        <f t="shared" si="0"/>
        <v>15.333333333333334</v>
      </c>
      <c r="E15" s="32">
        <v>3</v>
      </c>
      <c r="F15" s="32">
        <v>19406</v>
      </c>
      <c r="G15" s="32">
        <v>7</v>
      </c>
      <c r="H15" s="44">
        <f>('Flow cytometer'!F15/'Flow cytometer'!G15)*POWER(10,'Flow cytometer'!E15+2)*10.2</f>
        <v>2827731428.5714283</v>
      </c>
      <c r="I15" s="32">
        <v>3</v>
      </c>
      <c r="J15" s="32">
        <v>20718</v>
      </c>
      <c r="K15" s="32">
        <v>7</v>
      </c>
      <c r="L15" s="44">
        <f>('Flow cytometer'!J15/'Flow cytometer'!K15)*POWER(10,'Flow cytometer'!I15+2)*10.2</f>
        <v>3018908571.4285717</v>
      </c>
      <c r="M15" s="32">
        <v>3</v>
      </c>
      <c r="N15" s="32">
        <v>18734</v>
      </c>
      <c r="O15" s="32">
        <v>7</v>
      </c>
      <c r="P15" s="44">
        <f>('Flow cytometer'!N15/'Flow cytometer'!O15)*POWER(10,'Flow cytometer'!M15+2)*10.2</f>
        <v>2729811428.5714283</v>
      </c>
      <c r="Q15" s="47">
        <f>AVERAGE(H15,L15,P15)*Calculation!I15/Calculation!K14</f>
        <v>2998807508.0300632</v>
      </c>
      <c r="R15" s="48">
        <f>STDEV(H15,L15,P15)*Calculation!I15/Calculation!K14</f>
        <v>154234070.75136679</v>
      </c>
      <c r="S15" s="49">
        <f t="shared" si="1"/>
        <v>9.476948589506323</v>
      </c>
      <c r="T15" s="49">
        <f t="shared" si="2"/>
        <v>21.821480549268205</v>
      </c>
      <c r="U15" s="49">
        <f t="shared" si="3"/>
        <v>9.4514381587923637</v>
      </c>
      <c r="V15" s="49">
        <f t="shared" si="4"/>
        <v>9.4798499604807578</v>
      </c>
      <c r="W15" s="49">
        <f t="shared" si="5"/>
        <v>9.4361326476417009</v>
      </c>
      <c r="X15" s="49">
        <f xml:space="preserve"> STDEV(U15:W15)*Calculation!I15/Calculation!K14</f>
        <v>2.3269963582466701E-2</v>
      </c>
    </row>
    <row r="16" spans="1:24">
      <c r="A16" s="64">
        <v>12</v>
      </c>
      <c r="B16" s="65">
        <v>80</v>
      </c>
      <c r="C16" s="65">
        <v>1000</v>
      </c>
      <c r="D16" s="13">
        <f t="shared" si="0"/>
        <v>16.666666666666668</v>
      </c>
      <c r="E16" s="32">
        <v>3</v>
      </c>
      <c r="F16" s="32">
        <v>21508</v>
      </c>
      <c r="G16" s="32">
        <v>7</v>
      </c>
      <c r="H16" s="44">
        <f>('Flow cytometer'!F16/'Flow cytometer'!G16)*POWER(10,'Flow cytometer'!E16+2)*10.2</f>
        <v>3134022857.1428571</v>
      </c>
      <c r="I16" s="32">
        <v>3</v>
      </c>
      <c r="J16" s="32">
        <v>21290</v>
      </c>
      <c r="K16" s="32">
        <v>7</v>
      </c>
      <c r="L16" s="44">
        <f>('Flow cytometer'!J16/'Flow cytometer'!K16)*POWER(10,'Flow cytometer'!I16+2)*10.2</f>
        <v>3102257142.8571424</v>
      </c>
      <c r="M16" s="32">
        <v>3</v>
      </c>
      <c r="N16" s="32">
        <v>19351</v>
      </c>
      <c r="O16" s="32">
        <v>7</v>
      </c>
      <c r="P16" s="44">
        <f>('Flow cytometer'!N16/'Flow cytometer'!O16)*POWER(10,'Flow cytometer'!M16+2)*10.2</f>
        <v>2819717142.8571424</v>
      </c>
      <c r="Q16" s="47">
        <f>AVERAGE(H16,L16,P16)*Calculation!I16/Calculation!K15</f>
        <v>3172435570.2480412</v>
      </c>
      <c r="R16" s="48">
        <f>STDEV(H16,L16,P16)*Calculation!I16/Calculation!K15</f>
        <v>181838883.38533452</v>
      </c>
      <c r="S16" s="49">
        <f t="shared" si="1"/>
        <v>9.5013928106659122</v>
      </c>
      <c r="T16" s="49">
        <f t="shared" si="2"/>
        <v>21.877765448520126</v>
      </c>
      <c r="U16" s="49">
        <f t="shared" si="3"/>
        <v>9.4961021595527431</v>
      </c>
      <c r="V16" s="49">
        <f t="shared" si="4"/>
        <v>9.4916777931859837</v>
      </c>
      <c r="W16" s="49">
        <f t="shared" si="5"/>
        <v>9.4502055446819302</v>
      </c>
      <c r="X16" s="49">
        <f xml:space="preserve"> STDEV(U16:W16)*Calculation!I16/Calculation!K15</f>
        <v>2.6607742370233337E-2</v>
      </c>
    </row>
    <row r="17" spans="1:24">
      <c r="A17" s="64">
        <v>13</v>
      </c>
      <c r="B17" s="65">
        <v>80</v>
      </c>
      <c r="C17" s="65">
        <v>1080</v>
      </c>
      <c r="D17" s="13">
        <f t="shared" si="0"/>
        <v>18</v>
      </c>
      <c r="E17" s="32">
        <v>3</v>
      </c>
      <c r="F17" s="32">
        <v>22390</v>
      </c>
      <c r="G17" s="32">
        <v>7</v>
      </c>
      <c r="H17" s="44">
        <f>('Flow cytometer'!F17/'Flow cytometer'!G17)*POWER(10,'Flow cytometer'!E17+2)*10.2</f>
        <v>3262542857.1428571</v>
      </c>
      <c r="I17" s="32">
        <v>3</v>
      </c>
      <c r="J17" s="32">
        <v>22656</v>
      </c>
      <c r="K17" s="32">
        <v>7</v>
      </c>
      <c r="L17" s="44">
        <f>('Flow cytometer'!J17/'Flow cytometer'!K17)*POWER(10,'Flow cytometer'!I17+2)*10.2</f>
        <v>3301302857.1428571</v>
      </c>
      <c r="M17" s="32">
        <v>3</v>
      </c>
      <c r="N17" s="32">
        <v>23294</v>
      </c>
      <c r="O17" s="32">
        <v>7</v>
      </c>
      <c r="P17" s="44">
        <f>('Flow cytometer'!N17/'Flow cytometer'!O17)*POWER(10,'Flow cytometer'!M17+2)*10.2</f>
        <v>3394268571.4285712</v>
      </c>
      <c r="Q17" s="47">
        <f>AVERAGE(H17,L17,P17)*Calculation!I17/Calculation!K16</f>
        <v>3495292552.9681191</v>
      </c>
      <c r="R17" s="48">
        <f>STDEV(H17,L17,P17)*Calculation!I17/Calculation!K16</f>
        <v>71283949.495811328</v>
      </c>
      <c r="S17" s="49">
        <f t="shared" si="1"/>
        <v>9.5434835316760953</v>
      </c>
      <c r="T17" s="49">
        <f t="shared" si="2"/>
        <v>21.974682915271543</v>
      </c>
      <c r="U17" s="49">
        <f t="shared" si="3"/>
        <v>9.5135562253266919</v>
      </c>
      <c r="V17" s="49">
        <f t="shared" si="4"/>
        <v>9.5186853677573353</v>
      </c>
      <c r="W17" s="49">
        <f t="shared" si="5"/>
        <v>9.5307462028828862</v>
      </c>
      <c r="X17" s="49">
        <f xml:space="preserve"> STDEV(U17:W17)*Calculation!I17/Calculation!K16</f>
        <v>9.2925453962307107E-3</v>
      </c>
    </row>
    <row r="18" spans="1:24">
      <c r="A18" s="64">
        <v>14</v>
      </c>
      <c r="B18" s="65">
        <v>360</v>
      </c>
      <c r="C18" s="65">
        <v>1440</v>
      </c>
      <c r="D18" s="13">
        <f t="shared" si="0"/>
        <v>24</v>
      </c>
      <c r="E18" s="32">
        <v>3</v>
      </c>
      <c r="F18" s="32">
        <v>17668</v>
      </c>
      <c r="G18" s="32">
        <v>7</v>
      </c>
      <c r="H18" s="44">
        <f>('Flow cytometer'!F18/'Flow cytometer'!G18)*POWER(10,'Flow cytometer'!E18+2)*10.2</f>
        <v>2574480000</v>
      </c>
      <c r="I18" s="32">
        <v>3</v>
      </c>
      <c r="J18" s="32">
        <v>20128</v>
      </c>
      <c r="K18" s="32">
        <v>7</v>
      </c>
      <c r="L18" s="44">
        <f>('Flow cytometer'!J18/'Flow cytometer'!K18)*POWER(10,'Flow cytometer'!I18+2)*10.2</f>
        <v>2932937142.8571424</v>
      </c>
      <c r="M18" s="32">
        <v>3</v>
      </c>
      <c r="N18" s="32">
        <v>21271</v>
      </c>
      <c r="O18" s="32">
        <v>7</v>
      </c>
      <c r="P18" s="44">
        <f>('Flow cytometer'!N18/'Flow cytometer'!O18)*POWER(10,'Flow cytometer'!M18+2)*10.2</f>
        <v>3099488571.4285717</v>
      </c>
      <c r="Q18" s="47">
        <f>AVERAGE(H18,L18,P18)*Calculation!I18/Calculation!K17</f>
        <v>3033387652.1251693</v>
      </c>
      <c r="R18" s="48">
        <f>STDEV(H18,L18,P18)*Calculation!I18/Calculation!K17</f>
        <v>283661538.14774239</v>
      </c>
      <c r="S18" s="49">
        <f t="shared" si="1"/>
        <v>9.4819279145707736</v>
      </c>
      <c r="T18" s="49">
        <f t="shared" si="2"/>
        <v>21.832945868934782</v>
      </c>
      <c r="U18" s="49">
        <f t="shared" si="3"/>
        <v>9.4106895223340139</v>
      </c>
      <c r="V18" s="49">
        <f t="shared" si="4"/>
        <v>9.4673027555128364</v>
      </c>
      <c r="W18" s="49">
        <f t="shared" si="5"/>
        <v>9.4912900393407114</v>
      </c>
      <c r="X18" s="49">
        <f xml:space="preserve"> STDEV(U18:W18)*Calculation!I18/Calculation!K17</f>
        <v>4.3757991551629037E-2</v>
      </c>
    </row>
    <row r="19" spans="1:24">
      <c r="A19" s="64">
        <v>15</v>
      </c>
      <c r="B19" s="65">
        <v>375</v>
      </c>
      <c r="C19" s="65">
        <v>1815</v>
      </c>
      <c r="D19" s="13">
        <f>C19/60</f>
        <v>30.25</v>
      </c>
      <c r="E19" s="32">
        <v>3</v>
      </c>
      <c r="F19" s="32">
        <v>11467</v>
      </c>
      <c r="G19" s="32">
        <v>7</v>
      </c>
      <c r="H19" s="44">
        <f>('Flow cytometer'!F19/'Flow cytometer'!G19)*POWER(10,'Flow cytometer'!E19+2)*10.2</f>
        <v>1670905714.2857141</v>
      </c>
      <c r="I19" s="32">
        <v>3</v>
      </c>
      <c r="J19" s="32">
        <v>10868</v>
      </c>
      <c r="K19" s="32">
        <v>7</v>
      </c>
      <c r="L19" s="44">
        <f>('Flow cytometer'!J19/'Flow cytometer'!K19)*POWER(10,'Flow cytometer'!I19+2)*10.2</f>
        <v>1583622857.1428571</v>
      </c>
      <c r="M19" s="32">
        <v>3</v>
      </c>
      <c r="N19" s="32">
        <v>12699</v>
      </c>
      <c r="O19" s="32">
        <v>7</v>
      </c>
      <c r="P19" s="44">
        <f>('Flow cytometer'!N19/'Flow cytometer'!O19)*POWER(10,'Flow cytometer'!M19+2)*10.2</f>
        <v>1850425714.2857139</v>
      </c>
      <c r="Q19" s="47">
        <f>AVERAGE(H19,L19,P19)*Calculation!I19/Calculation!K18</f>
        <v>1799172177.4350004</v>
      </c>
      <c r="R19" s="48">
        <f>STDEV(H19,L19,P19)*Calculation!I19/Calculation!K18</f>
        <v>143828739.80950424</v>
      </c>
      <c r="S19" s="49">
        <f t="shared" si="1"/>
        <v>9.2550727265094572</v>
      </c>
      <c r="T19" s="49">
        <f t="shared" si="2"/>
        <v>21.310592494636435</v>
      </c>
      <c r="U19" s="49">
        <f t="shared" si="3"/>
        <v>9.2229519442556214</v>
      </c>
      <c r="V19" s="49">
        <f t="shared" si="4"/>
        <v>9.1996517614935147</v>
      </c>
      <c r="W19" s="49">
        <f t="shared" si="5"/>
        <v>9.2672716549413341</v>
      </c>
      <c r="X19" s="49">
        <f xml:space="preserve"> STDEV(U19:W19)*Calculation!I19/Calculation!K18</f>
        <v>3.6318709366792559E-2</v>
      </c>
    </row>
    <row r="20" spans="1:24">
      <c r="A20" s="64">
        <v>16</v>
      </c>
      <c r="B20" s="65">
        <v>1065</v>
      </c>
      <c r="C20" s="65">
        <v>2880</v>
      </c>
      <c r="D20" s="13">
        <f t="shared" ref="D20" si="6">C20/60</f>
        <v>48</v>
      </c>
      <c r="E20" s="32">
        <v>3</v>
      </c>
      <c r="F20" s="32">
        <v>11729</v>
      </c>
      <c r="G20" s="32">
        <v>7</v>
      </c>
      <c r="H20" s="44">
        <f>('Flow cytometer'!F20/'Flow cytometer'!G20)*POWER(10,'Flow cytometer'!E20+2)*10.2</f>
        <v>1709082857.1428571</v>
      </c>
      <c r="I20" s="32">
        <v>3</v>
      </c>
      <c r="J20" s="32">
        <v>12106</v>
      </c>
      <c r="K20" s="32">
        <v>7</v>
      </c>
      <c r="L20" s="44">
        <f>('Flow cytometer'!J20/'Flow cytometer'!K20)*POWER(10,'Flow cytometer'!I20+2)*10.2</f>
        <v>1764017142.8571427</v>
      </c>
      <c r="M20" s="32">
        <v>3</v>
      </c>
      <c r="N20" s="32">
        <v>12014</v>
      </c>
      <c r="O20" s="32">
        <v>7</v>
      </c>
      <c r="P20" s="44">
        <f>('Flow cytometer'!N20/'Flow cytometer'!O20)*POWER(10,'Flow cytometer'!M20+2)*10.2</f>
        <v>1750611428.5714285</v>
      </c>
      <c r="Q20" s="47">
        <f>AVERAGE(H20,L20,P20)*Calculation!I20/Calculation!K19</f>
        <v>1841026528.1973891</v>
      </c>
      <c r="R20" s="48">
        <f>STDEV(H20,L20,P20)*Calculation!I20/Calculation!K19</f>
        <v>30283230.886555027</v>
      </c>
      <c r="S20" s="49">
        <f t="shared" ref="S20" si="7">LOG(Q20)</f>
        <v>9.2650600464978954</v>
      </c>
      <c r="T20" s="49">
        <f t="shared" ref="T20" si="8">LN(Q20)</f>
        <v>21.333589148760773</v>
      </c>
      <c r="U20" s="49">
        <f t="shared" si="3"/>
        <v>9.2327631180324072</v>
      </c>
      <c r="V20" s="49">
        <f t="shared" si="4"/>
        <v>9.2465028013241941</v>
      </c>
      <c r="W20" s="49">
        <f t="shared" si="5"/>
        <v>9.243189759358998</v>
      </c>
      <c r="X20" s="49">
        <f xml:space="preserve"> STDEV(U20:W20)*Calculation!I20/Calculation!K19</f>
        <v>7.5811128372282677E-3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5" workbookViewId="0">
      <selection activeCell="H44" sqref="H44"/>
    </sheetView>
  </sheetViews>
  <sheetFormatPr baseColWidth="10" defaultRowHeight="14" x14ac:dyDescent="0"/>
  <sheetData>
    <row r="1" spans="1:21">
      <c r="A1" s="91"/>
      <c r="B1" s="152" t="s">
        <v>4</v>
      </c>
      <c r="C1" s="154" t="s">
        <v>198</v>
      </c>
      <c r="D1" s="155" t="s">
        <v>18</v>
      </c>
      <c r="E1" s="155"/>
      <c r="F1" s="155"/>
      <c r="G1" s="155"/>
      <c r="H1" s="155" t="s">
        <v>20</v>
      </c>
      <c r="I1" s="155"/>
      <c r="J1" s="155"/>
      <c r="K1" s="155"/>
      <c r="L1" s="155" t="s">
        <v>21</v>
      </c>
      <c r="M1" s="155"/>
      <c r="N1" s="155"/>
      <c r="O1" s="155"/>
      <c r="P1" s="92" t="s">
        <v>22</v>
      </c>
      <c r="Q1" s="92" t="s">
        <v>22</v>
      </c>
      <c r="R1" s="92" t="s">
        <v>22</v>
      </c>
      <c r="S1" s="147" t="s">
        <v>199</v>
      </c>
      <c r="T1" s="91"/>
      <c r="U1" s="91"/>
    </row>
    <row r="2" spans="1:21">
      <c r="A2" s="91"/>
      <c r="B2" s="153"/>
      <c r="C2" s="153"/>
      <c r="D2" s="93" t="s">
        <v>19</v>
      </c>
      <c r="E2" s="93" t="s">
        <v>68</v>
      </c>
      <c r="F2" s="93" t="s">
        <v>69</v>
      </c>
      <c r="G2" s="93" t="s">
        <v>70</v>
      </c>
      <c r="H2" s="93" t="s">
        <v>19</v>
      </c>
      <c r="I2" s="93" t="s">
        <v>68</v>
      </c>
      <c r="J2" s="93" t="s">
        <v>69</v>
      </c>
      <c r="K2" s="93" t="s">
        <v>70</v>
      </c>
      <c r="L2" s="93" t="s">
        <v>19</v>
      </c>
      <c r="M2" s="93" t="s">
        <v>68</v>
      </c>
      <c r="N2" s="93" t="s">
        <v>69</v>
      </c>
      <c r="O2" s="93" t="s">
        <v>71</v>
      </c>
      <c r="P2" s="94" t="s">
        <v>70</v>
      </c>
      <c r="Q2" s="94" t="s">
        <v>23</v>
      </c>
      <c r="R2" s="94" t="s">
        <v>72</v>
      </c>
      <c r="S2" s="148"/>
      <c r="T2" s="91"/>
      <c r="U2" s="91"/>
    </row>
    <row r="3" spans="1:21">
      <c r="A3" s="91"/>
      <c r="B3" s="95"/>
      <c r="C3" s="95"/>
      <c r="D3" s="96"/>
      <c r="E3" s="96"/>
      <c r="F3" s="96"/>
      <c r="G3" s="97"/>
      <c r="H3" s="96"/>
      <c r="I3" s="96"/>
      <c r="J3" s="96"/>
      <c r="K3" s="97"/>
      <c r="L3" s="96"/>
      <c r="M3" s="96"/>
      <c r="N3" s="96"/>
      <c r="O3" s="97"/>
      <c r="P3" s="149"/>
      <c r="Q3" s="150"/>
      <c r="R3" s="151"/>
      <c r="S3" s="91"/>
      <c r="T3" s="91"/>
      <c r="U3" s="91"/>
    </row>
    <row r="4" spans="1:21">
      <c r="A4" s="91"/>
      <c r="B4" s="98" t="s">
        <v>200</v>
      </c>
      <c r="C4" s="99">
        <v>500</v>
      </c>
      <c r="D4" s="99">
        <v>2</v>
      </c>
      <c r="E4" s="99">
        <v>26960</v>
      </c>
      <c r="F4" s="99">
        <v>7</v>
      </c>
      <c r="G4" s="97">
        <f t="shared" ref="G4:G19" si="0">(E4/F4)*(10.2)*POWER(10,D4+2)</f>
        <v>392845714.28571427</v>
      </c>
      <c r="H4" s="99">
        <v>2</v>
      </c>
      <c r="I4" s="99">
        <v>28998</v>
      </c>
      <c r="J4" s="99">
        <v>7</v>
      </c>
      <c r="K4" s="97">
        <f t="shared" ref="K4:K19" si="1">(I4/J4)*(10.2)*POWER(10,H4+2)</f>
        <v>422542285.71428567</v>
      </c>
      <c r="L4" s="99">
        <v>2</v>
      </c>
      <c r="M4" s="99">
        <v>29053</v>
      </c>
      <c r="N4" s="99">
        <v>7</v>
      </c>
      <c r="O4" s="97">
        <f t="shared" ref="O4:O19" si="2">(M4/N4)*(10.2)*POWER(10,L4+2)</f>
        <v>423343714.28571433</v>
      </c>
      <c r="P4" s="100">
        <f t="shared" ref="P4:P19" si="3">AVERAGE(O4,K4,G4)</f>
        <v>412910571.4285714</v>
      </c>
      <c r="Q4" s="100">
        <f t="shared" ref="Q4:Q19" si="4">STDEV(O4,K4,G4)</f>
        <v>17381295.724462688</v>
      </c>
      <c r="R4" s="101">
        <f>LOG(P4)</f>
        <v>8.6158560019212569</v>
      </c>
      <c r="S4" s="91"/>
      <c r="T4" s="91"/>
      <c r="U4" s="91"/>
    </row>
    <row r="5" spans="1:21">
      <c r="A5" s="91"/>
      <c r="B5" s="98" t="s">
        <v>201</v>
      </c>
      <c r="C5" s="99">
        <v>500</v>
      </c>
      <c r="D5" s="99">
        <v>1</v>
      </c>
      <c r="E5" s="99">
        <v>25770</v>
      </c>
      <c r="F5" s="99">
        <v>7</v>
      </c>
      <c r="G5" s="97">
        <f t="shared" si="0"/>
        <v>37550571.428571425</v>
      </c>
      <c r="H5" s="99">
        <v>1</v>
      </c>
      <c r="I5" s="99">
        <v>24760</v>
      </c>
      <c r="J5" s="99">
        <v>7</v>
      </c>
      <c r="K5" s="97">
        <f t="shared" si="1"/>
        <v>36078857.142857142</v>
      </c>
      <c r="L5" s="99">
        <v>1</v>
      </c>
      <c r="M5" s="99">
        <v>27526</v>
      </c>
      <c r="N5" s="99">
        <v>7</v>
      </c>
      <c r="O5" s="97">
        <f t="shared" si="2"/>
        <v>40109314.285714284</v>
      </c>
      <c r="P5" s="100">
        <f t="shared" si="3"/>
        <v>37912914.285714291</v>
      </c>
      <c r="Q5" s="100">
        <f t="shared" si="4"/>
        <v>2039513.5338344474</v>
      </c>
      <c r="R5" s="101">
        <f t="shared" ref="R5:R19" si="5">LOG(P5)</f>
        <v>7.5787871690098934</v>
      </c>
      <c r="S5" s="91"/>
      <c r="T5" s="91"/>
      <c r="U5" s="91"/>
    </row>
    <row r="6" spans="1:21">
      <c r="A6" s="91"/>
      <c r="B6" s="98" t="s">
        <v>202</v>
      </c>
      <c r="C6" s="99">
        <v>500</v>
      </c>
      <c r="D6" s="99">
        <v>0</v>
      </c>
      <c r="E6" s="99">
        <v>2493</v>
      </c>
      <c r="F6" s="99">
        <v>7</v>
      </c>
      <c r="G6" s="97">
        <f t="shared" si="0"/>
        <v>363265.71428571426</v>
      </c>
      <c r="H6" s="99">
        <v>0</v>
      </c>
      <c r="I6" s="99">
        <v>2459</v>
      </c>
      <c r="J6" s="99">
        <v>7</v>
      </c>
      <c r="K6" s="97">
        <f t="shared" si="1"/>
        <v>358311.42857142852</v>
      </c>
      <c r="L6" s="99">
        <v>0</v>
      </c>
      <c r="M6" s="99">
        <v>2550</v>
      </c>
      <c r="N6" s="99">
        <v>7</v>
      </c>
      <c r="O6" s="97">
        <f t="shared" si="2"/>
        <v>371571.42857142852</v>
      </c>
      <c r="P6" s="100">
        <f t="shared" si="3"/>
        <v>364382.8571428571</v>
      </c>
      <c r="Q6" s="100">
        <f t="shared" si="4"/>
        <v>6700.2168712996863</v>
      </c>
      <c r="R6" s="101">
        <f t="shared" si="5"/>
        <v>5.5615579368427026</v>
      </c>
      <c r="S6" s="102" t="s">
        <v>129</v>
      </c>
      <c r="T6" s="91"/>
      <c r="U6" s="91"/>
    </row>
    <row r="7" spans="1:21">
      <c r="A7" s="91"/>
      <c r="B7" s="98" t="s">
        <v>203</v>
      </c>
      <c r="C7" s="99">
        <v>500</v>
      </c>
      <c r="D7" s="99">
        <f>LOG(705/250)</f>
        <v>0.45024910831936105</v>
      </c>
      <c r="E7" s="99">
        <v>946</v>
      </c>
      <c r="F7" s="99">
        <v>7</v>
      </c>
      <c r="G7" s="97">
        <f>(E7/F7)*(1)*POWER(10,D7+2)</f>
        <v>38110.285714285717</v>
      </c>
      <c r="H7" s="99">
        <f>LOG(705/250)</f>
        <v>0.45024910831936105</v>
      </c>
      <c r="I7" s="99">
        <v>885</v>
      </c>
      <c r="J7" s="99">
        <v>7</v>
      </c>
      <c r="K7" s="97">
        <f t="shared" si="1"/>
        <v>363659.1428571429</v>
      </c>
      <c r="L7" s="99">
        <f>LOG(705/250)</f>
        <v>0.45024910831936105</v>
      </c>
      <c r="M7" s="99">
        <v>947</v>
      </c>
      <c r="N7" s="99">
        <v>7</v>
      </c>
      <c r="O7" s="97">
        <f>(M7/N7)*(1)*POWER(10,L7+2)</f>
        <v>38150.571428571435</v>
      </c>
      <c r="P7" s="100">
        <f t="shared" si="3"/>
        <v>146640.00000000003</v>
      </c>
      <c r="Q7" s="100">
        <f t="shared" si="4"/>
        <v>187944.09190121258</v>
      </c>
      <c r="R7" s="101">
        <f t="shared" si="5"/>
        <v>5.1662524519541604</v>
      </c>
      <c r="S7" s="91"/>
      <c r="T7" s="91"/>
      <c r="U7" s="91"/>
    </row>
    <row r="8" spans="1:21">
      <c r="A8" s="91"/>
      <c r="B8" s="98" t="s">
        <v>204</v>
      </c>
      <c r="C8" s="99">
        <v>500</v>
      </c>
      <c r="D8" s="99">
        <f>LOG(705/250)</f>
        <v>0.45024910831936105</v>
      </c>
      <c r="E8" s="99">
        <v>1248</v>
      </c>
      <c r="F8" s="99">
        <v>70</v>
      </c>
      <c r="G8" s="97">
        <f>(E8/F8)*(1)*POWER(10,D8+2)</f>
        <v>5027.6571428571442</v>
      </c>
      <c r="H8" s="99">
        <f>LOG(705/250)</f>
        <v>0.45024910831936105</v>
      </c>
      <c r="I8" s="99">
        <v>1303</v>
      </c>
      <c r="J8" s="99">
        <v>70</v>
      </c>
      <c r="K8" s="97">
        <f t="shared" si="1"/>
        <v>53542.131428571432</v>
      </c>
      <c r="L8" s="99">
        <f>LOG(705/250)</f>
        <v>0.45024910831936105</v>
      </c>
      <c r="M8" s="99">
        <v>1278</v>
      </c>
      <c r="N8" s="99">
        <v>70</v>
      </c>
      <c r="O8" s="97">
        <f>(M8/N8)*(1)*POWER(10,L8+2)</f>
        <v>5148.5142857142864</v>
      </c>
      <c r="P8" s="100">
        <f t="shared" si="3"/>
        <v>21239.434285714287</v>
      </c>
      <c r="Q8" s="100">
        <f t="shared" si="4"/>
        <v>27975.021602129429</v>
      </c>
      <c r="R8" s="101">
        <f t="shared" si="5"/>
        <v>4.3271429450900092</v>
      </c>
      <c r="S8" s="91"/>
      <c r="T8" s="91"/>
      <c r="U8" s="91"/>
    </row>
    <row r="9" spans="1:21">
      <c r="A9" s="91"/>
      <c r="B9" s="98" t="s">
        <v>205</v>
      </c>
      <c r="C9" s="99">
        <v>900</v>
      </c>
      <c r="D9" s="99">
        <v>2</v>
      </c>
      <c r="E9" s="99">
        <v>26822</v>
      </c>
      <c r="F9" s="99">
        <v>7</v>
      </c>
      <c r="G9" s="97">
        <f t="shared" si="0"/>
        <v>390834857.14285713</v>
      </c>
      <c r="H9" s="99">
        <v>2</v>
      </c>
      <c r="I9" s="99">
        <v>25452</v>
      </c>
      <c r="J9" s="99">
        <v>7</v>
      </c>
      <c r="K9" s="97">
        <f t="shared" si="1"/>
        <v>370872000</v>
      </c>
      <c r="L9" s="99">
        <v>2</v>
      </c>
      <c r="M9" s="99">
        <v>29126</v>
      </c>
      <c r="N9" s="99">
        <v>7</v>
      </c>
      <c r="O9" s="97">
        <f t="shared" si="2"/>
        <v>424407428.57142854</v>
      </c>
      <c r="P9" s="100">
        <f t="shared" si="3"/>
        <v>395371428.57142854</v>
      </c>
      <c r="Q9" s="100">
        <f t="shared" si="4"/>
        <v>27054498.485954784</v>
      </c>
      <c r="R9" s="101">
        <f t="shared" si="5"/>
        <v>8.5970052819172</v>
      </c>
      <c r="S9" s="91"/>
      <c r="T9" s="91"/>
      <c r="U9" s="91"/>
    </row>
    <row r="10" spans="1:21">
      <c r="A10" s="91"/>
      <c r="B10" s="98" t="s">
        <v>206</v>
      </c>
      <c r="C10" s="99">
        <v>900</v>
      </c>
      <c r="D10" s="99">
        <v>1</v>
      </c>
      <c r="E10" s="99">
        <v>11669</v>
      </c>
      <c r="F10" s="99">
        <v>7</v>
      </c>
      <c r="G10" s="97">
        <f t="shared" si="0"/>
        <v>17003399.999999996</v>
      </c>
      <c r="H10" s="99">
        <v>1</v>
      </c>
      <c r="I10" s="99">
        <v>13970</v>
      </c>
      <c r="J10" s="99">
        <v>20</v>
      </c>
      <c r="K10" s="97">
        <f t="shared" si="1"/>
        <v>7124700</v>
      </c>
      <c r="L10" s="99">
        <v>1</v>
      </c>
      <c r="M10" s="99">
        <v>12995</v>
      </c>
      <c r="N10" s="99">
        <v>7</v>
      </c>
      <c r="O10" s="97">
        <f t="shared" si="2"/>
        <v>18935571.428571429</v>
      </c>
      <c r="P10" s="100">
        <f t="shared" si="3"/>
        <v>14354557.142857142</v>
      </c>
      <c r="Q10" s="100">
        <f t="shared" si="4"/>
        <v>6335333.2459262749</v>
      </c>
      <c r="R10" s="101">
        <f t="shared" si="5"/>
        <v>7.1569897984779303</v>
      </c>
      <c r="S10" s="102" t="s">
        <v>129</v>
      </c>
      <c r="T10" s="91"/>
      <c r="U10" s="91"/>
    </row>
    <row r="11" spans="1:21">
      <c r="A11" s="91"/>
      <c r="B11" s="98" t="s">
        <v>207</v>
      </c>
      <c r="C11" s="99">
        <v>900</v>
      </c>
      <c r="D11" s="99">
        <v>1</v>
      </c>
      <c r="E11" s="99">
        <v>6123</v>
      </c>
      <c r="F11" s="99">
        <v>7</v>
      </c>
      <c r="G11" s="97">
        <f t="shared" si="0"/>
        <v>8922085.7142857127</v>
      </c>
      <c r="H11" s="99">
        <v>1</v>
      </c>
      <c r="I11" s="99">
        <v>6639</v>
      </c>
      <c r="J11" s="99">
        <v>7</v>
      </c>
      <c r="K11" s="97">
        <f t="shared" si="1"/>
        <v>9673971.4285714272</v>
      </c>
      <c r="L11" s="99">
        <v>1</v>
      </c>
      <c r="M11" s="99">
        <v>7021</v>
      </c>
      <c r="N11" s="99">
        <v>7</v>
      </c>
      <c r="O11" s="97">
        <f t="shared" si="2"/>
        <v>10230599.999999998</v>
      </c>
      <c r="P11" s="100">
        <f t="shared" si="3"/>
        <v>9608885.7142857127</v>
      </c>
      <c r="Q11" s="100">
        <f t="shared" si="4"/>
        <v>656680.68468065432</v>
      </c>
      <c r="R11" s="101">
        <f t="shared" si="5"/>
        <v>6.9826730280228597</v>
      </c>
      <c r="S11" s="102" t="s">
        <v>129</v>
      </c>
      <c r="T11" s="91"/>
      <c r="U11" s="91"/>
    </row>
    <row r="12" spans="1:21">
      <c r="A12" s="91"/>
      <c r="B12" s="98" t="s">
        <v>208</v>
      </c>
      <c r="C12" s="99">
        <v>900</v>
      </c>
      <c r="D12" s="99">
        <v>1</v>
      </c>
      <c r="E12" s="99">
        <v>29009</v>
      </c>
      <c r="F12" s="99">
        <v>7</v>
      </c>
      <c r="G12" s="97">
        <f t="shared" si="0"/>
        <v>42270257.142857142</v>
      </c>
      <c r="H12" s="99">
        <v>1</v>
      </c>
      <c r="I12" s="99">
        <v>29016</v>
      </c>
      <c r="J12" s="99">
        <v>7</v>
      </c>
      <c r="K12" s="97">
        <f t="shared" si="1"/>
        <v>42280457.142857134</v>
      </c>
      <c r="L12" s="99">
        <v>1</v>
      </c>
      <c r="M12" s="99">
        <v>31568</v>
      </c>
      <c r="N12" s="99">
        <v>7</v>
      </c>
      <c r="O12" s="97">
        <f t="shared" si="2"/>
        <v>45999085.714285709</v>
      </c>
      <c r="P12" s="100">
        <f t="shared" si="3"/>
        <v>43516599.999999993</v>
      </c>
      <c r="Q12" s="100">
        <f t="shared" si="4"/>
        <v>2149901.7422255576</v>
      </c>
      <c r="R12" s="101">
        <f t="shared" si="5"/>
        <v>7.6386549561082937</v>
      </c>
      <c r="S12" s="91"/>
      <c r="T12" s="91"/>
      <c r="U12" s="91"/>
    </row>
    <row r="13" spans="1:21">
      <c r="A13" s="91"/>
      <c r="B13" s="98" t="s">
        <v>209</v>
      </c>
      <c r="C13" s="99">
        <v>900</v>
      </c>
      <c r="D13" s="99">
        <v>1</v>
      </c>
      <c r="E13" s="99">
        <v>13542</v>
      </c>
      <c r="F13" s="99">
        <v>7</v>
      </c>
      <c r="G13" s="97">
        <f t="shared" si="0"/>
        <v>19732628.571428571</v>
      </c>
      <c r="H13" s="99">
        <v>1</v>
      </c>
      <c r="I13" s="99">
        <v>14070</v>
      </c>
      <c r="J13" s="99">
        <v>7</v>
      </c>
      <c r="K13" s="97">
        <f t="shared" si="1"/>
        <v>20502000</v>
      </c>
      <c r="L13" s="99">
        <v>1</v>
      </c>
      <c r="M13" s="99">
        <v>15197</v>
      </c>
      <c r="N13" s="99">
        <v>7</v>
      </c>
      <c r="O13" s="97">
        <f t="shared" si="2"/>
        <v>22144199.999999996</v>
      </c>
      <c r="P13" s="100">
        <f t="shared" si="3"/>
        <v>20792942.857142854</v>
      </c>
      <c r="Q13" s="100">
        <f t="shared" si="4"/>
        <v>1231829.938898768</v>
      </c>
      <c r="R13" s="101">
        <f t="shared" si="5"/>
        <v>7.3179159600467427</v>
      </c>
      <c r="S13" s="91"/>
      <c r="T13" s="91"/>
      <c r="U13" s="91"/>
    </row>
    <row r="14" spans="1:21">
      <c r="A14" s="91"/>
      <c r="B14" s="98" t="s">
        <v>210</v>
      </c>
      <c r="C14" s="99">
        <v>900</v>
      </c>
      <c r="D14" s="99">
        <v>1</v>
      </c>
      <c r="E14" s="99">
        <v>6282</v>
      </c>
      <c r="F14" s="99">
        <v>7</v>
      </c>
      <c r="G14" s="97">
        <f t="shared" si="0"/>
        <v>9153771.4285714291</v>
      </c>
      <c r="H14" s="99">
        <v>1</v>
      </c>
      <c r="I14" s="99">
        <v>6343</v>
      </c>
      <c r="J14" s="99">
        <v>7</v>
      </c>
      <c r="K14" s="97">
        <f t="shared" si="1"/>
        <v>9242657.1428571418</v>
      </c>
      <c r="L14" s="99">
        <v>1</v>
      </c>
      <c r="M14" s="99">
        <v>7014</v>
      </c>
      <c r="N14" s="99">
        <v>7</v>
      </c>
      <c r="O14" s="97">
        <f t="shared" si="2"/>
        <v>10220400</v>
      </c>
      <c r="P14" s="100">
        <f t="shared" si="3"/>
        <v>9538942.8571428563</v>
      </c>
      <c r="Q14" s="100">
        <f t="shared" si="4"/>
        <v>591830.25075969705</v>
      </c>
      <c r="R14" s="101">
        <f t="shared" si="5"/>
        <v>6.9795002471622967</v>
      </c>
      <c r="S14" s="91"/>
      <c r="T14" s="91"/>
      <c r="U14" s="91"/>
    </row>
    <row r="15" spans="1:21">
      <c r="A15" s="91"/>
      <c r="B15" s="98" t="s">
        <v>211</v>
      </c>
      <c r="C15" s="99">
        <v>900</v>
      </c>
      <c r="D15" s="99">
        <v>1</v>
      </c>
      <c r="E15" s="99">
        <v>3249</v>
      </c>
      <c r="F15" s="99">
        <v>7</v>
      </c>
      <c r="G15" s="97">
        <f t="shared" si="0"/>
        <v>4734257.1428571427</v>
      </c>
      <c r="H15" s="99">
        <v>1</v>
      </c>
      <c r="I15" s="99">
        <v>3902</v>
      </c>
      <c r="J15" s="99">
        <v>7</v>
      </c>
      <c r="K15" s="97">
        <f t="shared" si="1"/>
        <v>5685771.4285714282</v>
      </c>
      <c r="L15" s="99">
        <v>1</v>
      </c>
      <c r="M15" s="99">
        <v>3833</v>
      </c>
      <c r="N15" s="99">
        <v>7</v>
      </c>
      <c r="O15" s="97">
        <f t="shared" si="2"/>
        <v>5585228.5714285709</v>
      </c>
      <c r="P15" s="100">
        <f t="shared" si="3"/>
        <v>5335085.7142857136</v>
      </c>
      <c r="Q15" s="100">
        <f t="shared" si="4"/>
        <v>522755.62714741344</v>
      </c>
      <c r="R15" s="101">
        <f t="shared" si="5"/>
        <v>6.7271414012566968</v>
      </c>
      <c r="S15" s="91"/>
      <c r="T15" s="91"/>
      <c r="U15" s="91"/>
    </row>
    <row r="16" spans="1:21">
      <c r="A16" s="91"/>
      <c r="B16" s="98" t="s">
        <v>212</v>
      </c>
      <c r="C16" s="99">
        <v>900</v>
      </c>
      <c r="D16" s="99">
        <v>0</v>
      </c>
      <c r="E16" s="99">
        <v>12331</v>
      </c>
      <c r="F16" s="99">
        <v>7</v>
      </c>
      <c r="G16" s="97">
        <f t="shared" si="0"/>
        <v>1796802.857142857</v>
      </c>
      <c r="H16" s="99">
        <v>0</v>
      </c>
      <c r="I16" s="99">
        <v>13246</v>
      </c>
      <c r="J16" s="99">
        <v>7</v>
      </c>
      <c r="K16" s="97">
        <f t="shared" si="1"/>
        <v>1930131.4285714284</v>
      </c>
      <c r="L16" s="99">
        <v>0</v>
      </c>
      <c r="M16" s="99">
        <v>11745</v>
      </c>
      <c r="N16" s="99">
        <v>7</v>
      </c>
      <c r="O16" s="97">
        <f t="shared" si="2"/>
        <v>1711414.2857142854</v>
      </c>
      <c r="P16" s="100">
        <f t="shared" si="3"/>
        <v>1812782.857142857</v>
      </c>
      <c r="Q16" s="100">
        <f t="shared" si="4"/>
        <v>110230.74636823416</v>
      </c>
      <c r="R16" s="101">
        <f t="shared" si="5"/>
        <v>6.2583457855668376</v>
      </c>
      <c r="S16" s="91"/>
      <c r="T16" s="91"/>
      <c r="U16" s="91"/>
    </row>
    <row r="17" spans="1:21">
      <c r="A17" s="91"/>
      <c r="B17" s="98" t="s">
        <v>213</v>
      </c>
      <c r="C17" s="99">
        <v>900</v>
      </c>
      <c r="D17" s="99">
        <v>0</v>
      </c>
      <c r="E17" s="99">
        <v>6389</v>
      </c>
      <c r="F17" s="99">
        <v>7</v>
      </c>
      <c r="G17" s="97">
        <f t="shared" si="0"/>
        <v>930968.57142857136</v>
      </c>
      <c r="H17" s="99">
        <v>0</v>
      </c>
      <c r="I17" s="99">
        <v>4586</v>
      </c>
      <c r="J17" s="99">
        <v>7</v>
      </c>
      <c r="K17" s="97">
        <f t="shared" si="1"/>
        <v>668245.7142857142</v>
      </c>
      <c r="L17" s="99">
        <v>0</v>
      </c>
      <c r="M17" s="99">
        <v>5332</v>
      </c>
      <c r="N17" s="99">
        <v>7</v>
      </c>
      <c r="O17" s="97">
        <f t="shared" si="2"/>
        <v>776948.57142857136</v>
      </c>
      <c r="P17" s="100">
        <f t="shared" si="3"/>
        <v>792054.28571428556</v>
      </c>
      <c r="Q17" s="100">
        <f t="shared" si="4"/>
        <v>132011.21872548491</v>
      </c>
      <c r="R17" s="101">
        <f t="shared" si="5"/>
        <v>5.8987549482286576</v>
      </c>
      <c r="S17" s="91"/>
      <c r="T17" s="91"/>
      <c r="U17" s="91"/>
    </row>
    <row r="18" spans="1:21">
      <c r="A18" s="91"/>
      <c r="B18" s="98" t="s">
        <v>214</v>
      </c>
      <c r="C18" s="99">
        <v>900</v>
      </c>
      <c r="D18" s="99">
        <v>0</v>
      </c>
      <c r="E18" s="99">
        <v>2453</v>
      </c>
      <c r="F18" s="99">
        <v>7</v>
      </c>
      <c r="G18" s="97">
        <f t="shared" si="0"/>
        <v>357437.14285714284</v>
      </c>
      <c r="H18" s="99">
        <v>0</v>
      </c>
      <c r="I18" s="99">
        <v>2433</v>
      </c>
      <c r="J18" s="99">
        <v>7</v>
      </c>
      <c r="K18" s="97">
        <f t="shared" si="1"/>
        <v>354522.8571428571</v>
      </c>
      <c r="L18" s="99">
        <v>0</v>
      </c>
      <c r="M18" s="99">
        <v>1833</v>
      </c>
      <c r="N18" s="99">
        <v>7</v>
      </c>
      <c r="O18" s="97">
        <f t="shared" si="2"/>
        <v>267094.28571428568</v>
      </c>
      <c r="P18" s="100">
        <f t="shared" si="3"/>
        <v>326351.42857142852</v>
      </c>
      <c r="Q18" s="100">
        <f t="shared" si="4"/>
        <v>51338.874159841398</v>
      </c>
      <c r="R18" s="101">
        <f t="shared" si="5"/>
        <v>5.5136855181177333</v>
      </c>
      <c r="S18" s="91"/>
      <c r="T18" s="91"/>
      <c r="U18" s="91"/>
    </row>
    <row r="19" spans="1:21">
      <c r="A19" s="91"/>
      <c r="B19" s="98" t="s">
        <v>215</v>
      </c>
      <c r="C19" s="99">
        <v>900</v>
      </c>
      <c r="D19" s="99">
        <v>0</v>
      </c>
      <c r="E19" s="99">
        <v>2574</v>
      </c>
      <c r="F19" s="99">
        <v>14</v>
      </c>
      <c r="G19" s="97">
        <f t="shared" si="0"/>
        <v>187534.28571428571</v>
      </c>
      <c r="H19" s="99">
        <v>0</v>
      </c>
      <c r="I19" s="99">
        <v>1997</v>
      </c>
      <c r="J19" s="99">
        <v>14</v>
      </c>
      <c r="K19" s="97">
        <f t="shared" si="1"/>
        <v>145495.71428571429</v>
      </c>
      <c r="L19" s="99">
        <v>0</v>
      </c>
      <c r="M19" s="99">
        <v>1974</v>
      </c>
      <c r="N19" s="99">
        <v>14</v>
      </c>
      <c r="O19" s="97">
        <f t="shared" si="2"/>
        <v>143819.99999999997</v>
      </c>
      <c r="P19" s="100">
        <f t="shared" si="3"/>
        <v>158950</v>
      </c>
      <c r="Q19" s="100">
        <f t="shared" si="4"/>
        <v>24768.892727345858</v>
      </c>
      <c r="R19" s="101">
        <f t="shared" si="5"/>
        <v>5.2012605322507914</v>
      </c>
      <c r="S19" s="91"/>
      <c r="T19" s="91"/>
      <c r="U19" s="91"/>
    </row>
    <row r="20" spans="1:21" ht="15" thickBo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</row>
    <row r="21" spans="1:21" ht="43" thickBot="1">
      <c r="A21" s="91"/>
      <c r="B21" s="103" t="s">
        <v>4</v>
      </c>
      <c r="C21" s="103" t="s">
        <v>216</v>
      </c>
      <c r="D21" s="103" t="s">
        <v>217</v>
      </c>
      <c r="E21" s="103" t="s">
        <v>218</v>
      </c>
      <c r="F21" s="103" t="s">
        <v>219</v>
      </c>
      <c r="G21" s="104" t="s">
        <v>220</v>
      </c>
      <c r="H21" s="105" t="s">
        <v>221</v>
      </c>
      <c r="I21" s="105" t="s">
        <v>222</v>
      </c>
      <c r="J21" s="105" t="s">
        <v>223</v>
      </c>
      <c r="K21" s="105" t="s">
        <v>224</v>
      </c>
      <c r="L21" s="105" t="s">
        <v>225</v>
      </c>
      <c r="M21" s="102" t="s">
        <v>261</v>
      </c>
      <c r="N21" s="91"/>
      <c r="O21" s="91"/>
      <c r="P21" s="91"/>
      <c r="Q21" s="91"/>
      <c r="R21" s="91"/>
      <c r="S21" s="91"/>
      <c r="T21" s="91"/>
      <c r="U21" s="91"/>
    </row>
    <row r="22" spans="1:2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</row>
    <row r="23" spans="1:21">
      <c r="A23" s="91"/>
      <c r="B23" s="98" t="s">
        <v>200</v>
      </c>
      <c r="C23" s="106">
        <v>13.733217239379883</v>
      </c>
      <c r="D23" s="106">
        <v>13.964070320129395</v>
      </c>
      <c r="E23" s="106">
        <v>13.836982727050781</v>
      </c>
      <c r="F23" s="107">
        <f>AVERAGE(C23:E23)</f>
        <v>13.844756762186686</v>
      </c>
      <c r="G23" s="91">
        <f>150/100*180/4*1000/900</f>
        <v>75</v>
      </c>
      <c r="H23" s="109">
        <f>LOG(G23)/LOG(2)</f>
        <v>6.2288186904958813</v>
      </c>
      <c r="I23" s="106">
        <f>C23-H23</f>
        <v>7.5043985488840015</v>
      </c>
      <c r="J23" s="106">
        <f>D23-H23</f>
        <v>7.7352516296335132</v>
      </c>
      <c r="K23" s="106">
        <f>E23-H23</f>
        <v>7.6081640365548999</v>
      </c>
      <c r="L23" s="107">
        <f>AVERAGE(I23:K23)</f>
        <v>7.6159380716908052</v>
      </c>
      <c r="M23" s="91"/>
      <c r="N23" s="91"/>
      <c r="O23" s="91"/>
      <c r="P23" s="91"/>
      <c r="Q23" s="91"/>
      <c r="R23" s="91"/>
      <c r="S23" s="91"/>
      <c r="T23" s="91"/>
      <c r="U23" s="91"/>
    </row>
    <row r="24" spans="1:21">
      <c r="A24" s="91"/>
      <c r="B24" s="98" t="s">
        <v>201</v>
      </c>
      <c r="C24" s="106">
        <v>17.19072151184082</v>
      </c>
      <c r="D24" s="106">
        <v>17.22271728515625</v>
      </c>
      <c r="E24" s="106">
        <v>17.264667510986328</v>
      </c>
      <c r="F24" s="107">
        <f t="shared" ref="F24:F38" si="6">AVERAGE(C24:E24)</f>
        <v>17.226035435994465</v>
      </c>
      <c r="G24" s="91">
        <f t="shared" ref="G24:G27" si="7">150/100*180/4*1000/900</f>
        <v>75</v>
      </c>
      <c r="H24" s="109">
        <f t="shared" ref="H24:H37" si="8">LOG(G24)/LOG(2)</f>
        <v>6.2288186904958813</v>
      </c>
      <c r="I24" s="106">
        <f t="shared" ref="I24:I38" si="9">C24-H24</f>
        <v>10.961902821344939</v>
      </c>
      <c r="J24" s="106">
        <f t="shared" ref="J24:J38" si="10">D24-H24</f>
        <v>10.993898594660369</v>
      </c>
      <c r="K24" s="106">
        <f t="shared" ref="K24:K38" si="11">E24-H24</f>
        <v>11.035848820490447</v>
      </c>
      <c r="L24" s="107">
        <f t="shared" ref="L24:L38" si="12">AVERAGE(I24:K24)</f>
        <v>10.997216745498585</v>
      </c>
      <c r="M24" s="91"/>
      <c r="N24" s="91"/>
      <c r="O24" s="91"/>
      <c r="P24" s="91"/>
      <c r="Q24" s="91"/>
      <c r="R24" s="91"/>
      <c r="S24" s="91"/>
      <c r="T24" s="91"/>
      <c r="U24" s="91"/>
    </row>
    <row r="25" spans="1:21">
      <c r="A25" s="91"/>
      <c r="B25" s="98" t="s">
        <v>202</v>
      </c>
      <c r="C25" s="106">
        <v>20.897546768188477</v>
      </c>
      <c r="D25" s="106">
        <v>20.622665405273438</v>
      </c>
      <c r="E25" s="106">
        <v>20.75037956237793</v>
      </c>
      <c r="F25" s="107">
        <f t="shared" si="6"/>
        <v>20.756863911946613</v>
      </c>
      <c r="G25" s="91">
        <f t="shared" si="7"/>
        <v>75</v>
      </c>
      <c r="H25" s="109">
        <f t="shared" si="8"/>
        <v>6.2288186904958813</v>
      </c>
      <c r="I25" s="106">
        <f t="shared" si="9"/>
        <v>14.668728077692595</v>
      </c>
      <c r="J25" s="106">
        <f t="shared" si="10"/>
        <v>14.393846714777556</v>
      </c>
      <c r="K25" s="106">
        <f t="shared" si="11"/>
        <v>14.521560871882048</v>
      </c>
      <c r="L25" s="107">
        <f t="shared" si="12"/>
        <v>14.528045221450734</v>
      </c>
      <c r="M25" s="102" t="s">
        <v>129</v>
      </c>
      <c r="N25" s="91"/>
      <c r="O25" s="91"/>
      <c r="P25" s="91"/>
      <c r="Q25" s="91"/>
      <c r="R25" s="91"/>
      <c r="S25" s="91"/>
      <c r="T25" s="91"/>
      <c r="U25" s="91"/>
    </row>
    <row r="26" spans="1:21">
      <c r="A26" s="91"/>
      <c r="B26" s="98" t="s">
        <v>203</v>
      </c>
      <c r="C26" s="106">
        <v>25.132444381713867</v>
      </c>
      <c r="D26" s="106">
        <v>25.147838592529297</v>
      </c>
      <c r="E26" s="106">
        <v>25.181661605834961</v>
      </c>
      <c r="F26" s="107">
        <f t="shared" si="6"/>
        <v>25.153981526692707</v>
      </c>
      <c r="G26" s="91">
        <f t="shared" si="7"/>
        <v>75</v>
      </c>
      <c r="H26" s="109">
        <f t="shared" si="8"/>
        <v>6.2288186904958813</v>
      </c>
      <c r="I26" s="106">
        <f t="shared" si="9"/>
        <v>18.903625691217986</v>
      </c>
      <c r="J26" s="106">
        <f t="shared" si="10"/>
        <v>18.919019902033416</v>
      </c>
      <c r="K26" s="106">
        <f t="shared" si="11"/>
        <v>18.95284291533908</v>
      </c>
      <c r="L26" s="107">
        <f t="shared" si="12"/>
        <v>18.925162836196829</v>
      </c>
      <c r="M26" s="91"/>
      <c r="N26" s="91"/>
      <c r="O26" s="91"/>
      <c r="P26" s="91"/>
      <c r="Q26" s="91"/>
      <c r="R26" s="91"/>
      <c r="S26" s="91"/>
      <c r="T26" s="91"/>
      <c r="U26" s="91"/>
    </row>
    <row r="27" spans="1:21">
      <c r="A27" s="91"/>
      <c r="B27" s="98" t="s">
        <v>204</v>
      </c>
      <c r="C27" s="106">
        <v>28.415132522583008</v>
      </c>
      <c r="D27" s="106">
        <v>28.359806060791016</v>
      </c>
      <c r="E27" s="106">
        <v>28.363668441772461</v>
      </c>
      <c r="F27" s="107">
        <f t="shared" si="6"/>
        <v>28.379535675048828</v>
      </c>
      <c r="G27" s="91">
        <f t="shared" si="7"/>
        <v>75</v>
      </c>
      <c r="H27" s="109">
        <f t="shared" si="8"/>
        <v>6.2288186904958813</v>
      </c>
      <c r="I27" s="106">
        <f t="shared" si="9"/>
        <v>22.186313832087126</v>
      </c>
      <c r="J27" s="106">
        <f t="shared" si="10"/>
        <v>22.130987370295134</v>
      </c>
      <c r="K27" s="106">
        <f t="shared" si="11"/>
        <v>22.13484975127658</v>
      </c>
      <c r="L27" s="107">
        <f t="shared" si="12"/>
        <v>22.150716984552947</v>
      </c>
      <c r="M27" s="91"/>
      <c r="N27" s="91"/>
      <c r="O27" s="91"/>
      <c r="P27" s="91"/>
      <c r="Q27" s="91"/>
      <c r="R27" s="91"/>
      <c r="S27" s="91"/>
      <c r="T27" s="91"/>
      <c r="U27" s="91"/>
    </row>
    <row r="28" spans="1:21">
      <c r="A28" s="91"/>
      <c r="B28" s="98" t="s">
        <v>205</v>
      </c>
      <c r="C28" s="106">
        <v>14.936457633972168</v>
      </c>
      <c r="D28" s="106">
        <v>14.999619483947754</v>
      </c>
      <c r="E28" s="106">
        <v>15.074687957763672</v>
      </c>
      <c r="F28" s="107">
        <f t="shared" si="6"/>
        <v>15.003588358561197</v>
      </c>
      <c r="G28" s="91">
        <f>150/100*180/4*1000/500</f>
        <v>135</v>
      </c>
      <c r="H28" s="109">
        <f t="shared" si="8"/>
        <v>7.0768155970508309</v>
      </c>
      <c r="I28" s="106">
        <f t="shared" si="9"/>
        <v>7.8596420369213371</v>
      </c>
      <c r="J28" s="106">
        <f t="shared" si="10"/>
        <v>7.9228038868969231</v>
      </c>
      <c r="K28" s="106">
        <f t="shared" si="11"/>
        <v>7.997872360712841</v>
      </c>
      <c r="L28" s="107">
        <f t="shared" si="12"/>
        <v>7.9267727615103674</v>
      </c>
      <c r="M28" s="91"/>
      <c r="N28" s="91"/>
      <c r="O28" s="91"/>
      <c r="P28" s="91"/>
      <c r="Q28" s="91"/>
      <c r="R28" s="91"/>
      <c r="S28" s="91"/>
      <c r="T28" s="91"/>
      <c r="U28" s="91"/>
    </row>
    <row r="29" spans="1:21">
      <c r="A29" s="91"/>
      <c r="B29" s="98" t="s">
        <v>206</v>
      </c>
      <c r="C29" s="106">
        <v>16.18989372253418</v>
      </c>
      <c r="D29" s="106">
        <v>15.8782958984375</v>
      </c>
      <c r="E29" s="106">
        <v>15.960098266601562</v>
      </c>
      <c r="F29" s="107">
        <f t="shared" si="6"/>
        <v>16.009429295857746</v>
      </c>
      <c r="G29" s="91">
        <f t="shared" ref="G29:G37" si="13">150/100*180/4*1000/500</f>
        <v>135</v>
      </c>
      <c r="H29" s="109">
        <f t="shared" si="8"/>
        <v>7.0768155970508309</v>
      </c>
      <c r="I29" s="106">
        <f t="shared" si="9"/>
        <v>9.1130781254833479</v>
      </c>
      <c r="J29" s="106">
        <f t="shared" si="10"/>
        <v>8.8014803013866683</v>
      </c>
      <c r="K29" s="106">
        <f t="shared" si="11"/>
        <v>8.8832826695507308</v>
      </c>
      <c r="L29" s="107">
        <f t="shared" si="12"/>
        <v>8.9326136988069162</v>
      </c>
      <c r="M29" s="102" t="s">
        <v>129</v>
      </c>
      <c r="N29" s="91"/>
      <c r="O29" s="91"/>
      <c r="P29" s="91"/>
      <c r="Q29" s="91"/>
      <c r="R29" s="91"/>
      <c r="S29" s="91"/>
      <c r="T29" s="91"/>
      <c r="U29" s="91"/>
    </row>
    <row r="30" spans="1:21">
      <c r="A30" s="91"/>
      <c r="B30" s="98" t="s">
        <v>207</v>
      </c>
      <c r="C30" s="106">
        <v>16.854721069335938</v>
      </c>
      <c r="D30" s="106">
        <v>16.93126106262207</v>
      </c>
      <c r="E30" s="106">
        <v>17.05010986328125</v>
      </c>
      <c r="F30" s="107">
        <f t="shared" si="6"/>
        <v>16.945363998413086</v>
      </c>
      <c r="G30" s="91">
        <f t="shared" si="13"/>
        <v>135</v>
      </c>
      <c r="H30" s="109">
        <f t="shared" si="8"/>
        <v>7.0768155970508309</v>
      </c>
      <c r="I30" s="106">
        <f t="shared" si="9"/>
        <v>9.7779054722851058</v>
      </c>
      <c r="J30" s="106">
        <f t="shared" si="10"/>
        <v>9.8544454655712386</v>
      </c>
      <c r="K30" s="106">
        <f t="shared" si="11"/>
        <v>9.9732942662304183</v>
      </c>
      <c r="L30" s="107">
        <f t="shared" si="12"/>
        <v>9.8685484013622542</v>
      </c>
      <c r="M30" s="102" t="s">
        <v>129</v>
      </c>
      <c r="N30" s="91"/>
      <c r="O30" s="91"/>
      <c r="P30" s="91"/>
      <c r="Q30" s="91"/>
      <c r="R30" s="91"/>
      <c r="S30" s="91"/>
      <c r="T30" s="91"/>
      <c r="U30" s="91"/>
    </row>
    <row r="31" spans="1:21">
      <c r="A31" s="91"/>
      <c r="B31" s="98" t="s">
        <v>208</v>
      </c>
      <c r="C31" s="106">
        <v>18.072385787963867</v>
      </c>
      <c r="D31" s="106">
        <v>18.182058334350586</v>
      </c>
      <c r="E31" s="106">
        <v>18.225353240966797</v>
      </c>
      <c r="F31" s="107">
        <f t="shared" si="6"/>
        <v>18.159932454427082</v>
      </c>
      <c r="G31" s="91">
        <f t="shared" si="13"/>
        <v>135</v>
      </c>
      <c r="H31" s="109">
        <f t="shared" si="8"/>
        <v>7.0768155970508309</v>
      </c>
      <c r="I31" s="106">
        <f t="shared" si="9"/>
        <v>10.995570190913035</v>
      </c>
      <c r="J31" s="106">
        <f t="shared" si="10"/>
        <v>11.105242737299754</v>
      </c>
      <c r="K31" s="106">
        <f t="shared" si="11"/>
        <v>11.148537643915965</v>
      </c>
      <c r="L31" s="107">
        <f t="shared" si="12"/>
        <v>11.083116857376252</v>
      </c>
      <c r="M31" s="91"/>
      <c r="N31" s="91"/>
      <c r="O31" s="91"/>
      <c r="P31" s="91"/>
      <c r="Q31" s="91"/>
      <c r="R31" s="91"/>
      <c r="S31" s="91"/>
      <c r="T31" s="91"/>
      <c r="U31" s="91"/>
    </row>
    <row r="32" spans="1:21">
      <c r="A32" s="91"/>
      <c r="B32" s="98" t="s">
        <v>209</v>
      </c>
      <c r="C32" s="106">
        <v>20.280126571655273</v>
      </c>
      <c r="D32" s="106">
        <v>20.968669891357422</v>
      </c>
      <c r="E32" s="106">
        <v>20.306863784790039</v>
      </c>
      <c r="F32" s="107">
        <f t="shared" si="6"/>
        <v>20.518553415934246</v>
      </c>
      <c r="G32" s="91">
        <f t="shared" si="13"/>
        <v>135</v>
      </c>
      <c r="H32" s="109">
        <f t="shared" si="8"/>
        <v>7.0768155970508309</v>
      </c>
      <c r="I32" s="106">
        <f t="shared" si="9"/>
        <v>13.203310974604442</v>
      </c>
      <c r="J32" s="106">
        <f t="shared" si="10"/>
        <v>13.89185429430659</v>
      </c>
      <c r="K32" s="106">
        <f t="shared" si="11"/>
        <v>13.230048187739207</v>
      </c>
      <c r="L32" s="107">
        <f t="shared" si="12"/>
        <v>13.441737818883412</v>
      </c>
      <c r="M32" s="91"/>
      <c r="N32" s="91"/>
      <c r="O32" s="91"/>
      <c r="P32" s="91"/>
      <c r="Q32" s="91"/>
      <c r="R32" s="91"/>
      <c r="S32" s="91"/>
      <c r="T32" s="91"/>
      <c r="U32" s="91"/>
    </row>
    <row r="33" spans="1:21">
      <c r="A33" s="91"/>
      <c r="B33" s="98" t="s">
        <v>210</v>
      </c>
      <c r="C33" s="106">
        <v>21.049312591552734</v>
      </c>
      <c r="D33" s="106">
        <v>21.128349304199219</v>
      </c>
      <c r="E33" s="106">
        <v>21.15723991394043</v>
      </c>
      <c r="F33" s="107">
        <f t="shared" si="6"/>
        <v>21.111633936564129</v>
      </c>
      <c r="G33" s="91">
        <f t="shared" si="13"/>
        <v>135</v>
      </c>
      <c r="H33" s="109">
        <f t="shared" si="8"/>
        <v>7.0768155970508309</v>
      </c>
      <c r="I33" s="106">
        <f t="shared" si="9"/>
        <v>13.972496994501903</v>
      </c>
      <c r="J33" s="106">
        <f t="shared" si="10"/>
        <v>14.051533707148387</v>
      </c>
      <c r="K33" s="106">
        <f t="shared" si="11"/>
        <v>14.080424316889598</v>
      </c>
      <c r="L33" s="107">
        <f t="shared" si="12"/>
        <v>14.034818339513295</v>
      </c>
      <c r="M33" s="91"/>
      <c r="N33" s="91"/>
      <c r="O33" s="91"/>
      <c r="P33" s="91"/>
      <c r="Q33" s="91"/>
      <c r="R33" s="91"/>
      <c r="S33" s="91"/>
      <c r="T33" s="91"/>
      <c r="U33" s="91"/>
    </row>
    <row r="34" spans="1:21">
      <c r="A34" s="91"/>
      <c r="B34" s="98" t="s">
        <v>211</v>
      </c>
      <c r="C34" s="106">
        <v>21.142179489135742</v>
      </c>
      <c r="D34" s="106">
        <v>21.006193161010742</v>
      </c>
      <c r="E34" s="106">
        <v>21.079441070556641</v>
      </c>
      <c r="F34" s="107">
        <f t="shared" si="6"/>
        <v>21.075937906901043</v>
      </c>
      <c r="G34" s="91">
        <f t="shared" si="13"/>
        <v>135</v>
      </c>
      <c r="H34" s="109">
        <f t="shared" si="8"/>
        <v>7.0768155970508309</v>
      </c>
      <c r="I34" s="106">
        <f t="shared" si="9"/>
        <v>14.06536389208491</v>
      </c>
      <c r="J34" s="106">
        <f t="shared" si="10"/>
        <v>13.92937756395991</v>
      </c>
      <c r="K34" s="106">
        <f t="shared" si="11"/>
        <v>14.002625473505809</v>
      </c>
      <c r="L34" s="107">
        <f t="shared" si="12"/>
        <v>13.999122309850209</v>
      </c>
      <c r="M34" s="91"/>
      <c r="N34" s="91"/>
      <c r="O34" s="91"/>
      <c r="P34" s="91"/>
      <c r="Q34" s="91"/>
      <c r="R34" s="91"/>
      <c r="S34" s="91"/>
      <c r="T34" s="91"/>
      <c r="U34" s="91"/>
    </row>
    <row r="35" spans="1:21">
      <c r="A35" s="91"/>
      <c r="B35" s="98" t="s">
        <v>212</v>
      </c>
      <c r="C35" s="106">
        <v>22.919816970825195</v>
      </c>
      <c r="D35" s="106">
        <v>22.845848083496094</v>
      </c>
      <c r="E35" s="106">
        <v>22.840835571289062</v>
      </c>
      <c r="F35" s="107">
        <f t="shared" si="6"/>
        <v>22.868833541870117</v>
      </c>
      <c r="G35" s="91">
        <f t="shared" si="13"/>
        <v>135</v>
      </c>
      <c r="H35" s="109">
        <f t="shared" si="8"/>
        <v>7.0768155970508309</v>
      </c>
      <c r="I35" s="106">
        <f t="shared" si="9"/>
        <v>15.843001373774364</v>
      </c>
      <c r="J35" s="106">
        <f t="shared" si="10"/>
        <v>15.769032486445262</v>
      </c>
      <c r="K35" s="106">
        <f t="shared" si="11"/>
        <v>15.764019974238231</v>
      </c>
      <c r="L35" s="107">
        <f t="shared" si="12"/>
        <v>15.792017944819285</v>
      </c>
      <c r="M35" s="91"/>
      <c r="N35" s="91"/>
      <c r="O35" s="91"/>
      <c r="P35" s="91"/>
      <c r="Q35" s="91"/>
      <c r="R35" s="91"/>
      <c r="S35" s="91"/>
      <c r="T35" s="91"/>
      <c r="U35" s="91"/>
    </row>
    <row r="36" spans="1:21">
      <c r="A36" s="91"/>
      <c r="B36" s="98" t="s">
        <v>213</v>
      </c>
      <c r="C36" s="106">
        <v>23.948450088500977</v>
      </c>
      <c r="D36" s="106">
        <v>24.184415817260742</v>
      </c>
      <c r="E36" s="106">
        <v>24.005857467651367</v>
      </c>
      <c r="F36" s="107">
        <f t="shared" si="6"/>
        <v>24.046241124471027</v>
      </c>
      <c r="G36" s="91">
        <f t="shared" si="13"/>
        <v>135</v>
      </c>
      <c r="H36" s="109">
        <f t="shared" si="8"/>
        <v>7.0768155970508309</v>
      </c>
      <c r="I36" s="106">
        <f t="shared" si="9"/>
        <v>16.871634491450145</v>
      </c>
      <c r="J36" s="106">
        <f t="shared" si="10"/>
        <v>17.10760022020991</v>
      </c>
      <c r="K36" s="106">
        <f t="shared" si="11"/>
        <v>16.929041870600535</v>
      </c>
      <c r="L36" s="107">
        <f t="shared" si="12"/>
        <v>16.969425527420196</v>
      </c>
      <c r="M36" s="91"/>
      <c r="N36" s="91"/>
      <c r="O36" s="91"/>
      <c r="P36" s="91"/>
      <c r="Q36" s="91"/>
      <c r="R36" s="91"/>
      <c r="S36" s="91"/>
      <c r="T36" s="91"/>
      <c r="U36" s="91"/>
    </row>
    <row r="37" spans="1:21">
      <c r="A37" s="91"/>
      <c r="B37" s="98" t="s">
        <v>214</v>
      </c>
      <c r="C37" s="106">
        <v>24.632528305053711</v>
      </c>
      <c r="D37" s="106">
        <v>24.451812744140625</v>
      </c>
      <c r="E37" s="106">
        <v>24.549453735351562</v>
      </c>
      <c r="F37" s="107">
        <f t="shared" si="6"/>
        <v>24.544598261515301</v>
      </c>
      <c r="G37" s="91">
        <f t="shared" si="13"/>
        <v>135</v>
      </c>
      <c r="H37" s="109">
        <f t="shared" si="8"/>
        <v>7.0768155970508309</v>
      </c>
      <c r="I37" s="106">
        <f t="shared" si="9"/>
        <v>17.555712708002879</v>
      </c>
      <c r="J37" s="106">
        <f t="shared" si="10"/>
        <v>17.374997147089793</v>
      </c>
      <c r="K37" s="106">
        <f t="shared" si="11"/>
        <v>17.472638138300731</v>
      </c>
      <c r="L37" s="107">
        <f t="shared" si="12"/>
        <v>17.467782664464469</v>
      </c>
      <c r="M37" s="91"/>
      <c r="N37" s="91"/>
      <c r="O37" s="91"/>
      <c r="P37" s="91"/>
      <c r="Q37" s="91"/>
      <c r="R37" s="91"/>
      <c r="S37" s="91"/>
      <c r="T37" s="91"/>
      <c r="U37" s="91"/>
    </row>
    <row r="38" spans="1:21">
      <c r="A38" s="91"/>
      <c r="B38" s="98" t="s">
        <v>215</v>
      </c>
      <c r="C38" s="99"/>
      <c r="D38" s="99"/>
      <c r="E38" s="99"/>
      <c r="F38" s="107" t="e">
        <f t="shared" si="6"/>
        <v>#DIV/0!</v>
      </c>
      <c r="G38" s="91">
        <v>0</v>
      </c>
      <c r="H38" s="109">
        <v>0</v>
      </c>
      <c r="I38" s="106">
        <f t="shared" si="9"/>
        <v>0</v>
      </c>
      <c r="J38" s="106">
        <f t="shared" si="10"/>
        <v>0</v>
      </c>
      <c r="K38" s="106">
        <f t="shared" si="11"/>
        <v>0</v>
      </c>
      <c r="L38" s="107">
        <f t="shared" si="12"/>
        <v>0</v>
      </c>
      <c r="M38" s="91"/>
      <c r="N38" s="91"/>
      <c r="O38" s="91"/>
      <c r="P38" s="91"/>
      <c r="Q38" s="91"/>
      <c r="R38" s="91"/>
      <c r="S38" s="91"/>
      <c r="T38" s="91"/>
      <c r="U38" s="91"/>
    </row>
    <row r="39" spans="1:21">
      <c r="A39" s="91"/>
      <c r="B39" s="91"/>
      <c r="C39" s="91"/>
      <c r="D39" s="91"/>
      <c r="E39" s="91"/>
      <c r="F39" s="109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</row>
    <row r="40" spans="1:21">
      <c r="A40" s="91"/>
      <c r="B40" s="98" t="s">
        <v>262</v>
      </c>
      <c r="C40" s="106">
        <v>14.390941619873047</v>
      </c>
      <c r="D40" s="106">
        <v>14.411395072937012</v>
      </c>
      <c r="E40" s="106">
        <v>14.301624298095703</v>
      </c>
      <c r="F40" s="107">
        <f>AVERAGE(C40:E40)</f>
        <v>14.367986996968588</v>
      </c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</row>
    <row r="41" spans="1:2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</row>
    <row r="42" spans="1:21">
      <c r="A42" s="91"/>
      <c r="B42" s="102" t="s">
        <v>227</v>
      </c>
      <c r="C42" s="91" t="s">
        <v>228</v>
      </c>
      <c r="D42" s="91"/>
      <c r="E42" s="91"/>
      <c r="F42" t="s">
        <v>229</v>
      </c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</row>
    <row r="43" spans="1:21">
      <c r="A43" s="91"/>
      <c r="B43" s="91" t="s">
        <v>230</v>
      </c>
      <c r="C43" s="91" t="s">
        <v>228</v>
      </c>
      <c r="D43" s="91"/>
      <c r="E43" s="91"/>
      <c r="F43">
        <v>0.35990572856564834</v>
      </c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</row>
    <row r="44" spans="1:21">
      <c r="A44" s="91"/>
      <c r="B44" s="91"/>
      <c r="C44" s="110" t="s">
        <v>231</v>
      </c>
      <c r="D44" s="128">
        <v>-3.2483</v>
      </c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</row>
    <row r="45" spans="1:21">
      <c r="A45" s="91"/>
      <c r="B45" s="91"/>
      <c r="C45" s="110" t="s">
        <v>232</v>
      </c>
      <c r="D45" s="111">
        <v>36.023000000000003</v>
      </c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</row>
    <row r="46" spans="1:2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</row>
    <row r="47" spans="1:2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</row>
    <row r="48" spans="1:21">
      <c r="A48" s="91"/>
      <c r="B48" s="102" t="s">
        <v>233</v>
      </c>
      <c r="C48" s="91"/>
      <c r="D48" s="91">
        <f>-1+ POWER(10,-(1/D44))</f>
        <v>1.0316707994539165</v>
      </c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</row>
    <row r="49" spans="1:2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</row>
    <row r="50" spans="1:2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</row>
    <row r="51" spans="1:2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</row>
    <row r="52" spans="1:2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</row>
    <row r="53" spans="1:2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56" workbookViewId="0">
      <selection activeCell="A74" sqref="A74:H76"/>
    </sheetView>
  </sheetViews>
  <sheetFormatPr baseColWidth="10" defaultRowHeight="14" x14ac:dyDescent="0"/>
  <cols>
    <col min="16" max="16" width="13.5" customWidth="1"/>
    <col min="17" max="17" width="11.33203125" customWidth="1"/>
    <col min="19" max="19" width="15.33203125" customWidth="1"/>
  </cols>
  <sheetData>
    <row r="1" spans="1:19">
      <c r="A1" s="113" t="s">
        <v>263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19">
      <c r="A2" s="138" t="s">
        <v>4</v>
      </c>
      <c r="B2" s="138" t="s">
        <v>117</v>
      </c>
      <c r="C2" s="138" t="s">
        <v>117</v>
      </c>
      <c r="D2" s="138" t="s">
        <v>5</v>
      </c>
      <c r="E2" s="152" t="s">
        <v>236</v>
      </c>
      <c r="F2" s="152" t="s">
        <v>237</v>
      </c>
      <c r="G2" s="152" t="s">
        <v>238</v>
      </c>
      <c r="H2" s="154" t="s">
        <v>239</v>
      </c>
      <c r="I2" s="154" t="s">
        <v>240</v>
      </c>
      <c r="J2" s="154" t="s">
        <v>241</v>
      </c>
      <c r="K2" s="152" t="s">
        <v>242</v>
      </c>
      <c r="L2" s="152" t="s">
        <v>243</v>
      </c>
      <c r="M2" s="152" t="s">
        <v>244</v>
      </c>
      <c r="N2" s="152" t="s">
        <v>245</v>
      </c>
      <c r="O2" s="152" t="s">
        <v>246</v>
      </c>
      <c r="P2" s="154" t="s">
        <v>247</v>
      </c>
      <c r="Q2" s="154" t="s">
        <v>248</v>
      </c>
      <c r="R2" s="154" t="s">
        <v>249</v>
      </c>
      <c r="S2" s="154" t="s">
        <v>250</v>
      </c>
    </row>
    <row r="3" spans="1:19">
      <c r="A3" s="139"/>
      <c r="B3" s="139"/>
      <c r="C3" s="139"/>
      <c r="D3" s="139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>
      <c r="A4" s="40">
        <v>0</v>
      </c>
      <c r="B4" s="32">
        <v>10</v>
      </c>
      <c r="C4" s="32">
        <f>B4</f>
        <v>10</v>
      </c>
      <c r="D4" s="13">
        <f t="shared" ref="D4:D18" si="0">C4/60</f>
        <v>0.16666666666666666</v>
      </c>
      <c r="E4" s="106">
        <v>25.077836990356445</v>
      </c>
      <c r="F4" s="106">
        <v>25.43341064453125</v>
      </c>
      <c r="G4" s="107">
        <v>25.549121856689453</v>
      </c>
      <c r="H4" s="114">
        <f>E4-$H$76+$H$78</f>
        <v>24.826495164373643</v>
      </c>
      <c r="I4" s="114">
        <f t="shared" ref="I4:J4" si="1">F4-$H$76+$H$78</f>
        <v>25.182068818548448</v>
      </c>
      <c r="J4" s="114">
        <f t="shared" si="1"/>
        <v>25.297780030706651</v>
      </c>
      <c r="K4" s="107">
        <f>((H4-'Calibration F. prausnitzii'!$D$45)/'Calibration F. prausnitzii'!$D$44)+$B$27</f>
        <v>7.1000939088516475</v>
      </c>
      <c r="L4" s="107">
        <f>((I4-'Calibration F. prausnitzii'!$D$45)/'Calibration F. prausnitzii'!$D$44)+$B$27</f>
        <v>6.9906293722710355</v>
      </c>
      <c r="M4" s="107">
        <f>((J4-'Calibration F. prausnitzii'!$D$45)/'Calibration F. prausnitzii'!$D$44)+$B$27</f>
        <v>6.9550072892866428</v>
      </c>
      <c r="N4" s="115">
        <f>AVERAGE(K4:M4)</f>
        <v>7.015243523469775</v>
      </c>
      <c r="O4" s="115">
        <f>STDEV(K4:M4)</f>
        <v>7.5610344025311207E-2</v>
      </c>
      <c r="P4" s="116">
        <f>(AVERAGE(POWER(10,K4),POWER(10,L4),POWER(10,M4)))*(Calculation!$I4/Calculation!$K3)</f>
        <v>10464794.586243317</v>
      </c>
      <c r="Q4" s="116">
        <f>(STDEV(POWER(10,K4),POWER(10,L4),POWER(10,M4))*(Calculation!$I4/Calculation!$K3))</f>
        <v>1882064.0682155571</v>
      </c>
      <c r="R4" s="115">
        <f>LOG(P4)</f>
        <v>7.01973070797938</v>
      </c>
      <c r="S4" s="115">
        <f>O4*(Calculation!$I4/Calculation!$K3)</f>
        <v>7.5610344025311207E-2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06">
        <v>24.373428344726562</v>
      </c>
      <c r="F5" s="106">
        <v>24.346759796142578</v>
      </c>
      <c r="G5" s="107">
        <v>24.403715133666992</v>
      </c>
      <c r="H5" s="114">
        <f t="shared" ref="H5:H20" si="2">E5-$H$76+$H$78</f>
        <v>24.12208651874376</v>
      </c>
      <c r="I5" s="114">
        <f t="shared" ref="I5:I20" si="3">F5-$H$76+$H$78</f>
        <v>24.095417970159776</v>
      </c>
      <c r="J5" s="114">
        <f t="shared" ref="J5:J20" si="4">G5-$H$76+$H$78</f>
        <v>24.15237330768419</v>
      </c>
      <c r="K5" s="107">
        <f>((H5-'Calibration F. prausnitzii'!$D$45)/'Calibration F. prausnitzii'!$D$44)+$B$27</f>
        <v>7.3169484621964385</v>
      </c>
      <c r="L5" s="107">
        <f>((I5-'Calibration F. prausnitzii'!$D$45)/'Calibration F. prausnitzii'!$D$44)+$B$27</f>
        <v>7.3251584639154874</v>
      </c>
      <c r="M5" s="107">
        <f>((J5-'Calibration F. prausnitzii'!$D$45)/'Calibration F. prausnitzii'!$D$44)+$B$27</f>
        <v>7.3076245731035501</v>
      </c>
      <c r="N5" s="115">
        <f t="shared" ref="N5:N17" si="5">AVERAGE(K5:M5)</f>
        <v>7.3165771664051578</v>
      </c>
      <c r="O5" s="115">
        <f t="shared" ref="O5:O17" si="6">STDEV(K5:M5)</f>
        <v>8.7728403139862177E-3</v>
      </c>
      <c r="P5" s="116">
        <f>(AVERAGE(POWER(10,K5),POWER(10,L5),POWER(10,M5)))*(Calculation!$I5/Calculation!$K4)</f>
        <v>20731761.79763484</v>
      </c>
      <c r="Q5" s="116">
        <f>(STDEV(POWER(10,K5),POWER(10,L5),POWER(10,M5))*(Calculation!$I5/Calculation!$K4))</f>
        <v>418496.52800996735</v>
      </c>
      <c r="R5" s="115">
        <f t="shared" ref="R5:R20" si="7">LOG(P5)</f>
        <v>7.3166362102694098</v>
      </c>
      <c r="S5" s="115">
        <f>O5*(Calculation!$I5/Calculation!$K4)</f>
        <v>8.7728403139862177E-3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106">
        <v>22.981107711791992</v>
      </c>
      <c r="F6" s="106">
        <v>23.548654556274414</v>
      </c>
      <c r="G6" s="107">
        <v>23.585210800170898</v>
      </c>
      <c r="H6" s="114">
        <f t="shared" si="2"/>
        <v>22.72976588580919</v>
      </c>
      <c r="I6" s="114">
        <f t="shared" si="3"/>
        <v>23.297312730291612</v>
      </c>
      <c r="J6" s="114">
        <f t="shared" si="4"/>
        <v>23.333868974188096</v>
      </c>
      <c r="K6" s="107">
        <f>((H6-'Calibration F. prausnitzii'!$D$45)/'Calibration F. prausnitzii'!$D$44)+$B$27</f>
        <v>7.7455790175437187</v>
      </c>
      <c r="L6" s="107">
        <f>((I6-'Calibration F. prausnitzii'!$D$45)/'Calibration F. prausnitzii'!$D$44)+$B$27</f>
        <v>7.5708578266184894</v>
      </c>
      <c r="M6" s="107">
        <f>((J6-'Calibration F. prausnitzii'!$D$45)/'Calibration F. prausnitzii'!$D$44)+$B$27</f>
        <v>7.5596038648857418</v>
      </c>
      <c r="N6" s="115">
        <f t="shared" si="5"/>
        <v>7.6253469030159833</v>
      </c>
      <c r="O6" s="115">
        <f t="shared" si="6"/>
        <v>0.10427599885174152</v>
      </c>
      <c r="P6" s="116">
        <f>(AVERAGE(POWER(10,K6),POWER(10,L6),POWER(10,M6)))*(Calculation!$I6/Calculation!$K5)</f>
        <v>43084166.976306021</v>
      </c>
      <c r="Q6" s="116">
        <f>(STDEV(POWER(10,K6),POWER(10,L6),POWER(10,M6))*(Calculation!$I6/Calculation!$K5))</f>
        <v>10937529.698539944</v>
      </c>
      <c r="R6" s="115">
        <f t="shared" si="7"/>
        <v>7.6343177003664007</v>
      </c>
      <c r="S6" s="115">
        <f>O6*(Calculation!$I6/Calculation!$K5)</f>
        <v>0.10434560899783747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106">
        <v>22.116958618164062</v>
      </c>
      <c r="F7" s="106">
        <v>21.817647933959961</v>
      </c>
      <c r="G7" s="107">
        <v>22.221647262573242</v>
      </c>
      <c r="H7" s="114">
        <f t="shared" si="2"/>
        <v>21.86561679218126</v>
      </c>
      <c r="I7" s="114">
        <f t="shared" si="3"/>
        <v>21.566306107977159</v>
      </c>
      <c r="J7" s="114">
        <f t="shared" si="4"/>
        <v>21.97030543659044</v>
      </c>
      <c r="K7" s="107">
        <f>((H7-'Calibration F. prausnitzii'!$D$45)/'Calibration F. prausnitzii'!$D$44)+$B$27</f>
        <v>8.0116102011252632</v>
      </c>
      <c r="L7" s="107">
        <f>((I7-'Calibration F. prausnitzii'!$D$45)/'Calibration F. prausnitzii'!$D$44)+$B$27</f>
        <v>8.1037539945569357</v>
      </c>
      <c r="M7" s="107">
        <f>((J7-'Calibration F. prausnitzii'!$D$45)/'Calibration F. prausnitzii'!$D$44)+$B$27</f>
        <v>7.9793814524231177</v>
      </c>
      <c r="N7" s="115">
        <f t="shared" si="5"/>
        <v>8.0315818827017722</v>
      </c>
      <c r="O7" s="115">
        <f t="shared" si="6"/>
        <v>6.4546753271967003E-2</v>
      </c>
      <c r="P7" s="116">
        <f>(AVERAGE(POWER(10,K7),POWER(10,L7),POWER(10,M7)))*(Calculation!$I7/Calculation!$K6)</f>
        <v>108723551.44580676</v>
      </c>
      <c r="Q7" s="116">
        <f>(STDEV(POWER(10,K7),POWER(10,L7),POWER(10,M7))*(Calculation!$I7/Calculation!$K6))</f>
        <v>16605805.911279323</v>
      </c>
      <c r="R7" s="115">
        <f t="shared" si="7"/>
        <v>8.0363236301494343</v>
      </c>
      <c r="S7" s="115">
        <f>O7*(Calculation!$I7/Calculation!$K6)</f>
        <v>6.4767652881688828E-2</v>
      </c>
    </row>
    <row r="8" spans="1:19">
      <c r="A8" s="40">
        <v>4</v>
      </c>
      <c r="B8" s="32">
        <v>80</v>
      </c>
      <c r="C8" s="32">
        <f t="shared" ref="C8:C18" si="8">C7+B8</f>
        <v>360</v>
      </c>
      <c r="D8" s="13">
        <f t="shared" si="0"/>
        <v>6</v>
      </c>
      <c r="E8" s="106">
        <v>20.815996170043945</v>
      </c>
      <c r="F8" s="106">
        <v>21.3465576171875</v>
      </c>
      <c r="G8" s="107">
        <v>21.242753982543945</v>
      </c>
      <c r="H8" s="114">
        <f t="shared" si="2"/>
        <v>20.564654344061143</v>
      </c>
      <c r="I8" s="114">
        <f t="shared" si="3"/>
        <v>21.095215791204698</v>
      </c>
      <c r="J8" s="114">
        <f t="shared" si="4"/>
        <v>20.991412156561143</v>
      </c>
      <c r="K8" s="107">
        <f>((H8-'Calibration F. prausnitzii'!$D$45)/'Calibration F. prausnitzii'!$D$44)+$B$27</f>
        <v>8.4121158342626323</v>
      </c>
      <c r="L8" s="107">
        <f>((I8-'Calibration F. prausnitzii'!$D$45)/'Calibration F. prausnitzii'!$D$44)+$B$27</f>
        <v>8.2487807213901903</v>
      </c>
      <c r="M8" s="107">
        <f>((J8-'Calibration F. prausnitzii'!$D$45)/'Calibration F. prausnitzii'!$D$44)+$B$27</f>
        <v>8.2807370168812326</v>
      </c>
      <c r="N8" s="115">
        <f t="shared" si="5"/>
        <v>8.3138778575113523</v>
      </c>
      <c r="O8" s="115">
        <f t="shared" si="6"/>
        <v>8.6564000961811841E-2</v>
      </c>
      <c r="P8" s="116">
        <f>(AVERAGE(POWER(10,K8),POWER(10,L8),POWER(10,M8)))*(Calculation!$I8/Calculation!$K7)</f>
        <v>210586321.53146139</v>
      </c>
      <c r="Q8" s="116">
        <f>(STDEV(POWER(10,K8),POWER(10,L8),POWER(10,M8))*(Calculation!$I8/Calculation!$K7))</f>
        <v>43732865.16635745</v>
      </c>
      <c r="R8" s="115">
        <f t="shared" si="7"/>
        <v>8.3234301585098063</v>
      </c>
      <c r="S8" s="115">
        <f>O8*(Calculation!$I8/Calculation!$K7)</f>
        <v>8.7291471729132972E-2</v>
      </c>
    </row>
    <row r="9" spans="1:19">
      <c r="A9" s="40">
        <v>5</v>
      </c>
      <c r="B9" s="32">
        <v>80</v>
      </c>
      <c r="C9" s="32">
        <f t="shared" si="8"/>
        <v>440</v>
      </c>
      <c r="D9" s="13">
        <f t="shared" si="0"/>
        <v>7.333333333333333</v>
      </c>
      <c r="E9" s="106">
        <v>19.926456451416016</v>
      </c>
      <c r="F9" s="106">
        <v>20.404325485229492</v>
      </c>
      <c r="G9" s="107">
        <v>19.685419082641602</v>
      </c>
      <c r="H9" s="114">
        <f t="shared" si="2"/>
        <v>19.675114625433213</v>
      </c>
      <c r="I9" s="114">
        <f t="shared" si="3"/>
        <v>20.15298365924669</v>
      </c>
      <c r="J9" s="114">
        <f t="shared" si="4"/>
        <v>19.434077256658799</v>
      </c>
      <c r="K9" s="107">
        <f>((H9-'Calibration F. prausnitzii'!$D$45)/'Calibration F. prausnitzii'!$D$44)+$B$27</f>
        <v>8.6859636065213301</v>
      </c>
      <c r="L9" s="107">
        <f>((I9-'Calibration F. prausnitzii'!$D$45)/'Calibration F. prausnitzii'!$D$44)+$B$27</f>
        <v>8.5388500290151033</v>
      </c>
      <c r="M9" s="107">
        <f>((J9-'Calibration F. prausnitzii'!$D$45)/'Calibration F. prausnitzii'!$D$44)+$B$27</f>
        <v>8.7601677652426346</v>
      </c>
      <c r="N9" s="115">
        <f t="shared" si="5"/>
        <v>8.6616604669263566</v>
      </c>
      <c r="O9" s="115">
        <f t="shared" si="6"/>
        <v>0.11264265194787181</v>
      </c>
      <c r="P9" s="116">
        <f>(AVERAGE(POWER(10,K9),POWER(10,L9),POWER(10,M9)))*(Calculation!$I9/Calculation!$K8)</f>
        <v>478024083.83454353</v>
      </c>
      <c r="Q9" s="116">
        <f>(STDEV(POWER(10,K9),POWER(10,L9),POWER(10,M9))*(Calculation!$I9/Calculation!$K8))</f>
        <v>118039447.70534337</v>
      </c>
      <c r="R9" s="115">
        <f t="shared" si="7"/>
        <v>8.6794497778107722</v>
      </c>
      <c r="S9" s="115">
        <f>O9*(Calculation!$I9/Calculation!$K8)</f>
        <v>0.11483205490952123</v>
      </c>
    </row>
    <row r="10" spans="1:19">
      <c r="A10" s="40">
        <v>6</v>
      </c>
      <c r="B10" s="32">
        <v>80</v>
      </c>
      <c r="C10" s="32">
        <f t="shared" si="8"/>
        <v>520</v>
      </c>
      <c r="D10" s="13">
        <f t="shared" si="0"/>
        <v>8.6666666666666661</v>
      </c>
      <c r="E10" s="106">
        <v>18.506011962890625</v>
      </c>
      <c r="F10" s="106">
        <v>18.644487380981445</v>
      </c>
      <c r="G10" s="107">
        <v>18.645835876464844</v>
      </c>
      <c r="H10" s="114">
        <f t="shared" si="2"/>
        <v>18.254670136907823</v>
      </c>
      <c r="I10" s="114">
        <f t="shared" si="3"/>
        <v>18.393145554998643</v>
      </c>
      <c r="J10" s="114">
        <f t="shared" si="4"/>
        <v>18.394494050482042</v>
      </c>
      <c r="K10" s="107">
        <f>((H10-'Calibration F. prausnitzii'!$D$45)/'Calibration F. prausnitzii'!$D$44)+$B$27</f>
        <v>9.1232521847085017</v>
      </c>
      <c r="L10" s="107">
        <f>((I10-'Calibration F. prausnitzii'!$D$45)/'Calibration F. prausnitzii'!$D$44)+$B$27</f>
        <v>9.0806220649255938</v>
      </c>
      <c r="M10" s="107">
        <f>((J10-'Calibration F. prausnitzii'!$D$45)/'Calibration F. prausnitzii'!$D$44)+$B$27</f>
        <v>9.0802069260888505</v>
      </c>
      <c r="N10" s="115">
        <f t="shared" si="5"/>
        <v>9.0946937252409814</v>
      </c>
      <c r="O10" s="115">
        <f t="shared" si="6"/>
        <v>2.4733222402912227E-2</v>
      </c>
      <c r="P10" s="116">
        <f>(AVERAGE(POWER(10,K10),POWER(10,L10),POWER(10,M10)))*(Calculation!$I10/Calculation!$K9)</f>
        <v>1279740195.8820543</v>
      </c>
      <c r="Q10" s="116">
        <f>(STDEV(POWER(10,K10),POWER(10,L10),POWER(10,M10))*(Calculation!$I10/Calculation!$K9))</f>
        <v>74038463.938659504</v>
      </c>
      <c r="R10" s="115">
        <f t="shared" si="7"/>
        <v>9.1071218110953964</v>
      </c>
      <c r="S10" s="115">
        <f>O10*(Calculation!$I10/Calculation!$K9)</f>
        <v>2.542343646134736E-2</v>
      </c>
    </row>
    <row r="11" spans="1:19">
      <c r="A11" s="40">
        <v>7</v>
      </c>
      <c r="B11" s="32">
        <v>80</v>
      </c>
      <c r="C11" s="32">
        <f t="shared" si="8"/>
        <v>600</v>
      </c>
      <c r="D11" s="13">
        <f t="shared" si="0"/>
        <v>10</v>
      </c>
      <c r="E11" s="106">
        <v>17.861207962036133</v>
      </c>
      <c r="F11" s="106">
        <v>18.102710723876953</v>
      </c>
      <c r="G11" s="107">
        <v>17.965873718261719</v>
      </c>
      <c r="H11" s="114">
        <f t="shared" si="2"/>
        <v>17.609866136053331</v>
      </c>
      <c r="I11" s="114">
        <f t="shared" si="3"/>
        <v>17.851368897894151</v>
      </c>
      <c r="J11" s="114">
        <f t="shared" si="4"/>
        <v>17.714531892278917</v>
      </c>
      <c r="K11" s="107">
        <f>((H11-'Calibration F. prausnitzii'!$D$45)/'Calibration F. prausnitzii'!$D$44)+$B$27</f>
        <v>9.3217572491589813</v>
      </c>
      <c r="L11" s="107">
        <f>((I11-'Calibration F. prausnitzii'!$D$45)/'Calibration F. prausnitzii'!$D$44)+$B$27</f>
        <v>9.247409817628391</v>
      </c>
      <c r="M11" s="107">
        <f>((J11-'Calibration F. prausnitzii'!$D$45)/'Calibration F. prausnitzii'!$D$44)+$B$27</f>
        <v>9.2895355466605718</v>
      </c>
      <c r="N11" s="115">
        <f t="shared" si="5"/>
        <v>9.286234204482648</v>
      </c>
      <c r="O11" s="115">
        <f t="shared" si="6"/>
        <v>3.7283498882625776E-2</v>
      </c>
      <c r="P11" s="116">
        <f>(AVERAGE(POWER(10,K11),POWER(10,L11),POWER(10,M11)))*(Calculation!$I11/Calculation!$K10)</f>
        <v>2008817251.9739249</v>
      </c>
      <c r="Q11" s="116">
        <f>(STDEV(POWER(10,K11),POWER(10,L11),POWER(10,M11))*(Calculation!$I11/Calculation!$K10))</f>
        <v>171320158.80980113</v>
      </c>
      <c r="R11" s="115">
        <f t="shared" si="7"/>
        <v>9.3029404294962355</v>
      </c>
      <c r="S11" s="115">
        <f>O11*(Calculation!$I11/Calculation!$K10)</f>
        <v>3.8650992256091428E-2</v>
      </c>
    </row>
    <row r="12" spans="1:19">
      <c r="A12" s="40">
        <v>8</v>
      </c>
      <c r="B12" s="32">
        <v>80</v>
      </c>
      <c r="C12" s="32">
        <f t="shared" si="8"/>
        <v>680</v>
      </c>
      <c r="D12" s="13">
        <f t="shared" si="0"/>
        <v>11.333333333333334</v>
      </c>
      <c r="E12" s="106">
        <v>17.570531845092773</v>
      </c>
      <c r="F12" s="106">
        <v>17.597818374633789</v>
      </c>
      <c r="G12" s="107">
        <v>17.58195686340332</v>
      </c>
      <c r="H12" s="114">
        <f t="shared" si="2"/>
        <v>17.319190019109971</v>
      </c>
      <c r="I12" s="114">
        <f t="shared" si="3"/>
        <v>17.346476548650987</v>
      </c>
      <c r="J12" s="114">
        <f t="shared" si="4"/>
        <v>17.330615037420518</v>
      </c>
      <c r="K12" s="107">
        <f>((H12-'Calibration F. prausnitzii'!$D$45)/'Calibration F. prausnitzii'!$D$44)+$B$27</f>
        <v>9.4112428622314681</v>
      </c>
      <c r="L12" s="107">
        <f>((I12-'Calibration F. prausnitzii'!$D$45)/'Calibration F. prausnitzii'!$D$44)+$B$27</f>
        <v>9.4028426130115648</v>
      </c>
      <c r="M12" s="107">
        <f>((J12-'Calibration F. prausnitzii'!$D$45)/'Calibration F. prausnitzii'!$D$44)+$B$27</f>
        <v>9.4077256322002079</v>
      </c>
      <c r="N12" s="115">
        <f t="shared" si="5"/>
        <v>9.4072703691477475</v>
      </c>
      <c r="O12" s="115">
        <f t="shared" si="6"/>
        <v>4.2185892279675355E-3</v>
      </c>
      <c r="P12" s="116">
        <f>(AVERAGE(POWER(10,K12),POWER(10,L12),POWER(10,M12)))*(Calculation!$I12/Calculation!$K11)</f>
        <v>2658644909.7863436</v>
      </c>
      <c r="Q12" s="116">
        <f>(STDEV(POWER(10,K12),POWER(10,L12),POWER(10,M12))*(Calculation!$I12/Calculation!$K11))</f>
        <v>25804795.393286861</v>
      </c>
      <c r="R12" s="115">
        <f t="shared" si="7"/>
        <v>9.4246603365725043</v>
      </c>
      <c r="S12" s="115">
        <f>O12*(Calculation!$I12/Calculation!$K11)</f>
        <v>4.390798980108284E-3</v>
      </c>
    </row>
    <row r="13" spans="1:19">
      <c r="A13" s="40">
        <v>9</v>
      </c>
      <c r="B13" s="32">
        <v>80</v>
      </c>
      <c r="C13" s="32">
        <f t="shared" si="8"/>
        <v>760</v>
      </c>
      <c r="D13" s="13">
        <f>C13/60</f>
        <v>12.666666666666666</v>
      </c>
      <c r="E13" s="106">
        <v>17.646123886108398</v>
      </c>
      <c r="F13" s="106">
        <v>17.647361755371094</v>
      </c>
      <c r="G13" s="107">
        <v>17.671262741088867</v>
      </c>
      <c r="H13" s="114">
        <f t="shared" si="2"/>
        <v>17.394782060125596</v>
      </c>
      <c r="I13" s="114">
        <f t="shared" si="3"/>
        <v>17.396019929388292</v>
      </c>
      <c r="J13" s="114">
        <f t="shared" si="4"/>
        <v>17.419920915106065</v>
      </c>
      <c r="K13" s="107">
        <f>((H13-'Calibration F. prausnitzii'!$D$45)/'Calibration F. prausnitzii'!$D$44)+$B$27</f>
        <v>9.3879716000279707</v>
      </c>
      <c r="L13" s="107">
        <f>((I13-'Calibration F. prausnitzii'!$D$45)/'Calibration F. prausnitzii'!$D$44)+$B$27</f>
        <v>9.3875905178426127</v>
      </c>
      <c r="M13" s="107">
        <f>((J13-'Calibration F. prausnitzii'!$D$45)/'Calibration F. prausnitzii'!$D$44)+$B$27</f>
        <v>9.380232519591905</v>
      </c>
      <c r="N13" s="115">
        <f t="shared" si="5"/>
        <v>9.385264879154164</v>
      </c>
      <c r="O13" s="115">
        <f t="shared" si="6"/>
        <v>4.3623145210868386E-3</v>
      </c>
      <c r="P13" s="116">
        <f>(AVERAGE(POWER(10,K13),POWER(10,L13),POWER(10,M13)))*(Calculation!$I13/Calculation!$K12)</f>
        <v>2533586052.7840939</v>
      </c>
      <c r="Q13" s="116">
        <f>(STDEV(POWER(10,K13),POWER(10,L13),POWER(10,M13))*(Calculation!$I13/Calculation!$K12))</f>
        <v>25375277.261583488</v>
      </c>
      <c r="R13" s="115">
        <f t="shared" si="7"/>
        <v>9.4037356596093638</v>
      </c>
      <c r="S13" s="115">
        <f>O13*(Calculation!$I13/Calculation!$K12)</f>
        <v>4.5516952550749452E-3</v>
      </c>
    </row>
    <row r="14" spans="1:19">
      <c r="A14" s="40">
        <v>10</v>
      </c>
      <c r="B14" s="32">
        <v>80</v>
      </c>
      <c r="C14" s="32">
        <f t="shared" si="8"/>
        <v>840</v>
      </c>
      <c r="D14" s="13">
        <f t="shared" si="0"/>
        <v>14</v>
      </c>
      <c r="E14" s="106">
        <v>17.596372604370117</v>
      </c>
      <c r="F14" s="106">
        <v>17.731782913208008</v>
      </c>
      <c r="G14" s="107">
        <v>17.874477386474609</v>
      </c>
      <c r="H14" s="114">
        <f t="shared" si="2"/>
        <v>17.345030778387315</v>
      </c>
      <c r="I14" s="114">
        <f t="shared" si="3"/>
        <v>17.480441087225206</v>
      </c>
      <c r="J14" s="114">
        <f t="shared" si="4"/>
        <v>17.623135560491807</v>
      </c>
      <c r="K14" s="107">
        <f>((H14-'Calibration F. prausnitzii'!$D$45)/'Calibration F. prausnitzii'!$D$44)+$B$27</f>
        <v>9.4032876982141858</v>
      </c>
      <c r="L14" s="107">
        <f>((I14-'Calibration F. prausnitzii'!$D$45)/'Calibration F. prausnitzii'!$D$44)+$B$27</f>
        <v>9.3616011825481777</v>
      </c>
      <c r="M14" s="107">
        <f>((J14-'Calibration F. prausnitzii'!$D$45)/'Calibration F. prausnitzii'!$D$44)+$B$27</f>
        <v>9.3176722125433749</v>
      </c>
      <c r="N14" s="115">
        <f t="shared" si="5"/>
        <v>9.3608536977685795</v>
      </c>
      <c r="O14" s="115">
        <f t="shared" si="6"/>
        <v>4.2812637115506036E-2</v>
      </c>
      <c r="P14" s="116">
        <f>(AVERAGE(POWER(10,K14),POWER(10,L14),POWER(10,M14)))*(Calculation!$I14/Calculation!$K13)</f>
        <v>2409033846.0013018</v>
      </c>
      <c r="Q14" s="116">
        <f>(STDEV(POWER(10,K14),POWER(10,L14),POWER(10,M14))*(Calculation!$I14/Calculation!$K13))</f>
        <v>236888628.44020191</v>
      </c>
      <c r="R14" s="115">
        <f t="shared" si="7"/>
        <v>9.3818429017120586</v>
      </c>
      <c r="S14" s="115">
        <f>O14*(Calculation!$I14/Calculation!$K13)</f>
        <v>4.4787488453017603E-2</v>
      </c>
    </row>
    <row r="15" spans="1:19">
      <c r="A15" s="40">
        <v>11</v>
      </c>
      <c r="B15" s="32">
        <v>80</v>
      </c>
      <c r="C15" s="32">
        <f t="shared" si="8"/>
        <v>920</v>
      </c>
      <c r="D15" s="13">
        <f t="shared" si="0"/>
        <v>15.333333333333334</v>
      </c>
      <c r="E15" s="106">
        <v>17.555154800415039</v>
      </c>
      <c r="F15" s="106">
        <v>17.696418762207031</v>
      </c>
      <c r="G15" s="107">
        <v>17.772478103637695</v>
      </c>
      <c r="H15" s="114">
        <f t="shared" si="2"/>
        <v>17.303812974432237</v>
      </c>
      <c r="I15" s="114">
        <f t="shared" si="3"/>
        <v>17.445076936224229</v>
      </c>
      <c r="J15" s="114">
        <f t="shared" si="4"/>
        <v>17.521136277654893</v>
      </c>
      <c r="K15" s="107">
        <f>((H15-'Calibration F. prausnitzii'!$D$45)/'Calibration F. prausnitzii'!$D$44)+$B$27</f>
        <v>9.415976736774379</v>
      </c>
      <c r="L15" s="107">
        <f>((I15-'Calibration F. prausnitzii'!$D$45)/'Calibration F. prausnitzii'!$D$44)+$B$27</f>
        <v>9.3724881545030385</v>
      </c>
      <c r="M15" s="107">
        <f>((J15-'Calibration F. prausnitzii'!$D$45)/'Calibration F. prausnitzii'!$D$44)+$B$27</f>
        <v>9.3490730323066096</v>
      </c>
      <c r="N15" s="115">
        <f t="shared" si="5"/>
        <v>9.3791793078613424</v>
      </c>
      <c r="O15" s="115">
        <f t="shared" si="6"/>
        <v>3.3950037817739052E-2</v>
      </c>
      <c r="P15" s="116">
        <f>(AVERAGE(POWER(10,K15),POWER(10,L15),POWER(10,M15)))*(Calculation!$I15/Calculation!$K14)</f>
        <v>2516704738.6286383</v>
      </c>
      <c r="Q15" s="116">
        <f>(STDEV(POWER(10,K15),POWER(10,L15),POWER(10,M15))*(Calculation!$I15/Calculation!$K14))</f>
        <v>198754796.80941406</v>
      </c>
      <c r="R15" s="115">
        <f t="shared" si="7"/>
        <v>9.4008322668371829</v>
      </c>
      <c r="S15" s="115">
        <f>O15*(Calculation!$I15/Calculation!$K14)</f>
        <v>3.5612500981434037E-2</v>
      </c>
    </row>
    <row r="16" spans="1:19">
      <c r="A16" s="40">
        <v>12</v>
      </c>
      <c r="B16" s="32">
        <v>80</v>
      </c>
      <c r="C16" s="32">
        <f t="shared" si="8"/>
        <v>1000</v>
      </c>
      <c r="D16" s="13">
        <f t="shared" si="0"/>
        <v>16.666666666666668</v>
      </c>
      <c r="E16" s="106">
        <v>17.539617538452148</v>
      </c>
      <c r="F16" s="106">
        <v>17.707674026489258</v>
      </c>
      <c r="G16" s="107">
        <v>17.653450012207031</v>
      </c>
      <c r="H16" s="114">
        <f t="shared" si="2"/>
        <v>17.288275712469346</v>
      </c>
      <c r="I16" s="114">
        <f t="shared" si="3"/>
        <v>17.456332200506456</v>
      </c>
      <c r="J16" s="114">
        <f t="shared" si="4"/>
        <v>17.402108186224229</v>
      </c>
      <c r="K16" s="107">
        <f>((H16-'Calibration F. prausnitzii'!$D$45)/'Calibration F. prausnitzii'!$D$44)+$B$27</f>
        <v>9.4207599347434368</v>
      </c>
      <c r="L16" s="107">
        <f>((I16-'Calibration F. prausnitzii'!$D$45)/'Calibration F. prausnitzii'!$D$44)+$B$27</f>
        <v>9.3690231838161484</v>
      </c>
      <c r="M16" s="107">
        <f>((J16-'Calibration F. prausnitzii'!$D$45)/'Calibration F. prausnitzii'!$D$44)+$B$27</f>
        <v>9.3857162276489934</v>
      </c>
      <c r="N16" s="115">
        <f t="shared" si="5"/>
        <v>9.3918331154028589</v>
      </c>
      <c r="O16" s="115">
        <f t="shared" si="6"/>
        <v>2.6405209447628253E-2</v>
      </c>
      <c r="P16" s="116">
        <f>(AVERAGE(POWER(10,K16),POWER(10,L16),POWER(10,M16)))*(Calculation!$I16/Calculation!$K15)</f>
        <v>2593877428.6534209</v>
      </c>
      <c r="Q16" s="116">
        <f>(STDEV(POWER(10,K16),POWER(10,L16),POWER(10,M16))*(Calculation!$I16/Calculation!$K15))</f>
        <v>159201626.96460989</v>
      </c>
      <c r="R16" s="115">
        <f t="shared" si="7"/>
        <v>9.4139494500375154</v>
      </c>
      <c r="S16" s="115">
        <f>O16*(Calculation!$I16/Calculation!$K15)</f>
        <v>2.7750282283683446E-2</v>
      </c>
    </row>
    <row r="17" spans="1:19">
      <c r="A17" s="40">
        <v>13</v>
      </c>
      <c r="B17" s="32">
        <v>80</v>
      </c>
      <c r="C17" s="32">
        <f t="shared" si="8"/>
        <v>1080</v>
      </c>
      <c r="D17" s="13">
        <f t="shared" si="0"/>
        <v>18</v>
      </c>
      <c r="E17" s="106">
        <v>17.466070175170898</v>
      </c>
      <c r="F17" s="106">
        <v>17.837297439575195</v>
      </c>
      <c r="G17" s="107">
        <v>17.842721939086914</v>
      </c>
      <c r="H17" s="114">
        <f t="shared" si="2"/>
        <v>17.214728349188096</v>
      </c>
      <c r="I17" s="114">
        <f t="shared" si="3"/>
        <v>17.585955613592393</v>
      </c>
      <c r="J17" s="114">
        <f t="shared" si="4"/>
        <v>17.591380113104112</v>
      </c>
      <c r="K17" s="107">
        <f>((H17-'Calibration F. prausnitzii'!$D$45)/'Calibration F. prausnitzii'!$D$44)+$B$27</f>
        <v>9.4434017360799043</v>
      </c>
      <c r="L17" s="107">
        <f>((I17-'Calibration F. prausnitzii'!$D$45)/'Calibration F. prausnitzii'!$D$44)+$B$27</f>
        <v>9.3291181833279122</v>
      </c>
      <c r="M17" s="107">
        <f>((J17-'Calibration F. prausnitzii'!$D$45)/'Calibration F. prausnitzii'!$D$44)+$B$27</f>
        <v>9.3274482330426185</v>
      </c>
      <c r="N17" s="115">
        <f t="shared" si="5"/>
        <v>9.3666560508168129</v>
      </c>
      <c r="O17" s="115">
        <f t="shared" si="6"/>
        <v>6.6468957704819573E-2</v>
      </c>
      <c r="P17" s="116">
        <f>(AVERAGE(POWER(10,K17),POWER(10,L17),POWER(10,M17)))*(Calculation!$I17/Calculation!$K16)</f>
        <v>2469263217.3247881</v>
      </c>
      <c r="Q17" s="116">
        <f>(STDEV(POWER(10,K17),POWER(10,L17),POWER(10,M17))*(Calculation!$I17/Calculation!$K16))</f>
        <v>392974732.32074338</v>
      </c>
      <c r="R17" s="115">
        <f t="shared" si="7"/>
        <v>9.3925673871124484</v>
      </c>
      <c r="S17" s="115">
        <f>O17*(Calculation!$I17/Calculation!$K16)</f>
        <v>6.9991701100228149E-2</v>
      </c>
    </row>
    <row r="18" spans="1:19">
      <c r="A18" s="40">
        <v>14</v>
      </c>
      <c r="B18" s="32">
        <v>360</v>
      </c>
      <c r="C18" s="32">
        <f t="shared" si="8"/>
        <v>1440</v>
      </c>
      <c r="D18" s="13">
        <f t="shared" si="0"/>
        <v>24</v>
      </c>
      <c r="E18" s="106">
        <v>17.407421112060547</v>
      </c>
      <c r="F18" s="106">
        <v>17.620967864990234</v>
      </c>
      <c r="G18" s="107">
        <v>17.958415985107422</v>
      </c>
      <c r="H18" s="114">
        <f t="shared" si="2"/>
        <v>17.156079286077745</v>
      </c>
      <c r="I18" s="114">
        <f t="shared" si="3"/>
        <v>17.369626039007432</v>
      </c>
      <c r="J18" s="114">
        <f t="shared" si="4"/>
        <v>17.70707415912462</v>
      </c>
      <c r="K18" s="107">
        <f>((H18-'Calibration F. prausnitzii'!$D$45)/'Calibration F. prausnitzii'!$D$44)+$B$27</f>
        <v>9.4614570459682632</v>
      </c>
      <c r="L18" s="107">
        <f>((I18-'Calibration F. prausnitzii'!$D$45)/'Calibration F. prausnitzii'!$D$44)+$B$27</f>
        <v>9.3957159651168372</v>
      </c>
      <c r="M18" s="107">
        <f>((J18-'Calibration F. prausnitzii'!$D$45)/'Calibration F. prausnitzii'!$D$44)+$B$27</f>
        <v>9.2918314347110282</v>
      </c>
      <c r="N18" s="115">
        <f>AVERAGE(K18:M18)</f>
        <v>9.3830014819320429</v>
      </c>
      <c r="O18" s="115">
        <f>STDEV(K18:M18)</f>
        <v>8.5524590385397115E-2</v>
      </c>
      <c r="P18" s="116">
        <f>(AVERAGE(POWER(10,K18),POWER(10,L18),POWER(10,M18)))*(Calculation!$I18/Calculation!$K17)</f>
        <v>2586544881.8934498</v>
      </c>
      <c r="Q18" s="116">
        <f>(STDEV(POWER(10,K18),POWER(10,L18),POWER(10,M18))*(Calculation!$I18/Calculation!$K17))</f>
        <v>496044655.87983137</v>
      </c>
      <c r="R18" s="115">
        <f t="shared" si="7"/>
        <v>9.4127200187163176</v>
      </c>
      <c r="S18" s="115">
        <f>O18*(Calculation!$I18/Calculation!$K17)</f>
        <v>9.0425959702635103E-2</v>
      </c>
    </row>
    <row r="19" spans="1:19">
      <c r="A19" s="40">
        <v>15</v>
      </c>
      <c r="B19" s="32">
        <v>375</v>
      </c>
      <c r="C19" s="32">
        <f>C18+B19</f>
        <v>1815</v>
      </c>
      <c r="D19" s="13">
        <f>C19/60</f>
        <v>30.25</v>
      </c>
      <c r="E19" s="106">
        <v>18.071992874145508</v>
      </c>
      <c r="F19" s="106">
        <v>18.03271484375</v>
      </c>
      <c r="G19" s="107">
        <v>18.30003547668457</v>
      </c>
      <c r="H19" s="114">
        <f t="shared" si="2"/>
        <v>17.820651048162706</v>
      </c>
      <c r="I19" s="114">
        <f t="shared" si="3"/>
        <v>17.781373017767198</v>
      </c>
      <c r="J19" s="114">
        <f t="shared" si="4"/>
        <v>18.048693650701768</v>
      </c>
      <c r="K19" s="107">
        <f>((H19-'Calibration F. prausnitzii'!$D$45)/'Calibration F. prausnitzii'!$D$44)+$B$27</f>
        <v>9.256866410224962</v>
      </c>
      <c r="L19" s="107">
        <f>((I19-'Calibration F. prausnitzii'!$D$45)/'Calibration F. prausnitzii'!$D$44)+$B$27</f>
        <v>9.2689582830185806</v>
      </c>
      <c r="M19" s="107">
        <f>((J19-'Calibration F. prausnitzii'!$D$45)/'Calibration F. prausnitzii'!$D$44)+$B$27</f>
        <v>9.1866627336744404</v>
      </c>
      <c r="N19" s="115">
        <f t="shared" ref="N19:N20" si="9">AVERAGE(K19:M19)</f>
        <v>9.2374958089726604</v>
      </c>
      <c r="O19" s="115">
        <f t="shared" ref="O19:O20" si="10">STDEV(K19:M19)</f>
        <v>4.4435959594906774E-2</v>
      </c>
      <c r="P19" s="116">
        <f>(AVERAGE(POWER(10,K19),POWER(10,L19),POWER(10,M19)))*(Calculation!$I19/Calculation!$K18)</f>
        <v>1833094415.8362477</v>
      </c>
      <c r="Q19" s="116">
        <f>(STDEV(POWER(10,K19),POWER(10,L19),POWER(10,M19))*(Calculation!$I19/Calculation!$K18))</f>
        <v>182184464.79739881</v>
      </c>
      <c r="R19" s="115">
        <f t="shared" si="7"/>
        <v>9.2631848344224892</v>
      </c>
      <c r="S19" s="115">
        <f>O19*(Calculation!$I19/Calculation!$K18)</f>
        <v>4.6982561080620412E-2</v>
      </c>
    </row>
    <row r="20" spans="1:19">
      <c r="A20" s="40">
        <v>16</v>
      </c>
      <c r="B20" s="32">
        <v>1065</v>
      </c>
      <c r="C20" s="32">
        <f>C19+B20</f>
        <v>2880</v>
      </c>
      <c r="D20" s="13">
        <f t="shared" ref="D20" si="11">C20/60</f>
        <v>48</v>
      </c>
      <c r="E20" s="106">
        <v>18.388401031494141</v>
      </c>
      <c r="F20" s="106">
        <v>18.83021354675293</v>
      </c>
      <c r="G20" s="107">
        <v>18.698799133300781</v>
      </c>
      <c r="H20" s="114">
        <f t="shared" si="2"/>
        <v>18.137059205511338</v>
      </c>
      <c r="I20" s="114">
        <f t="shared" si="3"/>
        <v>18.578871720770127</v>
      </c>
      <c r="J20" s="114">
        <f t="shared" si="4"/>
        <v>18.447457307317979</v>
      </c>
      <c r="K20" s="107">
        <f>((H20-'Calibration F. prausnitzii'!$D$45)/'Calibration F. prausnitzii'!$D$44)+$B$27</f>
        <v>9.1594591026029342</v>
      </c>
      <c r="L20" s="107">
        <f>((I20-'Calibration F. prausnitzii'!$D$45)/'Calibration F. prausnitzii'!$D$44)+$B$27</f>
        <v>9.023445644714565</v>
      </c>
      <c r="M20" s="107">
        <f>((J20-'Calibration F. prausnitzii'!$D$45)/'Calibration F. prausnitzii'!$D$44)+$B$27</f>
        <v>9.0639020106450978</v>
      </c>
      <c r="N20" s="115">
        <f t="shared" si="9"/>
        <v>9.0822689193208657</v>
      </c>
      <c r="O20" s="115">
        <f t="shared" si="10"/>
        <v>6.9842126846308097E-2</v>
      </c>
      <c r="P20" s="116">
        <f>(AVERAGE(POWER(10,K20),POWER(10,L20),POWER(10,M20)))*(Calculation!$I20/Calculation!$K19)</f>
        <v>1289080866.5427301</v>
      </c>
      <c r="Q20" s="116">
        <f>(STDEV(POWER(10,K20),POWER(10,L20),POWER(10,M20))*(Calculation!$I20/Calculation!$K19))</f>
        <v>212600555.03348318</v>
      </c>
      <c r="R20" s="115">
        <f t="shared" si="7"/>
        <v>9.1102801623430736</v>
      </c>
      <c r="S20" s="115">
        <f>O20*(Calculation!$I20/Calculation!$K19)</f>
        <v>7.3844742421928414E-2</v>
      </c>
    </row>
    <row r="21" spans="1:19">
      <c r="A21" s="10"/>
      <c r="B21" s="10"/>
      <c r="C21" s="10"/>
      <c r="D21" s="129"/>
      <c r="E21" s="119"/>
      <c r="F21" s="119"/>
      <c r="G21" s="120"/>
      <c r="H21" s="121"/>
      <c r="I21" s="121"/>
      <c r="J21" s="121"/>
      <c r="K21" s="120"/>
      <c r="L21" s="120"/>
      <c r="M21" s="120"/>
      <c r="N21" s="122"/>
      <c r="O21" s="122"/>
      <c r="P21" s="123"/>
      <c r="Q21" s="123"/>
      <c r="R21" s="122"/>
      <c r="S21" s="122"/>
    </row>
    <row r="22" spans="1:19"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</row>
    <row r="23" spans="1:19"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</row>
    <row r="24" spans="1:19"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</row>
    <row r="25" spans="1:19"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</row>
    <row r="26" spans="1:19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</row>
    <row r="27" spans="1:19">
      <c r="A27" s="110" t="s">
        <v>251</v>
      </c>
      <c r="B27" s="124">
        <f>LOG(B28)</f>
        <v>3.6532125137753435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</row>
    <row r="28" spans="1:19">
      <c r="A28" s="91" t="s">
        <v>264</v>
      </c>
      <c r="B28" s="91">
        <f>20*1800/4/2</f>
        <v>4500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</row>
    <row r="29" spans="1:1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</row>
    <row r="30" spans="1:19">
      <c r="A30" s="130">
        <v>25.379009249999999</v>
      </c>
      <c r="B30" s="91"/>
      <c r="C30" s="91"/>
      <c r="D30" s="91"/>
      <c r="E30" s="126">
        <v>14.390941619873047</v>
      </c>
      <c r="F30" s="114">
        <v>14.411395072937012</v>
      </c>
      <c r="G30" s="114">
        <v>14.301624298095703</v>
      </c>
      <c r="H30" s="114">
        <f>AVERAGE(E30:G30)</f>
        <v>14.367986996968588</v>
      </c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</row>
    <row r="31" spans="1:19">
      <c r="A31" s="130">
        <v>24.38165283</v>
      </c>
      <c r="C31" s="91"/>
      <c r="D31" s="91"/>
      <c r="E31" s="126">
        <v>13.95859432220459</v>
      </c>
      <c r="F31" s="114">
        <v>13.837825775146484</v>
      </c>
      <c r="G31" s="114">
        <v>14.070391654968262</v>
      </c>
      <c r="H31" s="114">
        <f t="shared" ref="H31:H76" si="12">AVERAGE(E31:G31)</f>
        <v>13.955603917439779</v>
      </c>
    </row>
    <row r="32" spans="1:19">
      <c r="A32" s="130">
        <v>24.641210560000001</v>
      </c>
      <c r="E32" s="126">
        <v>14.085451126098633</v>
      </c>
      <c r="F32" s="114">
        <v>14.111333847045898</v>
      </c>
      <c r="G32" s="114">
        <v>14.077548980712891</v>
      </c>
      <c r="H32" s="114">
        <f t="shared" si="12"/>
        <v>14.091444651285807</v>
      </c>
    </row>
    <row r="33" spans="1:8">
      <c r="A33" s="125" t="s">
        <v>265</v>
      </c>
      <c r="E33" s="126">
        <v>13.838394165039062</v>
      </c>
      <c r="F33" s="114">
        <v>14.03663444519043</v>
      </c>
      <c r="G33" s="114">
        <v>13.97320556640625</v>
      </c>
      <c r="H33" s="114">
        <f t="shared" si="12"/>
        <v>13.949411392211914</v>
      </c>
    </row>
    <row r="34" spans="1:8">
      <c r="A34" s="125" t="s">
        <v>266</v>
      </c>
      <c r="E34" s="126">
        <v>11.618982315063477</v>
      </c>
      <c r="F34" s="114">
        <v>11.485271453857422</v>
      </c>
      <c r="G34" s="114">
        <v>11.470490455627441</v>
      </c>
      <c r="H34" s="114">
        <f t="shared" si="12"/>
        <v>11.524914741516113</v>
      </c>
    </row>
    <row r="35" spans="1:8">
      <c r="A35" s="125" t="s">
        <v>267</v>
      </c>
      <c r="E35" s="126">
        <v>14.489413261413574</v>
      </c>
      <c r="F35" s="114">
        <v>14.78773021697998</v>
      </c>
      <c r="G35" s="114">
        <v>14.708776473999023</v>
      </c>
      <c r="H35" s="114">
        <f t="shared" si="12"/>
        <v>14.661973317464193</v>
      </c>
    </row>
    <row r="36" spans="1:8">
      <c r="A36" s="125" t="s">
        <v>268</v>
      </c>
      <c r="E36" s="126">
        <v>14.322483062744141</v>
      </c>
      <c r="F36" s="114">
        <v>14.812288284301758</v>
      </c>
      <c r="G36" s="114">
        <v>14.651363372802734</v>
      </c>
      <c r="H36" s="114">
        <f t="shared" si="12"/>
        <v>14.595378239949545</v>
      </c>
    </row>
    <row r="37" spans="1:8">
      <c r="A37" s="125" t="s">
        <v>269</v>
      </c>
      <c r="E37" s="126">
        <v>13.079689025878906</v>
      </c>
      <c r="F37" s="114">
        <v>13.297797203063965</v>
      </c>
      <c r="G37" s="114">
        <v>14.48363208770752</v>
      </c>
      <c r="H37" s="114">
        <f t="shared" si="12"/>
        <v>13.620372772216797</v>
      </c>
    </row>
    <row r="38" spans="1:8">
      <c r="A38" s="125" t="s">
        <v>270</v>
      </c>
      <c r="B38" s="91"/>
      <c r="C38" s="91"/>
      <c r="D38" s="91"/>
      <c r="E38" s="126">
        <v>14.77447509765625</v>
      </c>
      <c r="F38" s="114">
        <v>15.046281814575195</v>
      </c>
      <c r="G38" s="114">
        <v>14.986320495605469</v>
      </c>
      <c r="H38" s="114">
        <f t="shared" si="12"/>
        <v>14.935692469278971</v>
      </c>
    </row>
    <row r="39" spans="1:8">
      <c r="A39" s="125" t="s">
        <v>270</v>
      </c>
      <c r="C39" s="91"/>
      <c r="D39" s="91"/>
      <c r="E39" s="126">
        <v>13.851560592651367</v>
      </c>
      <c r="F39" s="114">
        <v>14.262241363525391</v>
      </c>
      <c r="G39" s="114">
        <v>14.016228675842285</v>
      </c>
      <c r="H39" s="114">
        <f t="shared" si="12"/>
        <v>14.043343544006348</v>
      </c>
    </row>
    <row r="40" spans="1:8">
      <c r="A40" s="125" t="s">
        <v>271</v>
      </c>
      <c r="E40" s="126">
        <v>14.028319358825684</v>
      </c>
      <c r="F40" s="114">
        <v>14.285782814025879</v>
      </c>
      <c r="G40" s="114">
        <v>14.480982780456543</v>
      </c>
      <c r="H40" s="114">
        <f t="shared" si="12"/>
        <v>14.265028317769369</v>
      </c>
    </row>
    <row r="41" spans="1:8">
      <c r="A41" s="125" t="s">
        <v>271</v>
      </c>
      <c r="E41" s="126">
        <v>14.83289909362793</v>
      </c>
      <c r="F41" s="114">
        <v>14.839167594909668</v>
      </c>
      <c r="G41" s="114">
        <v>14.813106536865234</v>
      </c>
      <c r="H41" s="114">
        <f t="shared" si="12"/>
        <v>14.828391075134277</v>
      </c>
    </row>
    <row r="42" spans="1:8">
      <c r="A42" s="125" t="s">
        <v>272</v>
      </c>
      <c r="E42" s="126">
        <v>15.412906646728516</v>
      </c>
      <c r="F42" s="114">
        <v>15.433472633361816</v>
      </c>
      <c r="G42" s="114">
        <v>15.37113094329834</v>
      </c>
      <c r="H42" s="114">
        <f t="shared" si="12"/>
        <v>15.405836741129557</v>
      </c>
    </row>
    <row r="43" spans="1:8">
      <c r="A43" s="125" t="s">
        <v>272</v>
      </c>
      <c r="E43" s="126">
        <v>15.125240325927734</v>
      </c>
      <c r="F43" s="114">
        <v>15.287156105041504</v>
      </c>
      <c r="G43" s="114">
        <v>15.169957160949707</v>
      </c>
      <c r="H43" s="114">
        <f t="shared" si="12"/>
        <v>15.194117863972982</v>
      </c>
    </row>
    <row r="44" spans="1:8">
      <c r="A44" s="125" t="s">
        <v>273</v>
      </c>
      <c r="E44" s="126">
        <v>14.932897567749023</v>
      </c>
      <c r="F44" s="114">
        <v>14.934226036071777</v>
      </c>
      <c r="G44" s="114">
        <v>14.918047904968262</v>
      </c>
      <c r="H44" s="114">
        <f t="shared" si="12"/>
        <v>14.928390502929688</v>
      </c>
    </row>
    <row r="45" spans="1:8">
      <c r="A45" s="125" t="s">
        <v>273</v>
      </c>
      <c r="E45" s="126">
        <v>14.112751960754395</v>
      </c>
      <c r="F45" s="114">
        <v>14.298762321472168</v>
      </c>
      <c r="G45" s="114">
        <v>14.374398231506348</v>
      </c>
      <c r="H45" s="114">
        <f t="shared" si="12"/>
        <v>14.261970837910971</v>
      </c>
    </row>
    <row r="46" spans="1:8">
      <c r="A46" s="125" t="s">
        <v>274</v>
      </c>
      <c r="E46" s="126">
        <v>14.954710960388184</v>
      </c>
      <c r="F46" s="114">
        <v>14.841438293457031</v>
      </c>
      <c r="G46" s="114">
        <v>15.281417846679688</v>
      </c>
      <c r="H46" s="114">
        <f t="shared" si="12"/>
        <v>15.025855700174967</v>
      </c>
    </row>
    <row r="47" spans="1:8">
      <c r="A47" s="125" t="s">
        <v>275</v>
      </c>
      <c r="E47" s="126">
        <v>14.948505401611328</v>
      </c>
      <c r="F47" s="114">
        <v>15.147294044494629</v>
      </c>
      <c r="G47" s="114">
        <v>14.959335327148438</v>
      </c>
      <c r="H47" s="114">
        <f t="shared" si="12"/>
        <v>15.018378257751465</v>
      </c>
    </row>
    <row r="48" spans="1:8">
      <c r="A48" s="102" t="s">
        <v>276</v>
      </c>
      <c r="B48" s="91"/>
      <c r="C48" s="91"/>
      <c r="D48" s="91"/>
      <c r="E48" s="126">
        <v>15.064580917358398</v>
      </c>
      <c r="F48" s="114">
        <v>15.123675346374512</v>
      </c>
      <c r="G48" s="114">
        <v>15.059396743774414</v>
      </c>
      <c r="H48" s="114">
        <f t="shared" si="12"/>
        <v>15.082551002502441</v>
      </c>
    </row>
    <row r="49" spans="1:8">
      <c r="A49" s="102" t="s">
        <v>277</v>
      </c>
      <c r="B49" s="91"/>
      <c r="C49" s="91"/>
      <c r="D49" s="91"/>
      <c r="E49" s="126">
        <v>14.438828468322754</v>
      </c>
      <c r="F49" s="114">
        <v>14.371813774108887</v>
      </c>
      <c r="G49" s="114">
        <v>15.339963912963867</v>
      </c>
      <c r="H49" s="114">
        <f t="shared" si="12"/>
        <v>14.71686871846517</v>
      </c>
    </row>
    <row r="50" spans="1:8">
      <c r="A50" s="102" t="s">
        <v>278</v>
      </c>
      <c r="B50" s="91"/>
      <c r="C50" s="91"/>
      <c r="D50" s="91"/>
      <c r="E50" s="126">
        <v>15.063692092895508</v>
      </c>
      <c r="F50" s="114">
        <v>15.042101860046387</v>
      </c>
      <c r="G50" s="114"/>
      <c r="H50" s="114">
        <f t="shared" si="12"/>
        <v>15.052896976470947</v>
      </c>
    </row>
    <row r="51" spans="1:8">
      <c r="A51" s="102" t="s">
        <v>281</v>
      </c>
      <c r="B51" s="91"/>
      <c r="C51" s="91"/>
      <c r="D51" s="91"/>
      <c r="E51" s="126">
        <v>14.56031322479248</v>
      </c>
      <c r="F51" s="114">
        <v>14.785432815551758</v>
      </c>
      <c r="G51" s="114">
        <v>14.991518974304199</v>
      </c>
      <c r="H51" s="114">
        <f t="shared" si="12"/>
        <v>14.779088338216146</v>
      </c>
    </row>
    <row r="52" spans="1:8">
      <c r="A52" s="102" t="s">
        <v>295</v>
      </c>
      <c r="B52" s="91"/>
      <c r="C52" s="91"/>
      <c r="D52" s="91"/>
      <c r="E52" s="126">
        <v>15.04175853729248</v>
      </c>
      <c r="F52" s="114">
        <v>15.037652969360352</v>
      </c>
      <c r="G52" s="114">
        <v>14.94129753112793</v>
      </c>
      <c r="H52" s="114">
        <f t="shared" si="12"/>
        <v>15.006903012593588</v>
      </c>
    </row>
    <row r="53" spans="1:8">
      <c r="A53" s="102" t="s">
        <v>296</v>
      </c>
      <c r="B53" s="91"/>
      <c r="C53" s="91"/>
      <c r="D53" s="91"/>
      <c r="E53" s="126">
        <v>15.191975593566895</v>
      </c>
      <c r="F53" s="114">
        <v>15.268773078918457</v>
      </c>
      <c r="G53" s="114">
        <v>15.282587051391602</v>
      </c>
      <c r="H53" s="114">
        <f t="shared" si="12"/>
        <v>15.24777857462565</v>
      </c>
    </row>
    <row r="54" spans="1:8">
      <c r="A54" s="102" t="s">
        <v>297</v>
      </c>
      <c r="B54" s="91"/>
      <c r="C54" s="91"/>
      <c r="D54" s="91"/>
      <c r="E54" s="126">
        <v>15.494284629821777</v>
      </c>
      <c r="F54" s="114">
        <v>15.500131607055664</v>
      </c>
      <c r="G54" s="114">
        <v>15.308513641357422</v>
      </c>
      <c r="H54" s="114">
        <f t="shared" si="12"/>
        <v>15.434309959411621</v>
      </c>
    </row>
    <row r="55" spans="1:8">
      <c r="A55" s="102" t="s">
        <v>298</v>
      </c>
      <c r="B55" s="91"/>
      <c r="C55" s="91"/>
      <c r="D55" s="91"/>
      <c r="E55" s="126">
        <v>15.209195137023926</v>
      </c>
      <c r="F55" s="114">
        <v>15.267397880554199</v>
      </c>
      <c r="G55" s="114">
        <v>15.118107795715332</v>
      </c>
      <c r="H55" s="114">
        <f t="shared" si="12"/>
        <v>15.198233604431152</v>
      </c>
    </row>
    <row r="56" spans="1:8">
      <c r="A56" s="102" t="s">
        <v>299</v>
      </c>
      <c r="B56" s="91"/>
      <c r="C56" s="91"/>
      <c r="D56" s="91"/>
      <c r="E56" s="126">
        <v>15.095216751098633</v>
      </c>
      <c r="F56" s="114">
        <v>15.058335304260254</v>
      </c>
      <c r="G56" s="114">
        <v>15.188286781311035</v>
      </c>
      <c r="H56" s="114">
        <f t="shared" si="12"/>
        <v>15.113946278889975</v>
      </c>
    </row>
    <row r="57" spans="1:8">
      <c r="A57" s="102" t="s">
        <v>300</v>
      </c>
      <c r="B57" s="91"/>
      <c r="C57" s="91"/>
      <c r="D57" s="91"/>
      <c r="E57" s="126">
        <v>14.974048614501953</v>
      </c>
      <c r="F57" s="114">
        <v>15.016510009765625</v>
      </c>
      <c r="G57" s="114">
        <v>14.949863433837891</v>
      </c>
      <c r="H57" s="114">
        <f t="shared" si="12"/>
        <v>14.980140686035156</v>
      </c>
    </row>
    <row r="58" spans="1:8">
      <c r="A58" s="102" t="s">
        <v>301</v>
      </c>
      <c r="E58" s="126">
        <v>15.325250625610352</v>
      </c>
      <c r="F58" s="114">
        <v>15.371528625488281</v>
      </c>
      <c r="G58" s="114">
        <v>15.399141311645508</v>
      </c>
      <c r="H58" s="114">
        <f t="shared" si="12"/>
        <v>15.365306854248047</v>
      </c>
    </row>
    <row r="59" spans="1:8">
      <c r="A59" s="102" t="s">
        <v>301</v>
      </c>
      <c r="E59" s="126">
        <v>15.129462242126465</v>
      </c>
      <c r="F59" s="114">
        <v>15.041775703430176</v>
      </c>
      <c r="G59" s="114">
        <v>15.221658706665039</v>
      </c>
      <c r="H59" s="114">
        <f t="shared" si="12"/>
        <v>15.13096555074056</v>
      </c>
    </row>
    <row r="60" spans="1:8">
      <c r="A60" s="102" t="s">
        <v>302</v>
      </c>
      <c r="E60" s="126">
        <v>15.064123153686523</v>
      </c>
      <c r="F60" s="114">
        <v>15.073297500610352</v>
      </c>
      <c r="G60" s="114">
        <v>15.109650611877441</v>
      </c>
      <c r="H60" s="114">
        <f t="shared" si="12"/>
        <v>15.082357088724772</v>
      </c>
    </row>
    <row r="61" spans="1:8">
      <c r="A61" s="102" t="s">
        <v>303</v>
      </c>
      <c r="E61" s="126">
        <v>15.271329879760742</v>
      </c>
      <c r="F61" s="114">
        <v>15.260854721069336</v>
      </c>
      <c r="G61" s="114">
        <v>15.188329696655273</v>
      </c>
      <c r="H61" s="114">
        <f t="shared" si="12"/>
        <v>15.240171432495117</v>
      </c>
    </row>
    <row r="62" spans="1:8">
      <c r="A62" s="102" t="s">
        <v>304</v>
      </c>
      <c r="E62" s="126">
        <v>14.958261489868164</v>
      </c>
      <c r="F62" s="114">
        <v>14.991987228393555</v>
      </c>
      <c r="G62" s="114">
        <v>15.025043487548828</v>
      </c>
      <c r="H62" s="114">
        <f t="shared" si="12"/>
        <v>14.991764068603516</v>
      </c>
    </row>
    <row r="63" spans="1:8">
      <c r="A63" s="102" t="s">
        <v>305</v>
      </c>
      <c r="E63" s="126">
        <v>15.201624870300293</v>
      </c>
      <c r="F63" s="114">
        <v>15.184474945068359</v>
      </c>
      <c r="G63" s="114">
        <v>15.128211975097656</v>
      </c>
      <c r="H63" s="114">
        <f t="shared" si="12"/>
        <v>15.17143726348877</v>
      </c>
    </row>
    <row r="64" spans="1:8">
      <c r="A64" s="102" t="s">
        <v>305</v>
      </c>
      <c r="E64" s="126">
        <v>15.056846618652344</v>
      </c>
      <c r="F64" s="114">
        <v>15.079096794128418</v>
      </c>
      <c r="G64" s="114">
        <v>14.947562217712402</v>
      </c>
      <c r="H64" s="114">
        <f t="shared" si="12"/>
        <v>15.027835210164389</v>
      </c>
    </row>
    <row r="65" spans="1:8">
      <c r="A65" s="102" t="s">
        <v>306</v>
      </c>
      <c r="E65" s="126">
        <v>15.4</v>
      </c>
      <c r="F65" s="114">
        <v>14.7</v>
      </c>
      <c r="G65" s="114">
        <v>14.2</v>
      </c>
      <c r="H65" s="114">
        <f t="shared" si="12"/>
        <v>14.766666666666666</v>
      </c>
    </row>
    <row r="66" spans="1:8">
      <c r="A66" s="102" t="s">
        <v>306</v>
      </c>
      <c r="E66" s="131">
        <v>14.4</v>
      </c>
      <c r="F66" s="132">
        <v>14.4</v>
      </c>
      <c r="G66" s="132">
        <v>14.5</v>
      </c>
      <c r="H66" s="114">
        <f t="shared" si="12"/>
        <v>14.433333333333332</v>
      </c>
    </row>
    <row r="67" spans="1:8">
      <c r="A67" s="102" t="s">
        <v>307</v>
      </c>
      <c r="E67" s="131">
        <v>15.11392879486084</v>
      </c>
      <c r="F67" s="132">
        <v>15.182292938232422</v>
      </c>
      <c r="G67" s="132">
        <v>15.373931884765625</v>
      </c>
      <c r="H67" s="114">
        <f t="shared" si="12"/>
        <v>15.223384539286295</v>
      </c>
    </row>
    <row r="68" spans="1:8">
      <c r="A68" s="102" t="s">
        <v>308</v>
      </c>
      <c r="B68" s="91"/>
      <c r="C68" s="91"/>
      <c r="D68" s="91"/>
      <c r="E68" s="131">
        <v>14.613919258117676</v>
      </c>
      <c r="F68" s="132">
        <v>14.544337272644043</v>
      </c>
      <c r="G68" s="132">
        <v>14.610519409179688</v>
      </c>
      <c r="H68" s="114">
        <f t="shared" si="12"/>
        <v>14.589591979980469</v>
      </c>
    </row>
    <row r="69" spans="1:8">
      <c r="A69" s="102" t="s">
        <v>309</v>
      </c>
      <c r="B69" s="91"/>
      <c r="C69" s="91"/>
      <c r="D69" s="91"/>
      <c r="E69" s="131">
        <v>14.970376014709473</v>
      </c>
      <c r="F69" s="132">
        <v>14.902167320251465</v>
      </c>
      <c r="G69" s="132">
        <v>14.964475631713867</v>
      </c>
      <c r="H69" s="114">
        <f t="shared" si="12"/>
        <v>14.945672988891602</v>
      </c>
    </row>
    <row r="70" spans="1:8">
      <c r="A70" s="102" t="s">
        <v>310</v>
      </c>
      <c r="B70" s="91"/>
      <c r="C70" s="91"/>
      <c r="D70" s="91"/>
      <c r="E70" s="131">
        <v>15.184457778930664</v>
      </c>
      <c r="F70" s="132">
        <v>15.273150444030762</v>
      </c>
      <c r="G70" s="132">
        <v>15.250771522521973</v>
      </c>
      <c r="H70" s="114">
        <f t="shared" si="12"/>
        <v>15.236126581827799</v>
      </c>
    </row>
    <row r="71" spans="1:8">
      <c r="A71" s="102" t="s">
        <v>311</v>
      </c>
      <c r="B71" s="91"/>
      <c r="C71" s="91"/>
      <c r="D71" s="91"/>
      <c r="E71" s="131">
        <v>15.047176361083984</v>
      </c>
      <c r="F71" s="132">
        <v>15.114773750305176</v>
      </c>
      <c r="G71" s="132">
        <v>15.180623054504395</v>
      </c>
      <c r="H71" s="114">
        <f t="shared" si="12"/>
        <v>15.114191055297852</v>
      </c>
    </row>
    <row r="72" spans="1:8">
      <c r="A72" s="102" t="s">
        <v>312</v>
      </c>
      <c r="B72" s="91"/>
      <c r="E72" s="131">
        <v>14.840383529663086</v>
      </c>
      <c r="F72" s="132">
        <v>14.916571617126465</v>
      </c>
      <c r="G72" s="132">
        <v>14.954231262207031</v>
      </c>
      <c r="H72" s="114">
        <f t="shared" si="12"/>
        <v>14.903728802998861</v>
      </c>
    </row>
    <row r="73" spans="1:8">
      <c r="A73" s="102" t="s">
        <v>313</v>
      </c>
      <c r="E73" s="131">
        <v>15.199845314025879</v>
      </c>
      <c r="F73" s="132">
        <v>15.533450126647949</v>
      </c>
      <c r="G73" s="132">
        <v>15.423110961914062</v>
      </c>
      <c r="H73" s="114">
        <f t="shared" si="12"/>
        <v>15.385468800862631</v>
      </c>
    </row>
    <row r="74" spans="1:8">
      <c r="A74" s="102" t="s">
        <v>314</v>
      </c>
      <c r="B74" s="91"/>
      <c r="E74" s="131">
        <v>15.120054244995117</v>
      </c>
      <c r="F74" s="132">
        <v>15.144433975219727</v>
      </c>
      <c r="G74" s="132">
        <v>15.071084976196289</v>
      </c>
      <c r="H74" s="114">
        <f t="shared" si="12"/>
        <v>15.111857732137045</v>
      </c>
    </row>
    <row r="75" spans="1:8">
      <c r="A75" s="102" t="s">
        <v>314</v>
      </c>
      <c r="E75" s="131">
        <v>15.292695999145508</v>
      </c>
      <c r="F75" s="132">
        <v>15.627285957336426</v>
      </c>
      <c r="G75" s="132">
        <v>15.304715156555176</v>
      </c>
      <c r="H75" s="114">
        <f t="shared" si="12"/>
        <v>15.408232371012369</v>
      </c>
    </row>
    <row r="76" spans="1:8">
      <c r="A76" s="102" t="s">
        <v>315</v>
      </c>
      <c r="E76" s="131">
        <v>15.044212341308594</v>
      </c>
      <c r="F76" s="132">
        <v>15.046442985534668</v>
      </c>
      <c r="G76" s="132">
        <v>15.083253860473633</v>
      </c>
      <c r="H76" s="114">
        <f t="shared" si="12"/>
        <v>15.057969729105631</v>
      </c>
    </row>
    <row r="77" spans="1:8">
      <c r="A77" s="125"/>
    </row>
    <row r="78" spans="1:8">
      <c r="G78" t="s">
        <v>259</v>
      </c>
      <c r="H78" s="90">
        <f>AVERAGE(H31:H76)</f>
        <v>14.806627903122829</v>
      </c>
    </row>
  </sheetData>
  <mergeCells count="19"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L20" workbookViewId="0">
      <selection activeCell="D45" sqref="D45"/>
    </sheetView>
  </sheetViews>
  <sheetFormatPr baseColWidth="10" defaultRowHeight="14" x14ac:dyDescent="0"/>
  <cols>
    <col min="7" max="7" width="11" bestFit="1" customWidth="1"/>
  </cols>
  <sheetData>
    <row r="1" spans="1:22">
      <c r="A1" s="91"/>
      <c r="B1" s="152" t="s">
        <v>4</v>
      </c>
      <c r="C1" s="154" t="s">
        <v>198</v>
      </c>
      <c r="D1" s="155" t="s">
        <v>18</v>
      </c>
      <c r="E1" s="155"/>
      <c r="F1" s="155"/>
      <c r="G1" s="155"/>
      <c r="H1" s="155" t="s">
        <v>20</v>
      </c>
      <c r="I1" s="155"/>
      <c r="J1" s="155"/>
      <c r="K1" s="155"/>
      <c r="L1" s="155" t="s">
        <v>21</v>
      </c>
      <c r="M1" s="155"/>
      <c r="N1" s="155"/>
      <c r="O1" s="155"/>
      <c r="P1" s="92" t="s">
        <v>22</v>
      </c>
      <c r="Q1" s="92" t="s">
        <v>22</v>
      </c>
      <c r="R1" s="92" t="s">
        <v>22</v>
      </c>
      <c r="S1" s="147" t="s">
        <v>199</v>
      </c>
      <c r="T1" s="91"/>
      <c r="U1" s="91"/>
      <c r="V1" s="91"/>
    </row>
    <row r="2" spans="1:22">
      <c r="A2" s="91"/>
      <c r="B2" s="153"/>
      <c r="C2" s="153"/>
      <c r="D2" s="93" t="s">
        <v>19</v>
      </c>
      <c r="E2" s="93" t="s">
        <v>68</v>
      </c>
      <c r="F2" s="93" t="s">
        <v>69</v>
      </c>
      <c r="G2" s="93" t="s">
        <v>70</v>
      </c>
      <c r="H2" s="93" t="s">
        <v>19</v>
      </c>
      <c r="I2" s="93" t="s">
        <v>68</v>
      </c>
      <c r="J2" s="93" t="s">
        <v>69</v>
      </c>
      <c r="K2" s="93" t="s">
        <v>70</v>
      </c>
      <c r="L2" s="93" t="s">
        <v>19</v>
      </c>
      <c r="M2" s="93" t="s">
        <v>68</v>
      </c>
      <c r="N2" s="93" t="s">
        <v>69</v>
      </c>
      <c r="O2" s="93" t="s">
        <v>71</v>
      </c>
      <c r="P2" s="94" t="s">
        <v>70</v>
      </c>
      <c r="Q2" s="94" t="s">
        <v>23</v>
      </c>
      <c r="R2" s="94" t="s">
        <v>72</v>
      </c>
      <c r="S2" s="148"/>
      <c r="T2" s="91"/>
      <c r="U2" s="91"/>
      <c r="V2" s="91"/>
    </row>
    <row r="3" spans="1:22">
      <c r="A3" s="91"/>
      <c r="B3" s="95"/>
      <c r="C3" s="95"/>
      <c r="D3" s="96"/>
      <c r="E3" s="96"/>
      <c r="F3" s="96"/>
      <c r="G3" s="97"/>
      <c r="H3" s="96"/>
      <c r="I3" s="96"/>
      <c r="J3" s="96"/>
      <c r="K3" s="97"/>
      <c r="L3" s="96"/>
      <c r="M3" s="96"/>
      <c r="N3" s="96"/>
      <c r="O3" s="97"/>
      <c r="P3" s="149"/>
      <c r="Q3" s="150"/>
      <c r="R3" s="151"/>
      <c r="S3" s="91"/>
      <c r="T3" s="91"/>
      <c r="U3" s="91"/>
      <c r="V3" s="91"/>
    </row>
    <row r="4" spans="1:22">
      <c r="A4" s="91"/>
      <c r="B4" s="98" t="s">
        <v>200</v>
      </c>
      <c r="C4" s="99">
        <v>500</v>
      </c>
      <c r="D4" s="99">
        <v>2</v>
      </c>
      <c r="E4" s="99">
        <v>11777</v>
      </c>
      <c r="F4" s="99">
        <v>6</v>
      </c>
      <c r="G4" s="97">
        <f>(E4/F4)*(10.2)*POWER(10,D4+2)</f>
        <v>200208999.99999997</v>
      </c>
      <c r="H4" s="99">
        <v>2</v>
      </c>
      <c r="I4" s="99">
        <v>12350</v>
      </c>
      <c r="J4" s="99">
        <v>6</v>
      </c>
      <c r="K4" s="97">
        <f>(I4/J4)*(10.2)*POWER(10,H4+2)</f>
        <v>209950000</v>
      </c>
      <c r="L4" s="99">
        <v>2</v>
      </c>
      <c r="M4" s="99">
        <v>12193</v>
      </c>
      <c r="N4" s="99">
        <v>6</v>
      </c>
      <c r="O4" s="97">
        <f t="shared" ref="O4:O19" si="0">(M4/N4)*(10.2)*POWER(10,L4+2)</f>
        <v>207281000</v>
      </c>
      <c r="P4" s="100">
        <f t="shared" ref="P4:P19" si="1">AVERAGE(O4,K4,G4)</f>
        <v>205813333.33333334</v>
      </c>
      <c r="Q4" s="100">
        <f t="shared" ref="Q4:Q19" si="2">STDEV(O4,K4,G4)</f>
        <v>5033617.4202389978</v>
      </c>
      <c r="R4" s="101">
        <f>LOG(P4)</f>
        <v>8.313473506507659</v>
      </c>
      <c r="S4" s="102"/>
      <c r="T4" s="91"/>
      <c r="U4" s="91"/>
      <c r="V4" s="91"/>
    </row>
    <row r="5" spans="1:22">
      <c r="A5" s="91"/>
      <c r="B5" s="98" t="s">
        <v>201</v>
      </c>
      <c r="C5" s="99">
        <v>500</v>
      </c>
      <c r="D5" s="99">
        <v>1</v>
      </c>
      <c r="E5" s="99">
        <v>10368</v>
      </c>
      <c r="F5" s="99">
        <v>6</v>
      </c>
      <c r="G5" s="97">
        <f t="shared" ref="G5:G19" si="3">(E5/F5)*(10.2)*POWER(10,D5+2)</f>
        <v>17625600</v>
      </c>
      <c r="H5" s="99">
        <v>1</v>
      </c>
      <c r="I5" s="99">
        <v>11649</v>
      </c>
      <c r="J5" s="99">
        <v>6</v>
      </c>
      <c r="K5" s="97">
        <f t="shared" ref="K5:K19" si="4">(I5/J5)*(10.2)*POWER(10,H5+2)</f>
        <v>19803300</v>
      </c>
      <c r="L5" s="99">
        <v>1</v>
      </c>
      <c r="M5" s="99">
        <v>11377</v>
      </c>
      <c r="N5" s="99">
        <v>6</v>
      </c>
      <c r="O5" s="97">
        <f t="shared" si="0"/>
        <v>19340899.999999996</v>
      </c>
      <c r="P5" s="100">
        <f t="shared" si="1"/>
        <v>18923266.666666668</v>
      </c>
      <c r="Q5" s="100">
        <f t="shared" si="2"/>
        <v>1147348.0393208207</v>
      </c>
      <c r="R5" s="101">
        <f t="shared" ref="R5:R19" si="5">LOG(P5)</f>
        <v>7.2769961094890272</v>
      </c>
      <c r="S5" s="91"/>
      <c r="T5" s="91"/>
      <c r="U5" s="91"/>
      <c r="V5" s="91"/>
    </row>
    <row r="6" spans="1:22">
      <c r="A6" s="91"/>
      <c r="B6" s="98" t="s">
        <v>202</v>
      </c>
      <c r="C6" s="99">
        <v>500</v>
      </c>
      <c r="D6" s="99">
        <v>1</v>
      </c>
      <c r="E6" s="99">
        <v>1368</v>
      </c>
      <c r="F6" s="99">
        <v>6</v>
      </c>
      <c r="G6" s="97">
        <f t="shared" si="3"/>
        <v>2325600</v>
      </c>
      <c r="H6" s="99">
        <v>1</v>
      </c>
      <c r="I6" s="99">
        <v>1169</v>
      </c>
      <c r="J6" s="99">
        <v>6</v>
      </c>
      <c r="K6" s="97">
        <f t="shared" si="4"/>
        <v>1987300</v>
      </c>
      <c r="L6" s="99">
        <v>1</v>
      </c>
      <c r="M6" s="99">
        <v>1324</v>
      </c>
      <c r="N6" s="99">
        <v>6</v>
      </c>
      <c r="O6" s="97">
        <f t="shared" si="0"/>
        <v>2250799.9999999995</v>
      </c>
      <c r="P6" s="100">
        <f t="shared" si="1"/>
        <v>2187900</v>
      </c>
      <c r="Q6" s="100">
        <f t="shared" si="2"/>
        <v>177704.89582451005</v>
      </c>
      <c r="R6" s="101">
        <f t="shared" si="5"/>
        <v>6.3400274682826607</v>
      </c>
      <c r="S6" s="91"/>
      <c r="T6" s="91"/>
      <c r="U6" s="91"/>
      <c r="V6" s="91"/>
    </row>
    <row r="7" spans="1:22">
      <c r="A7" s="91"/>
      <c r="B7" s="98" t="s">
        <v>203</v>
      </c>
      <c r="C7" s="99">
        <v>500</v>
      </c>
      <c r="D7" s="99">
        <v>1</v>
      </c>
      <c r="E7" s="99">
        <v>1657</v>
      </c>
      <c r="F7" s="99">
        <v>67</v>
      </c>
      <c r="G7" s="97">
        <f>(E7/F7)*(10.2)*POWER(10,D7+2)</f>
        <v>252259.70149253728</v>
      </c>
      <c r="H7" s="99">
        <v>1</v>
      </c>
      <c r="I7" s="99">
        <v>1712</v>
      </c>
      <c r="J7" s="99">
        <v>67</v>
      </c>
      <c r="K7" s="97">
        <f t="shared" si="4"/>
        <v>260632.83582089547</v>
      </c>
      <c r="L7" s="99">
        <v>1</v>
      </c>
      <c r="M7" s="99">
        <v>1701</v>
      </c>
      <c r="N7" s="99">
        <v>67</v>
      </c>
      <c r="O7" s="97">
        <f t="shared" si="0"/>
        <v>258958.20895522388</v>
      </c>
      <c r="P7" s="100">
        <f t="shared" si="1"/>
        <v>257283.58208955219</v>
      </c>
      <c r="Q7" s="100">
        <f t="shared" si="2"/>
        <v>4430.6462253947329</v>
      </c>
      <c r="R7" s="101">
        <f t="shared" si="5"/>
        <v>5.410412073674765</v>
      </c>
      <c r="S7" s="102"/>
      <c r="T7" s="91"/>
      <c r="U7" s="91"/>
      <c r="V7" s="91"/>
    </row>
    <row r="8" spans="1:22">
      <c r="A8" s="91"/>
      <c r="B8" s="98" t="s">
        <v>204</v>
      </c>
      <c r="C8" s="99">
        <v>500</v>
      </c>
      <c r="D8" s="99">
        <v>1</v>
      </c>
      <c r="E8" s="99">
        <v>1582</v>
      </c>
      <c r="F8" s="99">
        <v>334</v>
      </c>
      <c r="G8" s="97">
        <f t="shared" si="3"/>
        <v>48312.574850299396</v>
      </c>
      <c r="H8" s="99">
        <v>1</v>
      </c>
      <c r="I8" s="99">
        <v>1222</v>
      </c>
      <c r="J8" s="99">
        <v>334</v>
      </c>
      <c r="K8" s="97">
        <f t="shared" si="4"/>
        <v>37318.562874251496</v>
      </c>
      <c r="L8" s="99">
        <v>1</v>
      </c>
      <c r="M8" s="99">
        <v>1331</v>
      </c>
      <c r="N8" s="99">
        <v>334</v>
      </c>
      <c r="O8" s="97">
        <f t="shared" si="0"/>
        <v>40647.305389221554</v>
      </c>
      <c r="P8" s="100">
        <f t="shared" si="1"/>
        <v>42092.814371257482</v>
      </c>
      <c r="Q8" s="100">
        <f t="shared" si="2"/>
        <v>5637.7475107733544</v>
      </c>
      <c r="R8" s="101">
        <f t="shared" si="5"/>
        <v>4.6242079641192557</v>
      </c>
      <c r="S8" s="102"/>
      <c r="T8" s="91"/>
      <c r="U8" s="91"/>
      <c r="V8" s="91"/>
    </row>
    <row r="9" spans="1:22">
      <c r="A9" s="91"/>
      <c r="B9" s="98" t="s">
        <v>205</v>
      </c>
      <c r="C9" s="99">
        <v>900</v>
      </c>
      <c r="D9" s="99">
        <v>2</v>
      </c>
      <c r="E9" s="99">
        <v>14797</v>
      </c>
      <c r="F9" s="99">
        <v>6</v>
      </c>
      <c r="G9" s="97">
        <f t="shared" si="3"/>
        <v>251548999.99999997</v>
      </c>
      <c r="H9" s="99">
        <v>2</v>
      </c>
      <c r="I9" s="99">
        <v>12831</v>
      </c>
      <c r="J9" s="99">
        <v>6</v>
      </c>
      <c r="K9" s="97">
        <f t="shared" si="4"/>
        <v>218126999.99999997</v>
      </c>
      <c r="L9" s="99">
        <v>2</v>
      </c>
      <c r="M9" s="99">
        <v>13557</v>
      </c>
      <c r="N9" s="99">
        <v>6</v>
      </c>
      <c r="O9" s="97">
        <f t="shared" si="0"/>
        <v>230468999.99999997</v>
      </c>
      <c r="P9" s="100">
        <f t="shared" si="1"/>
        <v>233381666.66666663</v>
      </c>
      <c r="Q9" s="100">
        <f t="shared" si="2"/>
        <v>16900302.995311458</v>
      </c>
      <c r="R9" s="101">
        <f t="shared" si="5"/>
        <v>8.3680667369783137</v>
      </c>
      <c r="S9" s="91"/>
      <c r="T9" s="91"/>
      <c r="U9" s="91"/>
      <c r="V9" s="91"/>
    </row>
    <row r="10" spans="1:22">
      <c r="A10" s="91"/>
      <c r="B10" s="98" t="s">
        <v>206</v>
      </c>
      <c r="C10" s="99">
        <v>900</v>
      </c>
      <c r="D10" s="99">
        <v>2</v>
      </c>
      <c r="E10" s="99">
        <v>6167</v>
      </c>
      <c r="F10" s="99">
        <v>6</v>
      </c>
      <c r="G10" s="97">
        <f t="shared" si="3"/>
        <v>104838999.99999999</v>
      </c>
      <c r="H10" s="99">
        <v>2</v>
      </c>
      <c r="I10" s="99">
        <v>6132</v>
      </c>
      <c r="J10" s="99">
        <v>6</v>
      </c>
      <c r="K10" s="97">
        <f t="shared" si="4"/>
        <v>104244000</v>
      </c>
      <c r="L10" s="99">
        <v>2</v>
      </c>
      <c r="M10" s="99">
        <v>5412</v>
      </c>
      <c r="N10" s="99">
        <v>6</v>
      </c>
      <c r="O10" s="97">
        <f t="shared" si="0"/>
        <v>92004000</v>
      </c>
      <c r="P10" s="100">
        <f t="shared" si="1"/>
        <v>100362333.33333333</v>
      </c>
      <c r="Q10" s="100">
        <f t="shared" si="2"/>
        <v>7244639.9726510411</v>
      </c>
      <c r="R10" s="101">
        <f t="shared" si="5"/>
        <v>8.0015707497132311</v>
      </c>
      <c r="S10" s="91"/>
      <c r="T10" s="91"/>
      <c r="U10" s="91"/>
      <c r="V10" s="91"/>
    </row>
    <row r="11" spans="1:22">
      <c r="A11" s="91"/>
      <c r="B11" s="98" t="s">
        <v>207</v>
      </c>
      <c r="C11" s="99">
        <v>900</v>
      </c>
      <c r="D11" s="99">
        <v>2</v>
      </c>
      <c r="E11" s="99">
        <v>2783</v>
      </c>
      <c r="F11" s="99">
        <v>6</v>
      </c>
      <c r="G11" s="97">
        <f t="shared" si="3"/>
        <v>47310999.999999993</v>
      </c>
      <c r="H11" s="99">
        <v>2</v>
      </c>
      <c r="I11" s="99">
        <v>2791</v>
      </c>
      <c r="J11" s="99">
        <v>6</v>
      </c>
      <c r="K11" s="97">
        <f t="shared" si="4"/>
        <v>47447000</v>
      </c>
      <c r="L11" s="99">
        <v>2</v>
      </c>
      <c r="M11" s="99">
        <v>2844</v>
      </c>
      <c r="N11" s="99">
        <v>6</v>
      </c>
      <c r="O11" s="97">
        <f t="shared" si="0"/>
        <v>48347999.999999993</v>
      </c>
      <c r="P11" s="100">
        <f t="shared" si="1"/>
        <v>47702000</v>
      </c>
      <c r="Q11" s="100">
        <f t="shared" si="2"/>
        <v>563569.87144452473</v>
      </c>
      <c r="R11" s="101">
        <f t="shared" si="5"/>
        <v>7.6785365880706147</v>
      </c>
      <c r="S11" s="91"/>
      <c r="T11" s="91"/>
      <c r="U11" s="91"/>
      <c r="V11" s="91"/>
    </row>
    <row r="12" spans="1:22">
      <c r="A12" s="91"/>
      <c r="B12" s="98" t="s">
        <v>208</v>
      </c>
      <c r="C12" s="99">
        <v>900</v>
      </c>
      <c r="D12" s="99">
        <v>1</v>
      </c>
      <c r="E12" s="99">
        <v>14347</v>
      </c>
      <c r="F12" s="99">
        <v>6</v>
      </c>
      <c r="G12" s="97">
        <f t="shared" si="3"/>
        <v>24389899.999999996</v>
      </c>
      <c r="H12" s="99">
        <v>1</v>
      </c>
      <c r="I12" s="99">
        <v>13548</v>
      </c>
      <c r="J12" s="99">
        <v>6</v>
      </c>
      <c r="K12" s="97">
        <f t="shared" si="4"/>
        <v>23031600</v>
      </c>
      <c r="L12" s="99">
        <v>1</v>
      </c>
      <c r="M12" s="99">
        <v>14200</v>
      </c>
      <c r="N12" s="99">
        <v>6</v>
      </c>
      <c r="O12" s="97">
        <f t="shared" si="0"/>
        <v>24139999.999999996</v>
      </c>
      <c r="P12" s="100">
        <f t="shared" si="1"/>
        <v>23853833.333333332</v>
      </c>
      <c r="Q12" s="100">
        <f t="shared" si="2"/>
        <v>722954.52369656716</v>
      </c>
      <c r="R12" s="101">
        <f t="shared" si="5"/>
        <v>7.3775581805140655</v>
      </c>
      <c r="S12" s="91"/>
      <c r="T12" s="91"/>
      <c r="U12" s="91"/>
      <c r="V12" s="91"/>
    </row>
    <row r="13" spans="1:22">
      <c r="A13" s="91"/>
      <c r="B13" s="98" t="s">
        <v>209</v>
      </c>
      <c r="C13" s="99">
        <v>900</v>
      </c>
      <c r="D13" s="99">
        <v>1</v>
      </c>
      <c r="E13" s="99">
        <v>5210</v>
      </c>
      <c r="F13" s="99">
        <v>6</v>
      </c>
      <c r="G13" s="97">
        <f t="shared" si="3"/>
        <v>8857000</v>
      </c>
      <c r="H13" s="99">
        <v>1</v>
      </c>
      <c r="I13" s="99">
        <v>5214</v>
      </c>
      <c r="J13" s="99">
        <v>6</v>
      </c>
      <c r="K13" s="97">
        <f t="shared" si="4"/>
        <v>8863800</v>
      </c>
      <c r="L13" s="99">
        <v>1</v>
      </c>
      <c r="M13" s="99">
        <v>5752</v>
      </c>
      <c r="N13" s="99">
        <v>6</v>
      </c>
      <c r="O13" s="97">
        <f t="shared" si="0"/>
        <v>9778400</v>
      </c>
      <c r="P13" s="100">
        <f t="shared" si="1"/>
        <v>9166400</v>
      </c>
      <c r="Q13" s="100">
        <f t="shared" si="2"/>
        <v>530018.4525089669</v>
      </c>
      <c r="R13" s="101">
        <f t="shared" si="5"/>
        <v>6.9621988049055377</v>
      </c>
      <c r="S13" s="91"/>
      <c r="T13" s="91"/>
      <c r="U13" s="91"/>
      <c r="V13" s="91"/>
    </row>
    <row r="14" spans="1:22">
      <c r="A14" s="91"/>
      <c r="B14" s="98" t="s">
        <v>210</v>
      </c>
      <c r="C14" s="99">
        <v>900</v>
      </c>
      <c r="D14" s="99">
        <v>1</v>
      </c>
      <c r="E14" s="99">
        <v>2620</v>
      </c>
      <c r="F14" s="99">
        <v>6</v>
      </c>
      <c r="G14" s="97">
        <f t="shared" si="3"/>
        <v>4454000</v>
      </c>
      <c r="H14" s="99">
        <v>1</v>
      </c>
      <c r="I14" s="99">
        <v>2454</v>
      </c>
      <c r="J14" s="99">
        <v>6</v>
      </c>
      <c r="K14" s="97">
        <f t="shared" si="4"/>
        <v>4171799.9999999991</v>
      </c>
      <c r="L14" s="99">
        <v>1</v>
      </c>
      <c r="M14" s="99">
        <v>2673</v>
      </c>
      <c r="N14" s="99">
        <v>6</v>
      </c>
      <c r="O14" s="97">
        <f t="shared" si="0"/>
        <v>4544099.9999999991</v>
      </c>
      <c r="P14" s="100">
        <f t="shared" si="1"/>
        <v>4389966.666666666</v>
      </c>
      <c r="Q14" s="100">
        <f t="shared" si="2"/>
        <v>194234.45454741904</v>
      </c>
      <c r="R14" s="101">
        <f t="shared" si="5"/>
        <v>6.642461222625335</v>
      </c>
      <c r="S14" s="91"/>
      <c r="T14" s="91"/>
      <c r="U14" s="91"/>
      <c r="V14" s="91"/>
    </row>
    <row r="15" spans="1:22">
      <c r="A15" s="91"/>
      <c r="B15" s="98" t="s">
        <v>211</v>
      </c>
      <c r="C15" s="99">
        <v>900</v>
      </c>
      <c r="D15" s="99">
        <v>1</v>
      </c>
      <c r="E15" s="99">
        <v>1562</v>
      </c>
      <c r="F15" s="99">
        <v>6</v>
      </c>
      <c r="G15" s="97">
        <f t="shared" si="3"/>
        <v>2655399.9999999995</v>
      </c>
      <c r="H15" s="99">
        <v>1</v>
      </c>
      <c r="I15" s="99">
        <v>1614</v>
      </c>
      <c r="J15" s="99">
        <v>6</v>
      </c>
      <c r="K15" s="97">
        <f t="shared" si="4"/>
        <v>2743799.9999999995</v>
      </c>
      <c r="L15" s="99">
        <v>1</v>
      </c>
      <c r="M15" s="99">
        <v>1660</v>
      </c>
      <c r="N15" s="99">
        <v>6</v>
      </c>
      <c r="O15" s="97">
        <f t="shared" si="0"/>
        <v>2822000</v>
      </c>
      <c r="P15" s="100">
        <f t="shared" si="1"/>
        <v>2740400</v>
      </c>
      <c r="Q15" s="100">
        <f t="shared" si="2"/>
        <v>83352.024570492809</v>
      </c>
      <c r="R15" s="101">
        <f t="shared" si="5"/>
        <v>6.4378139588473458</v>
      </c>
      <c r="S15" s="91"/>
      <c r="T15" s="91"/>
      <c r="U15" s="91"/>
      <c r="V15" s="91"/>
    </row>
    <row r="16" spans="1:22">
      <c r="A16" s="91"/>
      <c r="B16" s="98" t="s">
        <v>212</v>
      </c>
      <c r="C16" s="99">
        <v>900</v>
      </c>
      <c r="D16" s="99">
        <v>1</v>
      </c>
      <c r="E16" s="99">
        <v>2084</v>
      </c>
      <c r="F16" s="99">
        <v>13</v>
      </c>
      <c r="G16" s="97">
        <f t="shared" si="3"/>
        <v>1635138.4615384615</v>
      </c>
      <c r="H16" s="99">
        <v>1</v>
      </c>
      <c r="I16" s="99">
        <v>2144</v>
      </c>
      <c r="J16" s="99">
        <v>13</v>
      </c>
      <c r="K16" s="97">
        <f t="shared" si="4"/>
        <v>1682215.3846153847</v>
      </c>
      <c r="L16" s="99">
        <v>1</v>
      </c>
      <c r="M16" s="99">
        <v>1740</v>
      </c>
      <c r="N16" s="99">
        <v>13</v>
      </c>
      <c r="O16" s="97">
        <f t="shared" si="0"/>
        <v>1365230.769230769</v>
      </c>
      <c r="P16" s="100">
        <f t="shared" si="1"/>
        <v>1560861.5384615387</v>
      </c>
      <c r="Q16" s="100">
        <f t="shared" si="2"/>
        <v>171048.55326475156</v>
      </c>
      <c r="R16" s="101">
        <f t="shared" si="5"/>
        <v>6.1933643792000312</v>
      </c>
      <c r="S16" s="91"/>
      <c r="T16" s="91"/>
      <c r="U16" s="91"/>
      <c r="V16" s="91"/>
    </row>
    <row r="17" spans="1:22">
      <c r="A17" s="91"/>
      <c r="B17" s="98" t="s">
        <v>213</v>
      </c>
      <c r="C17" s="99">
        <v>900</v>
      </c>
      <c r="D17" s="99">
        <v>1</v>
      </c>
      <c r="E17" s="99">
        <v>2200</v>
      </c>
      <c r="F17" s="99">
        <v>26</v>
      </c>
      <c r="G17" s="97">
        <f t="shared" si="3"/>
        <v>863076.92307692301</v>
      </c>
      <c r="H17" s="99">
        <v>1</v>
      </c>
      <c r="I17" s="99">
        <v>2389</v>
      </c>
      <c r="J17" s="99">
        <v>26</v>
      </c>
      <c r="K17" s="97">
        <f t="shared" si="4"/>
        <v>937223.07692307688</v>
      </c>
      <c r="L17" s="99">
        <v>1</v>
      </c>
      <c r="M17" s="99">
        <v>2163</v>
      </c>
      <c r="N17" s="99">
        <v>26</v>
      </c>
      <c r="O17" s="97">
        <f t="shared" si="0"/>
        <v>848561.53846153838</v>
      </c>
      <c r="P17" s="100">
        <f t="shared" si="1"/>
        <v>882953.84615384601</v>
      </c>
      <c r="Q17" s="100">
        <f t="shared" si="2"/>
        <v>47555.611170987548</v>
      </c>
      <c r="R17" s="101">
        <f t="shared" si="5"/>
        <v>5.9459380026890356</v>
      </c>
      <c r="S17" s="91"/>
      <c r="T17" s="91"/>
      <c r="U17" s="91"/>
      <c r="V17" s="91"/>
    </row>
    <row r="18" spans="1:22">
      <c r="A18" s="91"/>
      <c r="B18" s="98" t="s">
        <v>214</v>
      </c>
      <c r="C18" s="99">
        <v>900</v>
      </c>
      <c r="D18" s="99">
        <v>1</v>
      </c>
      <c r="E18" s="99">
        <v>2258</v>
      </c>
      <c r="F18" s="99">
        <v>53</v>
      </c>
      <c r="G18" s="97">
        <f t="shared" si="3"/>
        <v>434558.49056603765</v>
      </c>
      <c r="H18" s="99">
        <v>1</v>
      </c>
      <c r="I18" s="99">
        <v>2364</v>
      </c>
      <c r="J18" s="99">
        <v>53</v>
      </c>
      <c r="K18" s="97">
        <f t="shared" si="4"/>
        <v>454958.49056603771</v>
      </c>
      <c r="L18" s="99">
        <v>1</v>
      </c>
      <c r="M18" s="99">
        <v>2494</v>
      </c>
      <c r="N18" s="99">
        <v>53</v>
      </c>
      <c r="O18" s="97">
        <f t="shared" si="0"/>
        <v>479977.35849056597</v>
      </c>
      <c r="P18" s="100">
        <f t="shared" si="1"/>
        <v>456498.11320754705</v>
      </c>
      <c r="Q18" s="100">
        <f t="shared" si="2"/>
        <v>22748.543234570494</v>
      </c>
      <c r="R18" s="101">
        <f t="shared" si="5"/>
        <v>5.6594389868533534</v>
      </c>
      <c r="S18" s="91"/>
      <c r="T18" s="91"/>
      <c r="U18" s="91"/>
      <c r="V18" s="91"/>
    </row>
    <row r="19" spans="1:22">
      <c r="A19" s="91"/>
      <c r="B19" s="98" t="s">
        <v>215</v>
      </c>
      <c r="C19" s="99">
        <v>900</v>
      </c>
      <c r="D19" s="99">
        <v>1</v>
      </c>
      <c r="E19" s="99">
        <v>2389</v>
      </c>
      <c r="F19" s="99">
        <v>107</v>
      </c>
      <c r="G19" s="97">
        <f t="shared" si="3"/>
        <v>227736.44859813081</v>
      </c>
      <c r="H19" s="99">
        <v>1</v>
      </c>
      <c r="I19" s="99">
        <v>2798</v>
      </c>
      <c r="J19" s="99">
        <v>107</v>
      </c>
      <c r="K19" s="97">
        <f t="shared" si="4"/>
        <v>266725.23364485975</v>
      </c>
      <c r="L19" s="99">
        <v>1</v>
      </c>
      <c r="M19" s="99">
        <v>7437</v>
      </c>
      <c r="N19" s="99">
        <v>394</v>
      </c>
      <c r="O19" s="97">
        <f t="shared" si="0"/>
        <v>192531.47208121826</v>
      </c>
      <c r="P19" s="100">
        <f t="shared" si="1"/>
        <v>228997.71810806962</v>
      </c>
      <c r="Q19" s="100">
        <f t="shared" si="2"/>
        <v>37112.958172626859</v>
      </c>
      <c r="R19" s="101">
        <f t="shared" si="5"/>
        <v>5.359831154750319</v>
      </c>
      <c r="S19" s="91"/>
      <c r="T19" s="91"/>
      <c r="U19" s="91"/>
      <c r="V19" s="91"/>
    </row>
    <row r="20" spans="1:22" ht="15" thickBo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r="21" spans="1:22" ht="43" thickBot="1">
      <c r="A21" s="91"/>
      <c r="B21" s="103" t="s">
        <v>4</v>
      </c>
      <c r="C21" s="103" t="s">
        <v>216</v>
      </c>
      <c r="D21" s="103" t="s">
        <v>217</v>
      </c>
      <c r="E21" s="103" t="s">
        <v>218</v>
      </c>
      <c r="F21" s="103" t="s">
        <v>219</v>
      </c>
      <c r="G21" s="104" t="s">
        <v>220</v>
      </c>
      <c r="H21" s="105" t="s">
        <v>221</v>
      </c>
      <c r="I21" s="105" t="s">
        <v>222</v>
      </c>
      <c r="J21" s="105" t="s">
        <v>223</v>
      </c>
      <c r="K21" s="105" t="s">
        <v>224</v>
      </c>
      <c r="L21" s="105" t="s">
        <v>225</v>
      </c>
      <c r="M21" s="102" t="s">
        <v>199</v>
      </c>
      <c r="N21" s="91"/>
      <c r="O21" s="91"/>
      <c r="P21" s="91"/>
      <c r="Q21" s="91"/>
      <c r="R21" s="91"/>
      <c r="S21" s="91"/>
      <c r="T21" s="91"/>
      <c r="U21" s="91"/>
      <c r="V21" s="91"/>
    </row>
    <row r="22" spans="1:2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r="23" spans="1:22">
      <c r="A23" s="91"/>
      <c r="B23" s="98" t="s">
        <v>200</v>
      </c>
      <c r="C23" s="106">
        <v>12.024166107177734</v>
      </c>
      <c r="D23" s="106">
        <v>11.937971115112305</v>
      </c>
      <c r="E23" s="106">
        <v>12.113894462585449</v>
      </c>
      <c r="F23" s="107">
        <f>AVERAGE(C23:E23)</f>
        <v>12.025343894958496</v>
      </c>
      <c r="G23" s="108">
        <f>1000/1000*200/4*1000/900</f>
        <v>55.555555555555557</v>
      </c>
      <c r="H23" s="109">
        <f>LOG(G23)/LOG(2)</f>
        <v>5.7958592832197748</v>
      </c>
      <c r="I23" s="106">
        <f>C23-H23</f>
        <v>6.2283068239579595</v>
      </c>
      <c r="J23" s="106">
        <f>D23-H23</f>
        <v>6.1421118318925298</v>
      </c>
      <c r="K23" s="106">
        <f>E23-H23</f>
        <v>6.3180351793656744</v>
      </c>
      <c r="L23" s="107">
        <f>AVERAGE(I23:K23)</f>
        <v>6.2294846117387221</v>
      </c>
      <c r="M23" s="102"/>
      <c r="N23" s="91"/>
      <c r="O23" s="91"/>
      <c r="P23" s="91"/>
      <c r="Q23" s="91"/>
      <c r="R23" s="91"/>
      <c r="S23" s="91"/>
      <c r="T23" s="91"/>
      <c r="U23" s="91"/>
      <c r="V23" s="91"/>
    </row>
    <row r="24" spans="1:22">
      <c r="A24" s="91"/>
      <c r="B24" s="98" t="s">
        <v>201</v>
      </c>
      <c r="C24" s="106">
        <v>17.587196350097656</v>
      </c>
      <c r="D24" s="106">
        <v>17.463251113891602</v>
      </c>
      <c r="E24" s="106">
        <v>17.496953964233398</v>
      </c>
      <c r="F24" s="107">
        <f t="shared" ref="F24:F38" si="6">AVERAGE(C24:E24)</f>
        <v>17.515800476074219</v>
      </c>
      <c r="G24" s="108">
        <f t="shared" ref="G24:G27" si="7">1000/1000*200/4*1000/900</f>
        <v>55.555555555555557</v>
      </c>
      <c r="H24" s="109">
        <f t="shared" ref="H24:H38" si="8">LOG(G24)/LOG(2)</f>
        <v>5.7958592832197748</v>
      </c>
      <c r="I24" s="106">
        <f>C24-H24</f>
        <v>11.791337066877881</v>
      </c>
      <c r="J24" s="106">
        <f t="shared" ref="J24:J38" si="9">D24-H24</f>
        <v>11.667391830671827</v>
      </c>
      <c r="K24" s="106">
        <f t="shared" ref="K24:K38" si="10">E24-H24</f>
        <v>11.701094681013624</v>
      </c>
      <c r="L24" s="107">
        <f t="shared" ref="L24:L38" si="11">AVERAGE(I24:K24)</f>
        <v>11.719941192854444</v>
      </c>
      <c r="M24" s="91"/>
      <c r="N24" s="91"/>
      <c r="O24" s="91"/>
      <c r="P24" s="91"/>
      <c r="Q24" s="91"/>
      <c r="R24" s="91"/>
      <c r="S24" s="91"/>
      <c r="T24" s="91"/>
      <c r="U24" s="91"/>
      <c r="V24" s="91"/>
    </row>
    <row r="25" spans="1:22">
      <c r="A25" s="91"/>
      <c r="B25" s="98" t="s">
        <v>202</v>
      </c>
      <c r="C25" s="106">
        <v>20.035877227783203</v>
      </c>
      <c r="D25" s="106">
        <v>19.974271774291992</v>
      </c>
      <c r="E25" s="106">
        <v>19.944717407226562</v>
      </c>
      <c r="F25" s="107">
        <f t="shared" si="6"/>
        <v>19.984955469767254</v>
      </c>
      <c r="G25" s="108">
        <f t="shared" si="7"/>
        <v>55.555555555555557</v>
      </c>
      <c r="H25" s="109">
        <f t="shared" si="8"/>
        <v>5.7958592832197748</v>
      </c>
      <c r="I25" s="106">
        <f>C25-H25</f>
        <v>14.240017944563428</v>
      </c>
      <c r="J25" s="106">
        <f t="shared" si="9"/>
        <v>14.178412491072217</v>
      </c>
      <c r="K25" s="106">
        <f t="shared" si="10"/>
        <v>14.148858124006788</v>
      </c>
      <c r="L25" s="107">
        <f t="shared" si="11"/>
        <v>14.189096186547479</v>
      </c>
      <c r="M25" s="91"/>
      <c r="N25" s="91"/>
      <c r="O25" s="91"/>
      <c r="P25" s="91"/>
      <c r="Q25" s="91"/>
      <c r="R25" s="91"/>
      <c r="S25" s="91"/>
      <c r="T25" s="91"/>
      <c r="U25" s="91"/>
      <c r="V25" s="91"/>
    </row>
    <row r="26" spans="1:22">
      <c r="A26" s="91"/>
      <c r="B26" s="98" t="s">
        <v>203</v>
      </c>
      <c r="C26" s="106">
        <v>24.500289916992188</v>
      </c>
      <c r="D26" s="106">
        <v>24.458871841430664</v>
      </c>
      <c r="E26" s="106">
        <v>24.548263549804688</v>
      </c>
      <c r="F26" s="107">
        <f t="shared" si="6"/>
        <v>24.502475102742512</v>
      </c>
      <c r="G26" s="108">
        <f t="shared" si="7"/>
        <v>55.555555555555557</v>
      </c>
      <c r="H26" s="109">
        <f t="shared" si="8"/>
        <v>5.7958592832197748</v>
      </c>
      <c r="I26" s="106">
        <f>C26-H26</f>
        <v>18.704430633772411</v>
      </c>
      <c r="J26" s="106">
        <f t="shared" si="9"/>
        <v>18.663012558210887</v>
      </c>
      <c r="K26" s="106">
        <f t="shared" si="10"/>
        <v>18.752404266584911</v>
      </c>
      <c r="L26" s="107">
        <f t="shared" si="11"/>
        <v>18.706615819522735</v>
      </c>
      <c r="M26" s="102"/>
      <c r="N26" s="91"/>
      <c r="O26" s="91"/>
      <c r="P26" s="91"/>
      <c r="Q26" s="91"/>
      <c r="R26" s="91"/>
      <c r="S26" s="91"/>
      <c r="T26" s="91"/>
      <c r="U26" s="91"/>
      <c r="V26" s="91"/>
    </row>
    <row r="27" spans="1:22">
      <c r="A27" s="91"/>
      <c r="B27" s="98" t="s">
        <v>204</v>
      </c>
      <c r="C27" s="106">
        <v>27.966335296630859</v>
      </c>
      <c r="D27" s="106">
        <v>27.953102111816406</v>
      </c>
      <c r="E27" s="106">
        <v>27.858415603637695</v>
      </c>
      <c r="F27" s="107">
        <f>AVERAGE(C27:E27)</f>
        <v>27.92595100402832</v>
      </c>
      <c r="G27" s="108">
        <f t="shared" si="7"/>
        <v>55.555555555555557</v>
      </c>
      <c r="H27" s="109">
        <f t="shared" si="8"/>
        <v>5.7958592832197748</v>
      </c>
      <c r="I27" s="106">
        <f>C27-H27</f>
        <v>22.170476013411083</v>
      </c>
      <c r="J27" s="106">
        <f>D27-H27</f>
        <v>22.15724282859663</v>
      </c>
      <c r="K27" s="106">
        <f>E27-H27</f>
        <v>22.062556320417919</v>
      </c>
      <c r="L27" s="107">
        <f t="shared" si="11"/>
        <v>22.130091720808547</v>
      </c>
      <c r="M27" s="102"/>
      <c r="N27" s="91"/>
      <c r="O27" s="91"/>
      <c r="P27" s="91"/>
      <c r="Q27" s="91"/>
      <c r="R27" s="91"/>
      <c r="S27" s="91"/>
      <c r="T27" s="91"/>
      <c r="U27" s="91"/>
      <c r="V27" s="91"/>
    </row>
    <row r="28" spans="1:22">
      <c r="A28" s="91"/>
      <c r="B28" s="98" t="s">
        <v>205</v>
      </c>
      <c r="C28" s="106">
        <v>13.96388053894043</v>
      </c>
      <c r="D28" s="106">
        <v>13.646139144897461</v>
      </c>
      <c r="E28" s="106">
        <v>13.680848121643066</v>
      </c>
      <c r="F28" s="107">
        <f t="shared" si="6"/>
        <v>13.763622601826986</v>
      </c>
      <c r="G28" s="91">
        <f>1000/1000*200/4*1000/500</f>
        <v>100</v>
      </c>
      <c r="H28" s="109">
        <f t="shared" si="8"/>
        <v>6.6438561897747244</v>
      </c>
      <c r="I28" s="106">
        <f t="shared" ref="I28:I38" si="12">C28-H28</f>
        <v>7.3200243491657053</v>
      </c>
      <c r="J28" s="106">
        <f t="shared" si="9"/>
        <v>7.0022829551227366</v>
      </c>
      <c r="K28" s="106">
        <f t="shared" si="10"/>
        <v>7.036991931868342</v>
      </c>
      <c r="L28" s="107">
        <f t="shared" si="11"/>
        <v>7.119766412052261</v>
      </c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 spans="1:22">
      <c r="A29" s="91"/>
      <c r="B29" s="98" t="s">
        <v>206</v>
      </c>
      <c r="C29" s="106">
        <v>15.15186882019043</v>
      </c>
      <c r="D29" s="106">
        <v>15.517631530761719</v>
      </c>
      <c r="E29" s="106">
        <v>15.663459777832031</v>
      </c>
      <c r="F29" s="107">
        <f t="shared" si="6"/>
        <v>15.44432004292806</v>
      </c>
      <c r="G29" s="91">
        <f t="shared" ref="G29:G38" si="13">1000/1000*200/4*1000/500</f>
        <v>100</v>
      </c>
      <c r="H29" s="109">
        <f t="shared" si="8"/>
        <v>6.6438561897747244</v>
      </c>
      <c r="I29" s="106">
        <f t="shared" si="12"/>
        <v>8.5080126304157062</v>
      </c>
      <c r="J29" s="106">
        <f t="shared" si="9"/>
        <v>8.8737753409869953</v>
      </c>
      <c r="K29" s="106">
        <f t="shared" si="10"/>
        <v>9.0196035880573078</v>
      </c>
      <c r="L29" s="107">
        <f t="shared" si="11"/>
        <v>8.800463853153337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>
      <c r="A30" s="91"/>
      <c r="B30" s="98" t="s">
        <v>207</v>
      </c>
      <c r="C30" s="106">
        <v>16.251581192016602</v>
      </c>
      <c r="D30" s="106">
        <v>16.335042953491211</v>
      </c>
      <c r="E30" s="106">
        <v>16.212072372436523</v>
      </c>
      <c r="F30" s="107">
        <f t="shared" si="6"/>
        <v>16.266232172648113</v>
      </c>
      <c r="G30" s="91">
        <f t="shared" si="13"/>
        <v>100</v>
      </c>
      <c r="H30" s="109">
        <f t="shared" si="8"/>
        <v>6.6438561897747244</v>
      </c>
      <c r="I30" s="106">
        <f t="shared" si="12"/>
        <v>9.6077250022418781</v>
      </c>
      <c r="J30" s="106">
        <f t="shared" si="9"/>
        <v>9.6911867637164875</v>
      </c>
      <c r="K30" s="106">
        <f t="shared" si="10"/>
        <v>9.5682161826618</v>
      </c>
      <c r="L30" s="107">
        <f t="shared" si="11"/>
        <v>9.6223759828733879</v>
      </c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1:22">
      <c r="A31" s="91"/>
      <c r="B31" s="98" t="s">
        <v>208</v>
      </c>
      <c r="C31" s="106">
        <v>18.410284042358398</v>
      </c>
      <c r="D31" s="106">
        <v>18.640316009521484</v>
      </c>
      <c r="E31" s="106">
        <v>18.454940795898438</v>
      </c>
      <c r="F31" s="107">
        <f t="shared" si="6"/>
        <v>18.501846949259441</v>
      </c>
      <c r="G31" s="91">
        <f t="shared" si="13"/>
        <v>100</v>
      </c>
      <c r="H31" s="109">
        <f t="shared" si="8"/>
        <v>6.6438561897747244</v>
      </c>
      <c r="I31" s="106">
        <f t="shared" si="12"/>
        <v>11.766427852583675</v>
      </c>
      <c r="J31" s="106">
        <f t="shared" si="9"/>
        <v>11.996459819746761</v>
      </c>
      <c r="K31" s="106">
        <f t="shared" si="10"/>
        <v>11.811084606123714</v>
      </c>
      <c r="L31" s="107">
        <f t="shared" si="11"/>
        <v>11.857990759484716</v>
      </c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spans="1:22">
      <c r="A32" s="91"/>
      <c r="B32" s="98" t="s">
        <v>209</v>
      </c>
      <c r="C32" s="106">
        <v>18.648725509643555</v>
      </c>
      <c r="D32" s="106">
        <v>18.836643218994141</v>
      </c>
      <c r="E32" s="106">
        <v>18.618749618530273</v>
      </c>
      <c r="F32" s="107">
        <f t="shared" si="6"/>
        <v>18.701372782389324</v>
      </c>
      <c r="G32" s="91">
        <f t="shared" si="13"/>
        <v>100</v>
      </c>
      <c r="H32" s="109">
        <f t="shared" si="8"/>
        <v>6.6438561897747244</v>
      </c>
      <c r="I32" s="106">
        <f t="shared" si="12"/>
        <v>12.004869319868831</v>
      </c>
      <c r="J32" s="106">
        <f t="shared" si="9"/>
        <v>12.192787029219417</v>
      </c>
      <c r="K32" s="106">
        <f t="shared" si="10"/>
        <v>11.97489342875555</v>
      </c>
      <c r="L32" s="107">
        <f t="shared" si="11"/>
        <v>12.057516592614599</v>
      </c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 spans="1:22">
      <c r="A33" s="91"/>
      <c r="B33" s="98" t="s">
        <v>210</v>
      </c>
      <c r="C33" s="106">
        <v>19.173038482666016</v>
      </c>
      <c r="D33" s="106">
        <v>19.267778396606445</v>
      </c>
      <c r="E33" s="106">
        <v>19.15654182434082</v>
      </c>
      <c r="F33" s="107">
        <f t="shared" si="6"/>
        <v>19.199119567871094</v>
      </c>
      <c r="G33" s="91">
        <f t="shared" si="13"/>
        <v>100</v>
      </c>
      <c r="H33" s="109">
        <f t="shared" si="8"/>
        <v>6.6438561897747244</v>
      </c>
      <c r="I33" s="106">
        <f t="shared" si="12"/>
        <v>12.529182292891292</v>
      </c>
      <c r="J33" s="106">
        <f t="shared" si="9"/>
        <v>12.623922206831722</v>
      </c>
      <c r="K33" s="106">
        <f t="shared" si="10"/>
        <v>12.512685634566097</v>
      </c>
      <c r="L33" s="107">
        <f t="shared" si="11"/>
        <v>12.55526337809637</v>
      </c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spans="1:22">
      <c r="A34" s="91"/>
      <c r="B34" s="98" t="s">
        <v>211</v>
      </c>
      <c r="C34" s="106">
        <v>20.283313751220703</v>
      </c>
      <c r="D34" s="106">
        <v>20.449991226196289</v>
      </c>
      <c r="E34" s="106">
        <v>20.311237335205078</v>
      </c>
      <c r="F34" s="107">
        <f t="shared" si="6"/>
        <v>20.348180770874023</v>
      </c>
      <c r="G34" s="91">
        <f t="shared" si="13"/>
        <v>100</v>
      </c>
      <c r="H34" s="109">
        <f t="shared" si="8"/>
        <v>6.6438561897747244</v>
      </c>
      <c r="I34" s="106">
        <f t="shared" si="12"/>
        <v>13.63945756144598</v>
      </c>
      <c r="J34" s="106">
        <f t="shared" si="9"/>
        <v>13.806135036421566</v>
      </c>
      <c r="K34" s="106">
        <f t="shared" si="10"/>
        <v>13.667381145430355</v>
      </c>
      <c r="L34" s="107">
        <f t="shared" si="11"/>
        <v>13.7043245810993</v>
      </c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spans="1:22">
      <c r="A35" s="91"/>
      <c r="B35" s="98" t="s">
        <v>212</v>
      </c>
      <c r="C35" s="106">
        <v>21.243825912475586</v>
      </c>
      <c r="D35" s="106">
        <v>21.539775848388672</v>
      </c>
      <c r="E35" s="106">
        <v>21.392797470092773</v>
      </c>
      <c r="F35" s="107">
        <f t="shared" si="6"/>
        <v>21.392133076985676</v>
      </c>
      <c r="G35" s="91">
        <f t="shared" si="13"/>
        <v>100</v>
      </c>
      <c r="H35" s="109">
        <f t="shared" si="8"/>
        <v>6.6438561897747244</v>
      </c>
      <c r="I35" s="106">
        <f t="shared" si="12"/>
        <v>14.599969722700862</v>
      </c>
      <c r="J35" s="106">
        <f t="shared" si="9"/>
        <v>14.895919658613948</v>
      </c>
      <c r="K35" s="106">
        <f t="shared" si="10"/>
        <v>14.74894128031805</v>
      </c>
      <c r="L35" s="107">
        <f t="shared" si="11"/>
        <v>14.748276887210954</v>
      </c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spans="1:22">
      <c r="A36" s="91"/>
      <c r="B36" s="98" t="s">
        <v>213</v>
      </c>
      <c r="C36" s="106">
        <v>22.513101577758789</v>
      </c>
      <c r="D36" s="106">
        <v>22.496644973754883</v>
      </c>
      <c r="E36" s="106">
        <v>22.572574615478516</v>
      </c>
      <c r="F36" s="107">
        <f t="shared" si="6"/>
        <v>22.527440388997395</v>
      </c>
      <c r="G36" s="91">
        <f t="shared" si="13"/>
        <v>100</v>
      </c>
      <c r="H36" s="109">
        <f t="shared" si="8"/>
        <v>6.6438561897747244</v>
      </c>
      <c r="I36" s="106">
        <f t="shared" si="12"/>
        <v>15.869245387984066</v>
      </c>
      <c r="J36" s="106">
        <f t="shared" si="9"/>
        <v>15.852788783980159</v>
      </c>
      <c r="K36" s="106">
        <f t="shared" si="10"/>
        <v>15.928718425703792</v>
      </c>
      <c r="L36" s="107">
        <f t="shared" si="11"/>
        <v>15.883584199222673</v>
      </c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spans="1:22">
      <c r="A37" s="91"/>
      <c r="B37" s="98" t="s">
        <v>214</v>
      </c>
      <c r="C37" s="106">
        <v>25.11761474609375</v>
      </c>
      <c r="D37" s="106">
        <v>25.00200080871582</v>
      </c>
      <c r="E37" s="106">
        <v>25.069990158081055</v>
      </c>
      <c r="F37" s="107">
        <f t="shared" si="6"/>
        <v>25.063201904296875</v>
      </c>
      <c r="G37" s="91">
        <f t="shared" si="13"/>
        <v>100</v>
      </c>
      <c r="H37" s="109">
        <f t="shared" si="8"/>
        <v>6.6438561897747244</v>
      </c>
      <c r="I37" s="106">
        <f t="shared" si="12"/>
        <v>18.473758556319027</v>
      </c>
      <c r="J37" s="106">
        <f t="shared" si="9"/>
        <v>18.358144618941097</v>
      </c>
      <c r="K37" s="106">
        <f t="shared" si="10"/>
        <v>18.426133968306331</v>
      </c>
      <c r="L37" s="107">
        <f t="shared" si="11"/>
        <v>18.419345714522152</v>
      </c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spans="1:22">
      <c r="A38" s="91"/>
      <c r="B38" s="98" t="s">
        <v>215</v>
      </c>
      <c r="C38" s="106">
        <v>25.78911018371582</v>
      </c>
      <c r="D38" s="106">
        <v>25.811565399169922</v>
      </c>
      <c r="E38" s="106">
        <v>25.885698318481445</v>
      </c>
      <c r="F38" s="107">
        <f t="shared" si="6"/>
        <v>25.82879130045573</v>
      </c>
      <c r="G38" s="91">
        <f t="shared" si="13"/>
        <v>100</v>
      </c>
      <c r="H38" s="109">
        <f t="shared" si="8"/>
        <v>6.6438561897747244</v>
      </c>
      <c r="I38" s="106">
        <f t="shared" si="12"/>
        <v>19.145253993941097</v>
      </c>
      <c r="J38" s="106">
        <f t="shared" si="9"/>
        <v>19.167709209395198</v>
      </c>
      <c r="K38" s="106">
        <f t="shared" si="10"/>
        <v>19.241842128706722</v>
      </c>
      <c r="L38" s="107">
        <f t="shared" si="11"/>
        <v>19.184935110681007</v>
      </c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spans="1:22">
      <c r="A39" s="91"/>
      <c r="B39" s="91"/>
      <c r="C39" s="91"/>
      <c r="D39" s="91"/>
      <c r="E39" s="91"/>
      <c r="F39" s="109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spans="1:22">
      <c r="A40" s="91"/>
      <c r="B40" s="98" t="s">
        <v>226</v>
      </c>
      <c r="C40" s="106">
        <v>10.746070861816406</v>
      </c>
      <c r="D40" s="106">
        <v>10.822755813598633</v>
      </c>
      <c r="E40" s="106">
        <v>10.731834411621094</v>
      </c>
      <c r="F40" s="107">
        <f>AVERAGE(C40:E40)</f>
        <v>10.766887029012045</v>
      </c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spans="1:22">
      <c r="A42" s="91"/>
      <c r="B42" s="102" t="s">
        <v>227</v>
      </c>
      <c r="C42" s="91" t="s">
        <v>228</v>
      </c>
      <c r="D42" s="91"/>
      <c r="E42" s="91"/>
      <c r="F42" t="s">
        <v>229</v>
      </c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spans="1:22">
      <c r="A43" s="91"/>
      <c r="B43" s="91" t="s">
        <v>230</v>
      </c>
      <c r="C43" s="91" t="s">
        <v>228</v>
      </c>
      <c r="D43" s="91"/>
      <c r="E43" s="91"/>
      <c r="F43">
        <v>0.34642903804779052</v>
      </c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spans="1:22">
      <c r="A44" s="91"/>
      <c r="B44" s="91"/>
      <c r="C44" s="110" t="s">
        <v>231</v>
      </c>
      <c r="D44" s="111">
        <v>-3.9893000000000001</v>
      </c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spans="1:22">
      <c r="A45" s="91"/>
      <c r="B45" s="91"/>
      <c r="C45" s="110" t="s">
        <v>232</v>
      </c>
      <c r="D45" s="111">
        <v>40.134999999999998</v>
      </c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r="46" spans="1:22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spans="1:22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spans="1:22">
      <c r="A48" s="91"/>
      <c r="B48" s="102" t="s">
        <v>233</v>
      </c>
      <c r="C48" s="91"/>
      <c r="D48" s="91">
        <f>-1+ POWER(10,-(1/D44))</f>
        <v>0.78102716558460528</v>
      </c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spans="1:22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spans="1:22">
      <c r="A50" s="91"/>
      <c r="B50" s="102" t="s">
        <v>234</v>
      </c>
      <c r="C50" s="112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spans="1:2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spans="1:2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22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spans="1:22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spans="1:22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38" workbookViewId="0">
      <selection activeCell="A58" sqref="A58:C60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13" t="s">
        <v>235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</row>
    <row r="2" spans="1:29">
      <c r="A2" s="138" t="s">
        <v>4</v>
      </c>
      <c r="B2" s="138" t="s">
        <v>117</v>
      </c>
      <c r="C2" s="138" t="s">
        <v>117</v>
      </c>
      <c r="D2" s="138" t="s">
        <v>5</v>
      </c>
      <c r="E2" s="152" t="s">
        <v>236</v>
      </c>
      <c r="F2" s="152" t="s">
        <v>237</v>
      </c>
      <c r="G2" s="152" t="s">
        <v>238</v>
      </c>
      <c r="H2" s="154" t="s">
        <v>239</v>
      </c>
      <c r="I2" s="154" t="s">
        <v>240</v>
      </c>
      <c r="J2" s="154" t="s">
        <v>241</v>
      </c>
      <c r="K2" s="152" t="s">
        <v>242</v>
      </c>
      <c r="L2" s="152" t="s">
        <v>243</v>
      </c>
      <c r="M2" s="152" t="s">
        <v>244</v>
      </c>
      <c r="N2" s="152" t="s">
        <v>245</v>
      </c>
      <c r="O2" s="152" t="s">
        <v>246</v>
      </c>
      <c r="P2" s="154" t="s">
        <v>247</v>
      </c>
      <c r="Q2" s="154" t="s">
        <v>248</v>
      </c>
      <c r="R2" s="154" t="s">
        <v>249</v>
      </c>
      <c r="S2" s="154" t="s">
        <v>250</v>
      </c>
      <c r="T2" s="91"/>
      <c r="U2" s="91"/>
      <c r="V2" s="91"/>
      <c r="W2" s="91"/>
      <c r="X2" s="91"/>
      <c r="Y2" s="91"/>
      <c r="Z2" s="91"/>
      <c r="AA2" s="91"/>
      <c r="AB2" s="91"/>
      <c r="AC2" s="91"/>
    </row>
    <row r="3" spans="1:29">
      <c r="A3" s="139"/>
      <c r="B3" s="139"/>
      <c r="C3" s="139"/>
      <c r="D3" s="139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91"/>
      <c r="U3" s="91"/>
      <c r="V3" s="91"/>
      <c r="W3" s="91"/>
      <c r="X3" s="91"/>
      <c r="Y3" s="91"/>
      <c r="Z3" s="91"/>
      <c r="AA3" s="91"/>
      <c r="AB3" s="91"/>
      <c r="AC3" s="91"/>
    </row>
    <row r="4" spans="1:29">
      <c r="A4" s="40">
        <v>0</v>
      </c>
      <c r="B4" s="32">
        <v>10</v>
      </c>
      <c r="C4" s="32">
        <f>B4</f>
        <v>10</v>
      </c>
      <c r="D4" s="13">
        <f t="shared" ref="D4:D18" si="0">C4/60</f>
        <v>0.16666666666666666</v>
      </c>
      <c r="E4" s="106">
        <v>23.959550857543945</v>
      </c>
      <c r="F4" s="106">
        <v>23.973793029785156</v>
      </c>
      <c r="G4" s="107">
        <v>24.031345367431641</v>
      </c>
      <c r="H4" s="114">
        <f t="shared" ref="H4:H20" si="1">(E4-$H$63)+$H$67</f>
        <v>24.408654058081474</v>
      </c>
      <c r="I4" s="114">
        <f t="shared" ref="I4:I20" si="2">(F4-$H$63)+$H$67</f>
        <v>24.422896230322685</v>
      </c>
      <c r="J4" s="114">
        <f t="shared" ref="J4:J20" si="3">(G4-$H$63)+$H$67</f>
        <v>24.480448567969169</v>
      </c>
      <c r="K4" s="107">
        <f>((H4-'CalibrationB. hydrogenotrophica'!$D$45)/('CalibrationB. hydrogenotrophica'!$D$44))+$B$24</f>
        <v>7.5953442015196906</v>
      </c>
      <c r="L4" s="107">
        <f>((I4-'CalibrationB. hydrogenotrophica'!$D$45)/('CalibrationB. hydrogenotrophica'!$D$44))+$B$24</f>
        <v>7.591774108460454</v>
      </c>
      <c r="M4" s="107">
        <f>((J4-'CalibrationB. hydrogenotrophica'!$D$45)/('CalibrationB. hydrogenotrophica'!$D$44))+$B$24</f>
        <v>7.5773474326911501</v>
      </c>
      <c r="N4" s="115">
        <f>AVERAGE(K4:M4)</f>
        <v>7.5881552475570979</v>
      </c>
      <c r="O4" s="115">
        <f>STDEV(K4:M4)</f>
        <v>9.5285380696809672E-3</v>
      </c>
      <c r="P4" s="116">
        <f>(AVERAGE(POWER(10,K4),POWER(10,L4),POWER(10,M4)))*Calculation!$I4/Calculation!$K3</f>
        <v>38745804.477799922</v>
      </c>
      <c r="Q4" s="116">
        <f>(STDEV(POWER(10,K4),POWER(10,L4),POWER(10,M4)))*Calculation!$I4/Calculation!$K3</f>
        <v>845484.64518621308</v>
      </c>
      <c r="R4" s="115">
        <f>LOG(P4)</f>
        <v>7.5882246825639372</v>
      </c>
      <c r="S4" s="115">
        <f>O4*Calculation!$I4/Calculation!$K3</f>
        <v>9.5285380696809672E-3</v>
      </c>
      <c r="T4" s="91"/>
      <c r="U4" s="91"/>
      <c r="V4" s="91"/>
      <c r="W4" s="91"/>
      <c r="X4" s="91"/>
      <c r="Y4" s="91"/>
      <c r="Z4" s="91"/>
      <c r="AA4" s="91"/>
      <c r="AB4" s="91"/>
      <c r="AC4" s="91"/>
    </row>
    <row r="5" spans="1:2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06">
        <v>23.362401962280273</v>
      </c>
      <c r="F5" s="106">
        <v>23.027162551879883</v>
      </c>
      <c r="G5" s="107">
        <v>23.169878005981445</v>
      </c>
      <c r="H5" s="114">
        <f t="shared" si="1"/>
        <v>23.811505162817802</v>
      </c>
      <c r="I5" s="114">
        <f t="shared" si="2"/>
        <v>23.476265752417412</v>
      </c>
      <c r="J5" s="114">
        <f t="shared" si="3"/>
        <v>23.618981206518974</v>
      </c>
      <c r="K5" s="107">
        <f>((H5-'CalibrationB. hydrogenotrophica'!$D$45)/('CalibrationB. hydrogenotrophica'!$D$44))+$B$24</f>
        <v>7.7450318397679219</v>
      </c>
      <c r="L5" s="107">
        <f>((I5-'CalibrationB. hydrogenotrophica'!$D$45)/('CalibrationB. hydrogenotrophica'!$D$44))+$B$24</f>
        <v>7.8290664850441338</v>
      </c>
      <c r="M5" s="107">
        <f>((J5-'CalibrationB. hydrogenotrophica'!$D$45)/('CalibrationB. hydrogenotrophica'!$D$44))+$B$24</f>
        <v>7.7932919245694734</v>
      </c>
      <c r="N5" s="115">
        <f t="shared" ref="N5:N20" si="4">AVERAGE(K5:M5)</f>
        <v>7.7891300831271764</v>
      </c>
      <c r="O5" s="115">
        <f t="shared" ref="O5:O20" si="5">STDEV(K5:M5)</f>
        <v>4.2171626656056428E-2</v>
      </c>
      <c r="P5" s="116">
        <f>(AVERAGE(POWER(10,K5),POWER(10,L5),POWER(10,M5)))*Calculation!$I5/Calculation!$K4</f>
        <v>61728760.752994791</v>
      </c>
      <c r="Q5" s="116">
        <f>(STDEV(POWER(10,K5),POWER(10,L5),POWER(10,M5)))*Calculation!$I5/Calculation!$K4</f>
        <v>5944410.7159251031</v>
      </c>
      <c r="R5" s="115">
        <f t="shared" ref="R5:R19" si="6">LOG(P5)</f>
        <v>7.7904875582964728</v>
      </c>
      <c r="S5" s="115">
        <f>O5*Calculation!$I5/Calculation!$K4</f>
        <v>4.2171626656056428E-2</v>
      </c>
      <c r="T5" s="91"/>
      <c r="U5" s="91"/>
      <c r="V5" s="91"/>
      <c r="W5" s="91"/>
      <c r="X5" s="91"/>
      <c r="Y5" s="91"/>
      <c r="Z5" s="91"/>
      <c r="AA5" s="91"/>
      <c r="AB5" s="91"/>
      <c r="AC5" s="91"/>
    </row>
    <row r="6" spans="1:2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106">
        <v>21.658449172973633</v>
      </c>
      <c r="F6" s="106">
        <v>21.890220642089844</v>
      </c>
      <c r="G6" s="107">
        <v>21.863592147827148</v>
      </c>
      <c r="H6" s="114">
        <f t="shared" si="1"/>
        <v>22.107552373511162</v>
      </c>
      <c r="I6" s="114">
        <f t="shared" si="2"/>
        <v>22.339323842627373</v>
      </c>
      <c r="J6" s="114">
        <f t="shared" si="3"/>
        <v>22.312695348364677</v>
      </c>
      <c r="K6" s="107">
        <f>((H6-'CalibrationB. hydrogenotrophica'!$D$45)/('CalibrationB. hydrogenotrophica'!$D$44))+$B$24</f>
        <v>8.1721626119100623</v>
      </c>
      <c r="L6" s="107">
        <f>((I6-'CalibrationB. hydrogenotrophica'!$D$45)/('CalibrationB. hydrogenotrophica'!$D$44))+$B$24</f>
        <v>8.114064331731532</v>
      </c>
      <c r="M6" s="107">
        <f>((J6-'CalibrationB. hydrogenotrophica'!$D$45)/('CalibrationB. hydrogenotrophica'!$D$44))+$B$24</f>
        <v>8.1207393108663926</v>
      </c>
      <c r="N6" s="115">
        <f t="shared" si="4"/>
        <v>8.1356554181693284</v>
      </c>
      <c r="O6" s="115">
        <f t="shared" si="5"/>
        <v>3.1791826508244025E-2</v>
      </c>
      <c r="P6" s="116">
        <f>(AVERAGE(POWER(10,K6),POWER(10,L6),POWER(10,M6)))*Calculation!$I6/Calculation!$K5</f>
        <v>137003298.47000331</v>
      </c>
      <c r="Q6" s="116">
        <f>(STDEV(POWER(10,K6),POWER(10,L6),POWER(10,M6)))*Calculation!$I6/Calculation!$K5</f>
        <v>10221388.990752097</v>
      </c>
      <c r="R6" s="115">
        <f t="shared" si="6"/>
        <v>8.1367310232883536</v>
      </c>
      <c r="S6" s="115">
        <f>O6*Calculation!$I6/Calculation!$K5</f>
        <v>3.1813049356380373E-2</v>
      </c>
      <c r="T6" s="91"/>
      <c r="U6" s="91"/>
      <c r="V6" s="91"/>
      <c r="W6" s="91"/>
      <c r="X6" s="91"/>
      <c r="Y6" s="91"/>
      <c r="Z6" s="91"/>
      <c r="AA6" s="91"/>
      <c r="AB6" s="91"/>
      <c r="AC6" s="91"/>
    </row>
    <row r="7" spans="1:2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106">
        <v>21.072175979614258</v>
      </c>
      <c r="F7" s="106">
        <v>21.446418762207031</v>
      </c>
      <c r="G7" s="107">
        <v>20.793190002441406</v>
      </c>
      <c r="H7" s="114">
        <f t="shared" si="1"/>
        <v>21.521279180151787</v>
      </c>
      <c r="I7" s="114">
        <f t="shared" si="2"/>
        <v>21.89552196274456</v>
      </c>
      <c r="J7" s="114">
        <f t="shared" si="3"/>
        <v>21.242293202978935</v>
      </c>
      <c r="K7" s="107">
        <f>((H7-'CalibrationB. hydrogenotrophica'!$D$45)/('CalibrationB. hydrogenotrophica'!$D$44))+$B$24</f>
        <v>8.3191240320487783</v>
      </c>
      <c r="L7" s="107">
        <f>((I7-'CalibrationB. hydrogenotrophica'!$D$45)/('CalibrationB. hydrogenotrophica'!$D$44))+$B$24</f>
        <v>8.2253123902587966</v>
      </c>
      <c r="M7" s="107">
        <f>((J7-'CalibrationB. hydrogenotrophica'!$D$45)/('CalibrationB. hydrogenotrophica'!$D$44))+$B$24</f>
        <v>8.3890575986326024</v>
      </c>
      <c r="N7" s="115">
        <f t="shared" si="4"/>
        <v>8.3111646736467275</v>
      </c>
      <c r="O7" s="115">
        <f t="shared" si="5"/>
        <v>8.2162259316394856E-2</v>
      </c>
      <c r="P7" s="116">
        <f>(AVERAGE(POWER(10,K7),POWER(10,L7),POWER(10,M7)))*Calculation!$I7/Calculation!$K6</f>
        <v>207858478.05868867</v>
      </c>
      <c r="Q7" s="116">
        <f>(STDEV(POWER(10,K7),POWER(10,L7),POWER(10,M7)))*Calculation!$I7/Calculation!$K6</f>
        <v>38618518.169664361</v>
      </c>
      <c r="R7" s="115">
        <f t="shared" si="6"/>
        <v>8.3177677430544783</v>
      </c>
      <c r="S7" s="115">
        <f>O7*Calculation!$I7/Calculation!$K6</f>
        <v>8.2443444815228265E-2</v>
      </c>
      <c r="T7" s="91"/>
      <c r="U7" s="91"/>
      <c r="V7" s="91"/>
      <c r="W7" s="91"/>
      <c r="X7" s="91"/>
      <c r="Y7" s="91"/>
      <c r="Z7" s="91"/>
      <c r="AA7" s="91"/>
      <c r="AB7" s="91"/>
      <c r="AC7" s="91"/>
    </row>
    <row r="8" spans="1:29">
      <c r="A8" s="40">
        <v>4</v>
      </c>
      <c r="B8" s="32">
        <v>80</v>
      </c>
      <c r="C8" s="32">
        <f t="shared" ref="C8:C18" si="7">C7+B8</f>
        <v>360</v>
      </c>
      <c r="D8" s="13">
        <f t="shared" si="0"/>
        <v>6</v>
      </c>
      <c r="E8" s="106">
        <v>20.032522201538086</v>
      </c>
      <c r="F8" s="106">
        <v>20.029813766479492</v>
      </c>
      <c r="G8" s="107">
        <v>19.538154602050781</v>
      </c>
      <c r="H8" s="114">
        <f t="shared" si="1"/>
        <v>20.481625402075615</v>
      </c>
      <c r="I8" s="114">
        <f t="shared" si="2"/>
        <v>20.478916967017021</v>
      </c>
      <c r="J8" s="114">
        <f t="shared" si="3"/>
        <v>19.98725780258831</v>
      </c>
      <c r="K8" s="107">
        <f>((H8-'CalibrationB. hydrogenotrophica'!$D$45)/('CalibrationB. hydrogenotrophica'!$D$44))+$B$24</f>
        <v>8.5797346098634755</v>
      </c>
      <c r="L8" s="107">
        <f>((I8-'CalibrationB. hydrogenotrophica'!$D$45)/('CalibrationB. hydrogenotrophica'!$D$44))+$B$24</f>
        <v>8.5804135347521999</v>
      </c>
      <c r="M8" s="107">
        <f>((J8-'CalibrationB. hydrogenotrophica'!$D$45)/('CalibrationB. hydrogenotrophica'!$D$44))+$B$24</f>
        <v>8.703658004816802</v>
      </c>
      <c r="N8" s="115">
        <f t="shared" si="4"/>
        <v>8.621268716477493</v>
      </c>
      <c r="O8" s="115">
        <f t="shared" si="5"/>
        <v>7.1352024214765927E-2</v>
      </c>
      <c r="P8" s="116">
        <f>(AVERAGE(POWER(10,K8),POWER(10,L8),POWER(10,M8)))*Calculation!$I8/Calculation!$K7</f>
        <v>425524649.3787936</v>
      </c>
      <c r="Q8" s="116">
        <f>(STDEV(POWER(10,K8),POWER(10,L8),POWER(10,M8)))*Calculation!$I8/Calculation!$K7</f>
        <v>72876111.888889283</v>
      </c>
      <c r="R8" s="115">
        <f t="shared" si="6"/>
        <v>8.6289247225384198</v>
      </c>
      <c r="S8" s="115">
        <f>O8*Calculation!$I8/Calculation!$K7</f>
        <v>7.1951655831011693E-2</v>
      </c>
      <c r="T8" s="91"/>
      <c r="U8" s="91"/>
      <c r="V8" s="91"/>
      <c r="W8" s="91"/>
      <c r="X8" s="91"/>
      <c r="Y8" s="91"/>
      <c r="Z8" s="91"/>
      <c r="AA8" s="91"/>
      <c r="AB8" s="91"/>
      <c r="AC8" s="91"/>
    </row>
    <row r="9" spans="1:29">
      <c r="A9" s="40">
        <v>5</v>
      </c>
      <c r="B9" s="32">
        <v>80</v>
      </c>
      <c r="C9" s="32">
        <f t="shared" si="7"/>
        <v>440</v>
      </c>
      <c r="D9" s="13">
        <f t="shared" si="0"/>
        <v>7.333333333333333</v>
      </c>
      <c r="E9" s="106">
        <v>19.6385498046875</v>
      </c>
      <c r="F9" s="106">
        <v>19.700126647949219</v>
      </c>
      <c r="G9" s="107">
        <v>18.61285400390625</v>
      </c>
      <c r="H9" s="114">
        <f t="shared" si="1"/>
        <v>20.087653005225029</v>
      </c>
      <c r="I9" s="114">
        <f t="shared" si="2"/>
        <v>20.149229848486748</v>
      </c>
      <c r="J9" s="114">
        <f t="shared" si="3"/>
        <v>19.061957204443779</v>
      </c>
      <c r="K9" s="107">
        <f>((H9-'CalibrationB. hydrogenotrophica'!$D$45)/('CalibrationB. hydrogenotrophica'!$D$44))+$B$24</f>
        <v>8.6784918847865402</v>
      </c>
      <c r="L9" s="107">
        <f>((I9-'CalibrationB. hydrogenotrophica'!$D$45)/('CalibrationB. hydrogenotrophica'!$D$44))+$B$24</f>
        <v>8.6630563840065236</v>
      </c>
      <c r="M9" s="107">
        <f>((J9-'CalibrationB. hydrogenotrophica'!$D$45)/('CalibrationB. hydrogenotrophica'!$D$44))+$B$24</f>
        <v>8.9356036088437065</v>
      </c>
      <c r="N9" s="115">
        <f t="shared" si="4"/>
        <v>8.7590506258789222</v>
      </c>
      <c r="O9" s="115">
        <f t="shared" si="5"/>
        <v>0.1530940250839487</v>
      </c>
      <c r="P9" s="116">
        <f>(AVERAGE(POWER(10,K9),POWER(10,L9),POWER(10,M9)))*Calculation!$I9/Calculation!$K8</f>
        <v>611484808.93678367</v>
      </c>
      <c r="Q9" s="116">
        <f>(STDEV(POWER(10,K9),POWER(10,L9),POWER(10,M9)))*Calculation!$I9/Calculation!$K8</f>
        <v>231786647.69299904</v>
      </c>
      <c r="R9" s="115">
        <f t="shared" si="6"/>
        <v>8.7863856723667801</v>
      </c>
      <c r="S9" s="115">
        <f>O9*Calculation!$I9/Calculation!$K8</f>
        <v>0.1560696697987477</v>
      </c>
      <c r="T9" s="91"/>
      <c r="U9" s="91"/>
      <c r="V9" s="91"/>
      <c r="W9" s="91"/>
      <c r="X9" s="91"/>
      <c r="Y9" s="91"/>
      <c r="Z9" s="91"/>
      <c r="AA9" s="91"/>
      <c r="AB9" s="91"/>
      <c r="AC9" s="91"/>
    </row>
    <row r="10" spans="1:29">
      <c r="A10" s="40">
        <v>6</v>
      </c>
      <c r="B10" s="32">
        <v>80</v>
      </c>
      <c r="C10" s="32">
        <f t="shared" si="7"/>
        <v>520</v>
      </c>
      <c r="D10" s="13">
        <f t="shared" si="0"/>
        <v>8.6666666666666661</v>
      </c>
      <c r="E10" s="106">
        <v>18.215572357177734</v>
      </c>
      <c r="F10" s="106">
        <v>17.547183990478516</v>
      </c>
      <c r="G10" s="107">
        <v>18.021236419677734</v>
      </c>
      <c r="H10" s="114">
        <f t="shared" si="1"/>
        <v>18.664675557715263</v>
      </c>
      <c r="I10" s="114">
        <f t="shared" si="2"/>
        <v>17.996287191016044</v>
      </c>
      <c r="J10" s="114">
        <f t="shared" si="3"/>
        <v>18.470339620215263</v>
      </c>
      <c r="K10" s="107">
        <f>((H10-'CalibrationB. hydrogenotrophica'!$D$45)/('CalibrationB. hydrogenotrophica'!$D$44))+$B$24</f>
        <v>9.0351904152329254</v>
      </c>
      <c r="L10" s="107">
        <f>((I10-'CalibrationB. hydrogenotrophica'!$D$45)/('CalibrationB. hydrogenotrophica'!$D$44))+$B$24</f>
        <v>9.2027356905191215</v>
      </c>
      <c r="M10" s="107">
        <f>((J10-'CalibrationB. hydrogenotrophica'!$D$45)/('CalibrationB. hydrogenotrophica'!$D$44))+$B$24</f>
        <v>9.0839047103473565</v>
      </c>
      <c r="N10" s="115">
        <f t="shared" si="4"/>
        <v>9.1072769386997994</v>
      </c>
      <c r="O10" s="115">
        <f t="shared" si="5"/>
        <v>8.6183238575148258E-2</v>
      </c>
      <c r="P10" s="116">
        <f>(AVERAGE(POWER(10,K10),POWER(10,L10),POWER(10,M10)))*Calculation!$I10/Calculation!$K9</f>
        <v>1333685574.8420775</v>
      </c>
      <c r="Q10" s="116">
        <f>(STDEV(POWER(10,K10),POWER(10,L10),POWER(10,M10)))*Calculation!$I10/Calculation!$K9</f>
        <v>272910412.92703485</v>
      </c>
      <c r="R10" s="115">
        <f t="shared" si="6"/>
        <v>9.1250534538635577</v>
      </c>
      <c r="S10" s="115">
        <f>O10*Calculation!$I10/Calculation!$K9</f>
        <v>8.858829853446161E-2</v>
      </c>
      <c r="T10" s="91"/>
      <c r="U10" s="91"/>
      <c r="V10" s="91"/>
      <c r="W10" s="91"/>
      <c r="X10" s="91"/>
      <c r="Y10" s="91"/>
      <c r="Z10" s="91"/>
      <c r="AA10" s="91"/>
      <c r="AB10" s="91"/>
      <c r="AC10" s="91"/>
    </row>
    <row r="11" spans="1:29">
      <c r="A11" s="40">
        <v>7</v>
      </c>
      <c r="B11" s="32">
        <v>80</v>
      </c>
      <c r="C11" s="32">
        <f t="shared" si="7"/>
        <v>600</v>
      </c>
      <c r="D11" s="13">
        <f t="shared" si="0"/>
        <v>10</v>
      </c>
      <c r="E11" s="106">
        <v>17.528949737548828</v>
      </c>
      <c r="F11" s="106">
        <v>18.213899612426758</v>
      </c>
      <c r="G11" s="107">
        <v>18.018901824951172</v>
      </c>
      <c r="H11" s="114">
        <f t="shared" si="1"/>
        <v>17.978052938086357</v>
      </c>
      <c r="I11" s="114">
        <f t="shared" si="2"/>
        <v>18.663002812964287</v>
      </c>
      <c r="J11" s="114">
        <f t="shared" si="3"/>
        <v>18.468005025488701</v>
      </c>
      <c r="K11" s="107">
        <f>((H11-'CalibrationB. hydrogenotrophica'!$D$45)/('CalibrationB. hydrogenotrophica'!$D$44))+$B$24</f>
        <v>9.2073064806150491</v>
      </c>
      <c r="L11" s="107">
        <f>((I11-'CalibrationB. hydrogenotrophica'!$D$45)/('CalibrationB. hydrogenotrophica'!$D$44))+$B$24</f>
        <v>9.0356097230691326</v>
      </c>
      <c r="M11" s="107">
        <f>((J11-'CalibrationB. hydrogenotrophica'!$D$45)/('CalibrationB. hydrogenotrophica'!$D$44))+$B$24</f>
        <v>9.0844899244767934</v>
      </c>
      <c r="N11" s="115">
        <f t="shared" si="4"/>
        <v>9.1091353760536578</v>
      </c>
      <c r="O11" s="115">
        <f t="shared" si="5"/>
        <v>8.8461815776729374E-2</v>
      </c>
      <c r="P11" s="116">
        <f>(AVERAGE(POWER(10,K11),POWER(10,L11),POWER(10,M11)))*Calculation!$I11/Calculation!$K10</f>
        <v>1351825273.1953261</v>
      </c>
      <c r="Q11" s="116">
        <f>(STDEV(POWER(10,K11),POWER(10,L11),POWER(10,M11)))*Calculation!$I11/Calculation!$K10</f>
        <v>284339542.79528153</v>
      </c>
      <c r="R11" s="115">
        <f t="shared" si="6"/>
        <v>9.1309205615827427</v>
      </c>
      <c r="S11" s="115">
        <f>O11*Calculation!$I11/Calculation!$K10</f>
        <v>9.1706440087882465E-2</v>
      </c>
      <c r="T11" s="91"/>
      <c r="U11" s="91"/>
      <c r="V11" s="91"/>
      <c r="W11" s="91"/>
      <c r="X11" s="91"/>
      <c r="Y11" s="91"/>
      <c r="Z11" s="91"/>
      <c r="AA11" s="91"/>
      <c r="AB11" s="91"/>
      <c r="AC11" s="91"/>
    </row>
    <row r="12" spans="1:29">
      <c r="A12" s="40">
        <v>8</v>
      </c>
      <c r="B12" s="32">
        <v>80</v>
      </c>
      <c r="C12" s="32">
        <f t="shared" si="7"/>
        <v>680</v>
      </c>
      <c r="D12" s="13">
        <f t="shared" si="0"/>
        <v>11.333333333333334</v>
      </c>
      <c r="E12" s="106">
        <v>17.644832611083984</v>
      </c>
      <c r="F12" s="106">
        <v>17.611955642700195</v>
      </c>
      <c r="G12" s="107">
        <v>17.257867813110352</v>
      </c>
      <c r="H12" s="114">
        <f t="shared" si="1"/>
        <v>18.093935811621513</v>
      </c>
      <c r="I12" s="114">
        <f t="shared" si="2"/>
        <v>18.061058843237724</v>
      </c>
      <c r="J12" s="114">
        <f t="shared" si="3"/>
        <v>17.70697101364788</v>
      </c>
      <c r="K12" s="107">
        <f>((H12-'CalibrationB. hydrogenotrophica'!$D$45)/('CalibrationB. hydrogenotrophica'!$D$44))+$B$24</f>
        <v>9.1782580576999635</v>
      </c>
      <c r="L12" s="107">
        <f>((I12-'CalibrationB. hydrogenotrophica'!$D$45)/('CalibrationB. hydrogenotrophica'!$D$44))+$B$24</f>
        <v>9.1864993452400796</v>
      </c>
      <c r="M12" s="107">
        <f>((J12-'CalibrationB. hydrogenotrophica'!$D$45)/('CalibrationB. hydrogenotrophica'!$D$44))+$B$24</f>
        <v>9.275258734002481</v>
      </c>
      <c r="N12" s="115">
        <f>AVERAGE(K12:M12)</f>
        <v>9.2133387123141741</v>
      </c>
      <c r="O12" s="115">
        <f>STDEV(K12:M12)</f>
        <v>5.3782399718587878E-2</v>
      </c>
      <c r="P12" s="116">
        <f>(AVERAGE(POWER(10,K12),POWER(10,L12),POWER(10,M12)))*Calculation!$I12/Calculation!$K11</f>
        <v>1709950842.8654366</v>
      </c>
      <c r="Q12" s="116">
        <f>(STDEV(POWER(10,K12),POWER(10,L12),POWER(10,M12)))*Calculation!$I12/Calculation!$K11</f>
        <v>218548172.14813295</v>
      </c>
      <c r="R12" s="115">
        <f>LOG(P12)</f>
        <v>9.2329836256090267</v>
      </c>
      <c r="S12" s="115">
        <f>O12*Calculation!$I12/Calculation!$K11</f>
        <v>5.5977885750664751E-2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</row>
    <row r="13" spans="1:29">
      <c r="A13" s="40">
        <v>9</v>
      </c>
      <c r="B13" s="32">
        <v>80</v>
      </c>
      <c r="C13" s="32">
        <f t="shared" si="7"/>
        <v>760</v>
      </c>
      <c r="D13" s="13">
        <f>C13/60</f>
        <v>12.666666666666666</v>
      </c>
      <c r="E13" s="106">
        <v>17.31568717956543</v>
      </c>
      <c r="F13" s="106">
        <v>17.175380706787109</v>
      </c>
      <c r="G13" s="107">
        <v>17.04792594909668</v>
      </c>
      <c r="H13" s="114">
        <f t="shared" si="1"/>
        <v>17.764790380102959</v>
      </c>
      <c r="I13" s="114">
        <f t="shared" si="2"/>
        <v>17.624483907324638</v>
      </c>
      <c r="J13" s="114">
        <f t="shared" si="3"/>
        <v>17.497029149634209</v>
      </c>
      <c r="K13" s="107">
        <f>((H13-'CalibrationB. hydrogenotrophica'!$D$45)/('CalibrationB. hydrogenotrophica'!$D$44))+$B$24</f>
        <v>9.2607651219765419</v>
      </c>
      <c r="L13" s="107">
        <f>((I13-'CalibrationB. hydrogenotrophica'!$D$45)/('CalibrationB. hydrogenotrophica'!$D$44))+$B$24</f>
        <v>9.2959358217931314</v>
      </c>
      <c r="M13" s="107">
        <f>((J13-'CalibrationB. hydrogenotrophica'!$D$45)/('CalibrationB. hydrogenotrophica'!$D$44))+$B$24</f>
        <v>9.3278849752011048</v>
      </c>
      <c r="N13" s="115">
        <f t="shared" si="4"/>
        <v>9.29486197299026</v>
      </c>
      <c r="O13" s="115">
        <f t="shared" si="5"/>
        <v>3.3572809499061732E-2</v>
      </c>
      <c r="P13" s="116">
        <f>(AVERAGE(POWER(10,K13),POWER(10,L13),POWER(10,M13)))*Calculation!$I13/Calculation!$K12</f>
        <v>2061492624.354208</v>
      </c>
      <c r="Q13" s="116">
        <f>(STDEV(POWER(10,K13),POWER(10,L13),POWER(10,M13)))*Calculation!$I13/Calculation!$K12</f>
        <v>158948524.60074577</v>
      </c>
      <c r="R13" s="115">
        <f t="shared" si="6"/>
        <v>9.3141817853134636</v>
      </c>
      <c r="S13" s="115">
        <f>O13*Calculation!$I13/Calculation!$K12</f>
        <v>3.5030302596875118E-2</v>
      </c>
      <c r="T13" s="91"/>
      <c r="U13" s="91"/>
      <c r="V13" s="91"/>
      <c r="W13" s="91"/>
      <c r="X13" s="91"/>
      <c r="Y13" s="91"/>
      <c r="Z13" s="91"/>
      <c r="AA13" s="91"/>
      <c r="AB13" s="91"/>
      <c r="AC13" s="91"/>
    </row>
    <row r="14" spans="1:29">
      <c r="A14" s="40">
        <v>10</v>
      </c>
      <c r="B14" s="32">
        <v>80</v>
      </c>
      <c r="C14" s="32">
        <f t="shared" si="7"/>
        <v>840</v>
      </c>
      <c r="D14" s="13">
        <f t="shared" si="0"/>
        <v>14</v>
      </c>
      <c r="E14" s="106">
        <v>15.894173622131348</v>
      </c>
      <c r="F14" s="106">
        <v>16.093450546264648</v>
      </c>
      <c r="G14" s="107">
        <v>15.828265190124512</v>
      </c>
      <c r="H14" s="114">
        <f t="shared" si="1"/>
        <v>16.343276822668876</v>
      </c>
      <c r="I14" s="114">
        <f t="shared" si="2"/>
        <v>16.542553746802177</v>
      </c>
      <c r="J14" s="114">
        <f t="shared" si="3"/>
        <v>16.277368390662041</v>
      </c>
      <c r="K14" s="107">
        <f>((H14-'CalibrationB. hydrogenotrophica'!$D$45)/('CalibrationB. hydrogenotrophica'!$D$44))+$B$24</f>
        <v>9.6170966983017312</v>
      </c>
      <c r="L14" s="107">
        <f>((I14-'CalibrationB. hydrogenotrophica'!$D$45)/('CalibrationB. hydrogenotrophica'!$D$44))+$B$24</f>
        <v>9.5671438433814959</v>
      </c>
      <c r="M14" s="107">
        <f>((J14-'CalibrationB. hydrogenotrophica'!$D$45)/('CalibrationB. hydrogenotrophica'!$D$44))+$B$24</f>
        <v>9.6336180007875907</v>
      </c>
      <c r="N14" s="115">
        <f t="shared" si="4"/>
        <v>9.605952847490272</v>
      </c>
      <c r="O14" s="115">
        <f t="shared" si="5"/>
        <v>3.4609860717627859E-2</v>
      </c>
      <c r="P14" s="116">
        <f>(AVERAGE(POWER(10,K14),POWER(10,L14),POWER(10,M14)))*Calculation!$I14/Calculation!$K13</f>
        <v>4231028131.9968266</v>
      </c>
      <c r="Q14" s="116">
        <f>(STDEV(POWER(10,K14),POWER(10,L14),POWER(10,M14)))*Calculation!$I14/Calculation!$K13</f>
        <v>331062009.6593821</v>
      </c>
      <c r="R14" s="115">
        <f t="shared" si="6"/>
        <v>9.6264459129536935</v>
      </c>
      <c r="S14" s="115">
        <f>O14*Calculation!$I14/Calculation!$K13</f>
        <v>3.6206336299005708E-2</v>
      </c>
      <c r="T14" s="91"/>
      <c r="U14" s="91"/>
      <c r="V14" s="91"/>
      <c r="W14" s="91"/>
      <c r="X14" s="91"/>
      <c r="Y14" s="91"/>
      <c r="Z14" s="91"/>
      <c r="AA14" s="91"/>
      <c r="AB14" s="91"/>
      <c r="AC14" s="91"/>
    </row>
    <row r="15" spans="1:29">
      <c r="A15" s="40">
        <v>11</v>
      </c>
      <c r="B15" s="32">
        <v>80</v>
      </c>
      <c r="C15" s="32">
        <f t="shared" si="7"/>
        <v>920</v>
      </c>
      <c r="D15" s="13">
        <f t="shared" si="0"/>
        <v>15.333333333333334</v>
      </c>
      <c r="E15" s="106">
        <v>15.752822875976562</v>
      </c>
      <c r="F15" s="106">
        <v>15.045863151550293</v>
      </c>
      <c r="G15" s="107">
        <v>15.248414993286133</v>
      </c>
      <c r="H15" s="114">
        <f t="shared" si="1"/>
        <v>16.201926076514091</v>
      </c>
      <c r="I15" s="114">
        <f t="shared" si="2"/>
        <v>15.49496635208782</v>
      </c>
      <c r="J15" s="114">
        <f t="shared" si="3"/>
        <v>15.69751819382366</v>
      </c>
      <c r="K15" s="107">
        <f>((H15-'CalibrationB. hydrogenotrophica'!$D$45)/('CalibrationB. hydrogenotrophica'!$D$44))+$B$24</f>
        <v>9.652529166693375</v>
      </c>
      <c r="L15" s="107">
        <f>((I15-'CalibrationB. hydrogenotrophica'!$D$45)/('CalibrationB. hydrogenotrophica'!$D$44))+$B$24</f>
        <v>9.8297431451924275</v>
      </c>
      <c r="M15" s="107">
        <f>((J15-'CalibrationB. hydrogenotrophica'!$D$45)/('CalibrationB. hydrogenotrophica'!$D$44))+$B$24</f>
        <v>9.7789693648961755</v>
      </c>
      <c r="N15" s="115">
        <f t="shared" si="4"/>
        <v>9.7537472255939921</v>
      </c>
      <c r="O15" s="115">
        <f t="shared" si="5"/>
        <v>9.1259606492137019E-2</v>
      </c>
      <c r="P15" s="116">
        <f>(AVERAGE(POWER(10,K15),POWER(10,L15),POWER(10,M15)))*Calculation!$I15/Calculation!$K14</f>
        <v>6035436540.6614408</v>
      </c>
      <c r="Q15" s="116">
        <f>(STDEV(POWER(10,K15),POWER(10,L15),POWER(10,M15)))*Calculation!$I15/Calculation!$K14</f>
        <v>1210227370.1421287</v>
      </c>
      <c r="R15" s="115">
        <f t="shared" si="6"/>
        <v>9.7807086879120497</v>
      </c>
      <c r="S15" s="115">
        <f>O15*Calculation!$I15/Calculation!$K14</f>
        <v>9.5728400752130599E-2</v>
      </c>
      <c r="T15" s="91"/>
      <c r="U15" s="91"/>
      <c r="V15" s="91"/>
      <c r="W15" s="91"/>
      <c r="X15" s="91"/>
      <c r="Y15" s="91"/>
      <c r="Z15" s="91"/>
      <c r="AA15" s="91"/>
      <c r="AB15" s="91"/>
      <c r="AC15" s="91"/>
    </row>
    <row r="16" spans="1:29">
      <c r="A16" s="40">
        <v>12</v>
      </c>
      <c r="B16" s="32">
        <v>80</v>
      </c>
      <c r="C16" s="32">
        <f t="shared" si="7"/>
        <v>1000</v>
      </c>
      <c r="D16" s="13">
        <f t="shared" si="0"/>
        <v>16.666666666666668</v>
      </c>
      <c r="E16" s="106">
        <v>15.534796714782715</v>
      </c>
      <c r="F16" s="106">
        <v>15.394676208496094</v>
      </c>
      <c r="G16" s="107">
        <v>14.906002998352051</v>
      </c>
      <c r="H16" s="114">
        <f t="shared" si="1"/>
        <v>15.983899915320242</v>
      </c>
      <c r="I16" s="114">
        <f t="shared" si="2"/>
        <v>15.843779409033621</v>
      </c>
      <c r="J16" s="114">
        <f t="shared" si="3"/>
        <v>15.355106198889578</v>
      </c>
      <c r="K16" s="107">
        <f>((H16-'CalibrationB. hydrogenotrophica'!$D$45)/('CalibrationB. hydrogenotrophica'!$D$44))+$B$24</f>
        <v>9.7071819030616222</v>
      </c>
      <c r="L16" s="107">
        <f>((I16-'CalibrationB. hydrogenotrophica'!$D$45)/('CalibrationB. hydrogenotrophica'!$D$44))+$B$24</f>
        <v>9.7423059865566266</v>
      </c>
      <c r="M16" s="107">
        <f>((J16-'CalibrationB. hydrogenotrophica'!$D$45)/('CalibrationB. hydrogenotrophica'!$D$44))+$B$24</f>
        <v>9.8648019658372128</v>
      </c>
      <c r="N16" s="115">
        <f t="shared" si="4"/>
        <v>9.7714299518184866</v>
      </c>
      <c r="O16" s="115">
        <f t="shared" si="5"/>
        <v>8.2747658950424866E-2</v>
      </c>
      <c r="P16" s="116">
        <f>(AVERAGE(POWER(10,K16),POWER(10,L16),POWER(10,M16)))*Calculation!$I16/Calculation!$K15</f>
        <v>6286375191.2847052</v>
      </c>
      <c r="Q16" s="116">
        <f>(STDEV(POWER(10,K16),POWER(10,L16),POWER(10,M16)))*Calculation!$I16/Calculation!$K15</f>
        <v>1243162409.881947</v>
      </c>
      <c r="R16" s="115">
        <f t="shared" si="6"/>
        <v>9.7984002975600237</v>
      </c>
      <c r="S16" s="115">
        <f>O16*Calculation!$I16/Calculation!$K15</f>
        <v>8.6962797956314217E-2</v>
      </c>
      <c r="T16" s="91"/>
      <c r="U16" s="91"/>
      <c r="V16" s="91"/>
      <c r="W16" s="91"/>
      <c r="X16" s="91"/>
      <c r="Y16" s="91"/>
      <c r="Z16" s="91"/>
      <c r="AA16" s="91"/>
      <c r="AB16" s="91"/>
      <c r="AC16" s="91"/>
    </row>
    <row r="17" spans="1:29">
      <c r="A17" s="40">
        <v>13</v>
      </c>
      <c r="B17" s="32">
        <v>80</v>
      </c>
      <c r="C17" s="32">
        <f t="shared" si="7"/>
        <v>1080</v>
      </c>
      <c r="D17" s="13">
        <f t="shared" si="0"/>
        <v>18</v>
      </c>
      <c r="E17" s="106">
        <v>15.219865798950195</v>
      </c>
      <c r="F17" s="106">
        <v>14.88431453704834</v>
      </c>
      <c r="G17" s="107">
        <v>15.17109489440918</v>
      </c>
      <c r="H17" s="114">
        <f t="shared" si="1"/>
        <v>15.668968999487722</v>
      </c>
      <c r="I17" s="114">
        <f t="shared" si="2"/>
        <v>15.333417737585867</v>
      </c>
      <c r="J17" s="114">
        <f t="shared" si="3"/>
        <v>15.620198094946707</v>
      </c>
      <c r="K17" s="107">
        <f>((H17-'CalibrationB. hydrogenotrophica'!$D$45)/('CalibrationB. hydrogenotrophica'!$D$44))+$B$24</f>
        <v>9.7861258069626889</v>
      </c>
      <c r="L17" s="107">
        <f>((I17-'CalibrationB. hydrogenotrophica'!$D$45)/('CalibrationB. hydrogenotrophica'!$D$44))+$B$24</f>
        <v>9.8702386242243261</v>
      </c>
      <c r="M17" s="107">
        <f>((J17-'CalibrationB. hydrogenotrophica'!$D$45)/('CalibrationB. hydrogenotrophica'!$D$44))+$B$24</f>
        <v>9.7983512361209399</v>
      </c>
      <c r="N17" s="115">
        <f t="shared" si="4"/>
        <v>9.8182385557693177</v>
      </c>
      <c r="O17" s="115">
        <f t="shared" si="5"/>
        <v>4.5446348797455398E-2</v>
      </c>
      <c r="P17" s="116">
        <f>(AVERAGE(POWER(10,K17),POWER(10,L17),POWER(10,M17)))*Calculation!$I17/Calculation!$K16</f>
        <v>6954714181.0403442</v>
      </c>
      <c r="Q17" s="116">
        <f>(STDEV(POWER(10,K17),POWER(10,L17),POWER(10,M17)))*Calculation!$I17/Calculation!$K16</f>
        <v>746609775.58336318</v>
      </c>
      <c r="R17" s="115">
        <f t="shared" si="6"/>
        <v>9.8422792864276119</v>
      </c>
      <c r="S17" s="115">
        <f>O17*Calculation!$I17/Calculation!$K16</f>
        <v>4.7854929142323095E-2</v>
      </c>
      <c r="T17" s="91"/>
      <c r="U17" s="91"/>
      <c r="V17" s="91"/>
      <c r="W17" s="91"/>
      <c r="X17" s="91"/>
      <c r="Y17" s="91"/>
      <c r="Z17" s="91"/>
      <c r="AA17" s="91"/>
      <c r="AB17" s="91"/>
      <c r="AC17" s="91"/>
    </row>
    <row r="18" spans="1:29">
      <c r="A18" s="40">
        <v>14</v>
      </c>
      <c r="B18" s="32">
        <v>360</v>
      </c>
      <c r="C18" s="32">
        <f t="shared" si="7"/>
        <v>1440</v>
      </c>
      <c r="D18" s="13">
        <f t="shared" si="0"/>
        <v>24</v>
      </c>
      <c r="E18" s="106">
        <v>14.414292335510254</v>
      </c>
      <c r="F18" s="106">
        <v>14.533778190612793</v>
      </c>
      <c r="G18" s="107">
        <v>14.32984733581543</v>
      </c>
      <c r="H18" s="114">
        <f t="shared" si="1"/>
        <v>14.863395536047781</v>
      </c>
      <c r="I18" s="114">
        <f t="shared" si="2"/>
        <v>14.98288139115032</v>
      </c>
      <c r="J18" s="114">
        <f t="shared" si="3"/>
        <v>14.778950536352957</v>
      </c>
      <c r="K18" s="107">
        <f>((H18-'CalibrationB. hydrogenotrophica'!$D$45)/('CalibrationB. hydrogenotrophica'!$D$44))+$B$24</f>
        <v>9.9880593450370228</v>
      </c>
      <c r="L18" s="107">
        <f>((I18-'CalibrationB. hydrogenotrophica'!$D$45)/('CalibrationB. hydrogenotrophica'!$D$44))+$B$24</f>
        <v>9.9581077607734816</v>
      </c>
      <c r="M18" s="107">
        <f>((J18-'CalibrationB. hydrogenotrophica'!$D$45)/('CalibrationB. hydrogenotrophica'!$D$44))+$B$24</f>
        <v>10.009227219023643</v>
      </c>
      <c r="N18" s="115">
        <f t="shared" si="4"/>
        <v>9.9851314416113812</v>
      </c>
      <c r="O18" s="115">
        <f t="shared" si="5"/>
        <v>2.5685194505782959E-2</v>
      </c>
      <c r="P18" s="116">
        <f>(AVERAGE(POWER(10,K18),POWER(10,L18),POWER(10,M18)))*Calculation!$I18/Calculation!$K17</f>
        <v>10229115811.085144</v>
      </c>
      <c r="Q18" s="116">
        <f>(STDEV(POWER(10,K18),POWER(10,L18),POWER(10,M18)))*Calculation!$I18/Calculation!$K17</f>
        <v>601687630.74083352</v>
      </c>
      <c r="R18" s="115">
        <f t="shared" si="6"/>
        <v>10.009838095592677</v>
      </c>
      <c r="S18" s="115">
        <f>O18*Calculation!$I18/Calculation!$K17</f>
        <v>2.7157199500961866E-2</v>
      </c>
      <c r="T18" s="91"/>
      <c r="U18" s="91"/>
      <c r="V18" s="91"/>
      <c r="W18" s="91"/>
      <c r="X18" s="91"/>
      <c r="Y18" s="91"/>
      <c r="Z18" s="91"/>
      <c r="AA18" s="91"/>
      <c r="AB18" s="91"/>
      <c r="AC18" s="91"/>
    </row>
    <row r="19" spans="1:29">
      <c r="A19" s="40">
        <v>15</v>
      </c>
      <c r="B19" s="32">
        <v>375</v>
      </c>
      <c r="C19" s="32">
        <f>C18+B19</f>
        <v>1815</v>
      </c>
      <c r="D19" s="13">
        <f>C19/60</f>
        <v>30.25</v>
      </c>
      <c r="E19" s="106">
        <v>14.798213958740234</v>
      </c>
      <c r="F19" s="106">
        <v>14.760165214538574</v>
      </c>
      <c r="G19" s="107">
        <v>14.946578979492188</v>
      </c>
      <c r="H19" s="114">
        <f t="shared" si="1"/>
        <v>15.247317159277761</v>
      </c>
      <c r="I19" s="114">
        <f t="shared" si="2"/>
        <v>15.209268415076101</v>
      </c>
      <c r="J19" s="114">
        <f t="shared" si="3"/>
        <v>15.395682180029715</v>
      </c>
      <c r="K19" s="107">
        <f>((H19-'CalibrationB. hydrogenotrophica'!$D$45)/('CalibrationB. hydrogenotrophica'!$D$44))+$B$24</f>
        <v>9.8918215030020828</v>
      </c>
      <c r="L19" s="107">
        <f>((I19-'CalibrationB. hydrogenotrophica'!$D$45)/('CalibrationB. hydrogenotrophica'!$D$44))+$B$24</f>
        <v>9.9013592023983836</v>
      </c>
      <c r="M19" s="107">
        <f>((J19-'CalibrationB. hydrogenotrophica'!$D$45)/('CalibrationB. hydrogenotrophica'!$D$44))+$B$24</f>
        <v>9.8546307625834757</v>
      </c>
      <c r="N19" s="115">
        <f t="shared" si="4"/>
        <v>9.8826038226613147</v>
      </c>
      <c r="O19" s="115">
        <f t="shared" si="5"/>
        <v>2.4690301639152056E-2</v>
      </c>
      <c r="P19" s="116">
        <f>(AVERAGE(POWER(10,K19),POWER(10,L19),POWER(10,M19)))*Calculation!$I19/Calculation!$K18</f>
        <v>8077360092.4775782</v>
      </c>
      <c r="Q19" s="116">
        <f>(STDEV(POWER(10,K19),POWER(10,L19),POWER(10,M19)))*Calculation!$I19/Calculation!$K18</f>
        <v>452699353.59783471</v>
      </c>
      <c r="R19" s="115">
        <f t="shared" si="6"/>
        <v>9.9072694443633207</v>
      </c>
      <c r="S19" s="115">
        <f>O19*Calculation!$I19/Calculation!$K18</f>
        <v>2.6105289847130116E-2</v>
      </c>
      <c r="T19" s="91"/>
      <c r="U19" s="91"/>
      <c r="V19" s="91"/>
      <c r="W19" s="91"/>
      <c r="X19" s="91"/>
      <c r="Y19" s="91"/>
      <c r="Z19" s="91"/>
      <c r="AA19" s="91"/>
      <c r="AB19" s="91"/>
      <c r="AC19" s="91"/>
    </row>
    <row r="20" spans="1:29">
      <c r="A20" s="40">
        <v>16</v>
      </c>
      <c r="B20" s="32">
        <v>1065</v>
      </c>
      <c r="C20" s="32">
        <f>C19+B20</f>
        <v>2880</v>
      </c>
      <c r="D20" s="13">
        <f t="shared" ref="D20" si="8">C20/60</f>
        <v>48</v>
      </c>
      <c r="E20" s="106">
        <v>15.89705753326416</v>
      </c>
      <c r="F20" s="106">
        <v>16.362133026123047</v>
      </c>
      <c r="G20" s="107">
        <v>16.012546539306641</v>
      </c>
      <c r="H20" s="114">
        <f t="shared" si="1"/>
        <v>16.346160733801689</v>
      </c>
      <c r="I20" s="114">
        <f t="shared" si="2"/>
        <v>16.811236226660576</v>
      </c>
      <c r="J20" s="114">
        <f t="shared" si="3"/>
        <v>16.461649739844169</v>
      </c>
      <c r="K20" s="107">
        <f>((H20-'CalibrationB. hydrogenotrophica'!$D$45)/('CalibrationB. hydrogenotrophica'!$D$44))+$B$24</f>
        <v>9.6163737867300743</v>
      </c>
      <c r="L20" s="107">
        <f>((I20-'CalibrationB. hydrogenotrophica'!$D$45)/('CalibrationB. hydrogenotrophica'!$D$44))+$B$24</f>
        <v>9.499793060071541</v>
      </c>
      <c r="M20" s="107">
        <f>((J20-'CalibrationB. hydrogenotrophica'!$D$45)/('CalibrationB. hydrogenotrophica'!$D$44))+$B$24</f>
        <v>9.5874240947935245</v>
      </c>
      <c r="N20" s="115">
        <f t="shared" si="4"/>
        <v>9.5678636471983793</v>
      </c>
      <c r="O20" s="115">
        <f t="shared" si="5"/>
        <v>6.0701933986074194E-2</v>
      </c>
      <c r="P20" s="116">
        <f>(AVERAGE(POWER(10,K20),POWER(10,L20),POWER(10,M20)))*Calculation!$I20/Calculation!$K19</f>
        <v>3933983273.6589475</v>
      </c>
      <c r="Q20" s="116">
        <f>(STDEV(POWER(10,K20),POWER(10,L20),POWER(10,M20)))*Calculation!$I20/Calculation!$K19</f>
        <v>531763170.80783457</v>
      </c>
      <c r="R20" s="115">
        <f>LOG(P20)</f>
        <v>9.5948325090726261</v>
      </c>
      <c r="S20" s="115">
        <f>O20*Calculation!$I20/Calculation!$K19</f>
        <v>6.4180729913603712E-2</v>
      </c>
      <c r="T20" s="91"/>
      <c r="U20" s="91"/>
      <c r="V20" s="91"/>
      <c r="W20" s="91"/>
      <c r="X20" s="91"/>
      <c r="Y20" s="91"/>
      <c r="Z20" s="91"/>
      <c r="AA20" s="91"/>
      <c r="AB20" s="91"/>
      <c r="AC20" s="91"/>
    </row>
    <row r="21" spans="1:29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</row>
    <row r="22" spans="1:29">
      <c r="A22" s="117"/>
      <c r="B22" s="118"/>
      <c r="C22" s="117"/>
      <c r="D22" s="118"/>
      <c r="E22" s="119"/>
      <c r="F22" s="119"/>
      <c r="G22" s="120"/>
      <c r="H22" s="121"/>
      <c r="I22" s="121"/>
      <c r="J22" s="121"/>
      <c r="K22" s="120"/>
      <c r="L22" s="120"/>
      <c r="M22" s="120"/>
      <c r="N22" s="122"/>
      <c r="O22" s="122"/>
      <c r="P22" s="123"/>
      <c r="Q22" s="123"/>
      <c r="R22" s="122"/>
      <c r="S22" s="122"/>
    </row>
    <row r="23" spans="1:29">
      <c r="A23" s="117"/>
      <c r="B23" s="118"/>
      <c r="C23" s="117"/>
      <c r="D23" s="118"/>
      <c r="E23" s="119"/>
      <c r="F23" s="119"/>
      <c r="G23" s="120"/>
      <c r="H23" s="121"/>
      <c r="I23" s="121"/>
      <c r="J23" s="121"/>
      <c r="K23" s="120"/>
      <c r="L23" s="120"/>
      <c r="M23" s="120"/>
      <c r="N23" s="122"/>
      <c r="O23" s="122"/>
      <c r="P23" s="123"/>
      <c r="Q23" s="123"/>
      <c r="R23" s="122"/>
      <c r="S23" s="122"/>
    </row>
    <row r="24" spans="1:29">
      <c r="A24" s="110" t="s">
        <v>251</v>
      </c>
      <c r="B24" s="124">
        <f>LOG(B25)</f>
        <v>3.6532125137753435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</row>
    <row r="25" spans="1:29">
      <c r="A25" s="102" t="s">
        <v>252</v>
      </c>
      <c r="B25" s="91">
        <f>20*1800/4/2</f>
        <v>4500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</row>
    <row r="26" spans="1:29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</row>
    <row r="27" spans="1:29">
      <c r="A27" s="125" t="s">
        <v>253</v>
      </c>
      <c r="E27" s="106">
        <v>11.064262390136719</v>
      </c>
      <c r="F27" s="106">
        <v>11.419097900390625</v>
      </c>
      <c r="G27" s="106"/>
      <c r="H27" s="114">
        <f>AVERAGE(E27:G27)</f>
        <v>11.241680145263672</v>
      </c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</row>
    <row r="28" spans="1:29">
      <c r="A28" s="125" t="s">
        <v>254</v>
      </c>
      <c r="E28" s="126">
        <v>10.746070861816406</v>
      </c>
      <c r="F28" s="114">
        <v>10.822755813598633</v>
      </c>
      <c r="G28" s="114">
        <v>10.731834411621094</v>
      </c>
      <c r="H28" s="114">
        <f t="shared" ref="H28:H63" si="9">AVERAGE(E28:G28)</f>
        <v>10.766887029012045</v>
      </c>
    </row>
    <row r="29" spans="1:29">
      <c r="A29" s="125" t="s">
        <v>255</v>
      </c>
      <c r="E29" s="126">
        <v>11.464282989501953</v>
      </c>
      <c r="F29" s="114">
        <v>11.464282989501953</v>
      </c>
      <c r="G29" s="114">
        <v>11.464282989501953</v>
      </c>
      <c r="H29" s="114">
        <f t="shared" si="9"/>
        <v>11.464282989501953</v>
      </c>
    </row>
    <row r="30" spans="1:29">
      <c r="A30" s="125" t="s">
        <v>256</v>
      </c>
      <c r="E30" s="126">
        <v>11.279656410217285</v>
      </c>
      <c r="F30" s="114">
        <v>11.587799072265625</v>
      </c>
      <c r="G30" s="114">
        <v>11.689614295959473</v>
      </c>
      <c r="H30" s="114">
        <f t="shared" si="9"/>
        <v>11.519023259480795</v>
      </c>
    </row>
    <row r="31" spans="1:29">
      <c r="A31" s="125" t="s">
        <v>257</v>
      </c>
      <c r="E31" s="126">
        <v>11.480988502502441</v>
      </c>
      <c r="F31" s="114">
        <v>11.470051765441895</v>
      </c>
      <c r="G31" s="114">
        <v>11.500860214233398</v>
      </c>
      <c r="H31" s="114">
        <f t="shared" si="9"/>
        <v>11.483966827392578</v>
      </c>
    </row>
    <row r="32" spans="1:29">
      <c r="A32" s="125" t="s">
        <v>258</v>
      </c>
      <c r="E32" s="126">
        <v>11.4913330078125</v>
      </c>
      <c r="F32" s="114">
        <v>11.453336715698242</v>
      </c>
      <c r="G32" s="114">
        <v>11.486644744873047</v>
      </c>
      <c r="H32" s="114">
        <f t="shared" si="9"/>
        <v>11.477104822794596</v>
      </c>
    </row>
    <row r="33" spans="1:8">
      <c r="A33" s="125" t="s">
        <v>279</v>
      </c>
      <c r="E33" s="126">
        <v>11.603283882141113</v>
      </c>
      <c r="F33" s="114">
        <v>11.571865081787109</v>
      </c>
      <c r="G33" s="114">
        <v>11.644859313964844</v>
      </c>
      <c r="H33" s="114">
        <f t="shared" si="9"/>
        <v>11.606669425964355</v>
      </c>
    </row>
    <row r="34" spans="1:8">
      <c r="A34" s="125" t="s">
        <v>282</v>
      </c>
      <c r="E34" s="126">
        <v>11.201085090637207</v>
      </c>
      <c r="F34" s="114">
        <v>11.201085090637207</v>
      </c>
      <c r="G34" s="114">
        <v>11.201085090637207</v>
      </c>
      <c r="H34" s="114">
        <f t="shared" si="9"/>
        <v>11.201085090637207</v>
      </c>
    </row>
    <row r="35" spans="1:8">
      <c r="A35" s="125" t="s">
        <v>280</v>
      </c>
      <c r="E35" s="126">
        <v>10.40058422088623</v>
      </c>
      <c r="F35" s="114">
        <v>11.156428337097168</v>
      </c>
      <c r="G35" s="114">
        <v>11.374870300292969</v>
      </c>
      <c r="H35" s="114">
        <f t="shared" si="9"/>
        <v>10.977294286092123</v>
      </c>
    </row>
    <row r="36" spans="1:8">
      <c r="A36" s="125" t="s">
        <v>280</v>
      </c>
      <c r="E36" s="126">
        <v>11.333348274230957</v>
      </c>
      <c r="F36" s="114">
        <v>11.546666145324707</v>
      </c>
      <c r="G36" s="114">
        <v>11.621123313903809</v>
      </c>
      <c r="H36" s="114">
        <f t="shared" si="9"/>
        <v>11.50037924448649</v>
      </c>
    </row>
    <row r="37" spans="1:8">
      <c r="A37" s="125" t="s">
        <v>283</v>
      </c>
      <c r="E37" s="126">
        <v>11.689837455749512</v>
      </c>
      <c r="F37" s="114">
        <v>11.664087295532227</v>
      </c>
      <c r="G37" s="114">
        <v>11.717653274536133</v>
      </c>
      <c r="H37" s="114">
        <f t="shared" si="9"/>
        <v>11.690526008605957</v>
      </c>
    </row>
    <row r="38" spans="1:8">
      <c r="A38" s="125" t="s">
        <v>283</v>
      </c>
      <c r="E38" s="126">
        <v>11.29168701171875</v>
      </c>
      <c r="F38" s="114">
        <v>11.470722198486328</v>
      </c>
      <c r="G38" s="114">
        <v>10.995722770690918</v>
      </c>
      <c r="H38" s="114">
        <f t="shared" si="9"/>
        <v>11.252710660298666</v>
      </c>
    </row>
    <row r="39" spans="1:8">
      <c r="A39" s="125" t="s">
        <v>284</v>
      </c>
      <c r="E39" s="126">
        <v>11.183300018310547</v>
      </c>
      <c r="F39" s="114">
        <v>11.342129707336426</v>
      </c>
      <c r="G39" s="114">
        <v>11.389498710632324</v>
      </c>
      <c r="H39" s="114">
        <f t="shared" si="9"/>
        <v>11.304976145426432</v>
      </c>
    </row>
    <row r="40" spans="1:8">
      <c r="A40" s="125" t="s">
        <v>285</v>
      </c>
      <c r="E40" s="126">
        <v>11.500882148742676</v>
      </c>
      <c r="F40" s="114">
        <v>11.500882148742676</v>
      </c>
      <c r="G40" s="114">
        <v>11.500882148742676</v>
      </c>
      <c r="H40" s="114">
        <f t="shared" si="9"/>
        <v>11.500882148742676</v>
      </c>
    </row>
    <row r="41" spans="1:8">
      <c r="A41" s="125" t="s">
        <v>286</v>
      </c>
      <c r="E41" s="126">
        <v>11.322457313537598</v>
      </c>
      <c r="F41" s="114">
        <v>11.33414363861084</v>
      </c>
      <c r="G41" s="114">
        <v>11.329196929931641</v>
      </c>
      <c r="H41" s="114">
        <f t="shared" si="9"/>
        <v>11.328599294026693</v>
      </c>
    </row>
    <row r="42" spans="1:8">
      <c r="A42" s="125" t="s">
        <v>287</v>
      </c>
      <c r="E42" s="126">
        <v>11.317984580993652</v>
      </c>
      <c r="F42" s="114">
        <v>11.273995399475098</v>
      </c>
      <c r="G42" s="114">
        <v>11.386194229125977</v>
      </c>
      <c r="H42" s="114">
        <f t="shared" si="9"/>
        <v>11.326058069864908</v>
      </c>
    </row>
    <row r="43" spans="1:8">
      <c r="A43" s="125" t="s">
        <v>288</v>
      </c>
      <c r="E43" s="126">
        <v>11.148730278015137</v>
      </c>
      <c r="F43" s="114">
        <v>11.235733032226562</v>
      </c>
      <c r="G43" s="114">
        <v>11.234542846679688</v>
      </c>
      <c r="H43" s="114">
        <f t="shared" si="9"/>
        <v>11.206335385640463</v>
      </c>
    </row>
    <row r="44" spans="1:8">
      <c r="A44" s="125" t="s">
        <v>288</v>
      </c>
      <c r="E44" s="126">
        <v>11.324759483337402</v>
      </c>
      <c r="F44" s="114">
        <v>11.279741287231445</v>
      </c>
      <c r="G44" s="114">
        <v>11.352234840393066</v>
      </c>
      <c r="H44" s="114">
        <f t="shared" si="9"/>
        <v>11.318911870320639</v>
      </c>
    </row>
    <row r="45" spans="1:8">
      <c r="A45" s="125" t="s">
        <v>289</v>
      </c>
      <c r="E45" s="126">
        <v>11.3</v>
      </c>
      <c r="F45" s="114">
        <v>11.4</v>
      </c>
      <c r="G45" s="114">
        <v>11.3</v>
      </c>
      <c r="H45" s="114">
        <f t="shared" si="9"/>
        <v>11.333333333333334</v>
      </c>
    </row>
    <row r="46" spans="1:8">
      <c r="A46" s="125" t="s">
        <v>290</v>
      </c>
      <c r="E46" s="126">
        <v>11.137722969055176</v>
      </c>
      <c r="F46" s="114">
        <v>11.360322952270508</v>
      </c>
      <c r="G46" s="114">
        <v>11.248004913330078</v>
      </c>
      <c r="H46" s="114">
        <f t="shared" si="9"/>
        <v>11.24868361155192</v>
      </c>
    </row>
    <row r="47" spans="1:8">
      <c r="A47" s="125" t="s">
        <v>290</v>
      </c>
      <c r="E47" s="126">
        <v>11.365866661071777</v>
      </c>
      <c r="F47" s="114">
        <v>11.445242881774902</v>
      </c>
      <c r="G47" s="114">
        <v>11.431737899780273</v>
      </c>
      <c r="H47" s="114">
        <f t="shared" si="9"/>
        <v>11.41428248087565</v>
      </c>
    </row>
    <row r="48" spans="1:8">
      <c r="A48" s="59" t="s">
        <v>291</v>
      </c>
      <c r="E48" s="126">
        <v>11.350344657897949</v>
      </c>
      <c r="F48" s="114">
        <v>11.447367668151855</v>
      </c>
      <c r="G48" s="114">
        <v>11.305245399475098</v>
      </c>
      <c r="H48" s="114">
        <f t="shared" si="9"/>
        <v>11.367652575174967</v>
      </c>
    </row>
    <row r="49" spans="1:8">
      <c r="A49" s="59" t="s">
        <v>292</v>
      </c>
      <c r="E49" s="126">
        <v>11.382972717285156</v>
      </c>
      <c r="F49" s="114">
        <v>11.286684036254883</v>
      </c>
      <c r="G49" s="114">
        <v>11.278195381164551</v>
      </c>
      <c r="H49" s="114">
        <f t="shared" si="9"/>
        <v>11.315950711568197</v>
      </c>
    </row>
    <row r="50" spans="1:8">
      <c r="A50" s="59" t="s">
        <v>293</v>
      </c>
      <c r="E50" s="126">
        <v>11.351459503173828</v>
      </c>
      <c r="F50" s="114">
        <v>11.372493743896484</v>
      </c>
      <c r="G50" s="114">
        <v>11.26507568359375</v>
      </c>
      <c r="H50" s="114">
        <f t="shared" si="9"/>
        <v>11.329676310221354</v>
      </c>
    </row>
    <row r="51" spans="1:8">
      <c r="A51" s="59" t="s">
        <v>316</v>
      </c>
      <c r="E51" s="126">
        <v>10.961522102355957</v>
      </c>
      <c r="F51" s="114">
        <v>10.991280555725098</v>
      </c>
      <c r="G51" s="114">
        <v>10.988773345947266</v>
      </c>
      <c r="H51" s="114">
        <f t="shared" si="9"/>
        <v>10.980525334676107</v>
      </c>
    </row>
    <row r="52" spans="1:8">
      <c r="A52" s="59" t="s">
        <v>317</v>
      </c>
      <c r="E52" s="126">
        <v>11.455920219421387</v>
      </c>
      <c r="F52" s="114">
        <v>11.47702693939209</v>
      </c>
      <c r="G52" s="114">
        <v>11.41429615020752</v>
      </c>
      <c r="H52" s="114">
        <f t="shared" si="9"/>
        <v>11.449081103006998</v>
      </c>
    </row>
    <row r="53" spans="1:8">
      <c r="A53" s="59" t="s">
        <v>318</v>
      </c>
      <c r="E53" s="126">
        <v>11.481462478637695</v>
      </c>
      <c r="F53" s="114">
        <v>11.294193267822266</v>
      </c>
      <c r="G53" s="114">
        <v>11.30172061920166</v>
      </c>
      <c r="H53" s="114">
        <f t="shared" si="9"/>
        <v>11.359125455220541</v>
      </c>
    </row>
    <row r="54" spans="1:8">
      <c r="A54" s="59" t="s">
        <v>318</v>
      </c>
      <c r="E54" s="126">
        <v>11.333268165588301</v>
      </c>
      <c r="F54" s="114">
        <v>11.3499765396118</v>
      </c>
      <c r="G54" s="114">
        <v>11.688117980956999</v>
      </c>
      <c r="H54" s="114">
        <f t="shared" si="9"/>
        <v>11.4571208953857</v>
      </c>
    </row>
    <row r="55" spans="1:8">
      <c r="A55" s="59" t="s">
        <v>319</v>
      </c>
      <c r="E55" s="126">
        <v>11.225685119628906</v>
      </c>
      <c r="F55" s="114">
        <v>11.295048713684082</v>
      </c>
      <c r="G55" s="114">
        <v>11.326059341430664</v>
      </c>
      <c r="H55" s="114">
        <f t="shared" si="9"/>
        <v>11.282264391581217</v>
      </c>
    </row>
    <row r="56" spans="1:8">
      <c r="A56" s="59" t="s">
        <v>320</v>
      </c>
      <c r="E56" s="126">
        <v>11.361672401428223</v>
      </c>
      <c r="F56" s="114">
        <v>11.304685592651367</v>
      </c>
      <c r="G56" s="114">
        <v>11.405701637268066</v>
      </c>
      <c r="H56" s="114">
        <f t="shared" si="9"/>
        <v>11.357353210449219</v>
      </c>
    </row>
    <row r="57" spans="1:8">
      <c r="A57" s="59" t="s">
        <v>320</v>
      </c>
      <c r="E57" s="126">
        <v>10.911848068237305</v>
      </c>
      <c r="F57" s="114">
        <v>10.950149536132812</v>
      </c>
      <c r="G57" s="114">
        <v>10.982019424438477</v>
      </c>
      <c r="H57" s="114">
        <f t="shared" si="9"/>
        <v>10.948005676269531</v>
      </c>
    </row>
    <row r="58" spans="1:8">
      <c r="A58" s="59" t="s">
        <v>321</v>
      </c>
      <c r="B58" s="102"/>
      <c r="C58" s="91"/>
      <c r="D58" s="91"/>
      <c r="E58" s="126">
        <v>11.097690582275391</v>
      </c>
      <c r="F58" s="114">
        <v>11.199633598327637</v>
      </c>
      <c r="G58" s="114">
        <v>11.211821556091309</v>
      </c>
      <c r="H58" s="114">
        <f t="shared" si="9"/>
        <v>11.169715245564779</v>
      </c>
    </row>
    <row r="59" spans="1:8">
      <c r="A59" s="59" t="s">
        <v>322</v>
      </c>
      <c r="B59" s="102"/>
      <c r="C59" s="91"/>
      <c r="D59" s="91"/>
      <c r="E59" s="126">
        <v>11.383224487304688</v>
      </c>
      <c r="F59" s="114">
        <v>11.329494476318359</v>
      </c>
      <c r="G59" s="114">
        <v>11.243021011352539</v>
      </c>
      <c r="H59" s="114">
        <f t="shared" si="9"/>
        <v>11.318579991658529</v>
      </c>
    </row>
    <row r="60" spans="1:8">
      <c r="A60" s="59" t="s">
        <v>322</v>
      </c>
      <c r="B60" s="102"/>
      <c r="C60" s="91"/>
      <c r="D60" s="91"/>
      <c r="E60" s="126">
        <v>11.171065330505371</v>
      </c>
      <c r="F60" s="114">
        <v>11.234642028808594</v>
      </c>
      <c r="G60" s="114">
        <v>11.325413703918457</v>
      </c>
      <c r="H60" s="114">
        <f t="shared" si="9"/>
        <v>11.243707021077475</v>
      </c>
    </row>
    <row r="61" spans="1:8">
      <c r="A61" s="59" t="s">
        <v>323</v>
      </c>
      <c r="B61" s="133"/>
      <c r="C61" s="91"/>
      <c r="D61" s="91"/>
      <c r="E61" s="126">
        <v>11.431556701660156</v>
      </c>
      <c r="F61" s="114">
        <v>11.393752098083496</v>
      </c>
      <c r="G61" s="114">
        <v>11.470895767211914</v>
      </c>
      <c r="H61" s="114">
        <f t="shared" si="9"/>
        <v>11.432068188985189</v>
      </c>
    </row>
    <row r="62" spans="1:8">
      <c r="A62" s="59" t="s">
        <v>323</v>
      </c>
      <c r="B62" s="133"/>
      <c r="C62" s="91"/>
      <c r="D62" s="91"/>
      <c r="E62" s="126">
        <v>11.38902759552002</v>
      </c>
      <c r="F62" s="114">
        <v>11.318164825439453</v>
      </c>
      <c r="G62" s="114">
        <v>11.357851982116699</v>
      </c>
      <c r="H62" s="114">
        <f t="shared" si="9"/>
        <v>11.355014801025391</v>
      </c>
    </row>
    <row r="63" spans="1:8">
      <c r="A63" s="59" t="s">
        <v>324</v>
      </c>
      <c r="B63" s="133"/>
      <c r="C63" s="91"/>
      <c r="D63" s="91"/>
      <c r="E63" s="126">
        <v>10.827228546142578</v>
      </c>
      <c r="F63" s="114">
        <v>10.980537414550781</v>
      </c>
      <c r="G63" s="114">
        <v>10.733705520629883</v>
      </c>
      <c r="H63" s="114">
        <f t="shared" si="9"/>
        <v>10.84715716044108</v>
      </c>
    </row>
    <row r="64" spans="1:8">
      <c r="A64" s="59" t="s">
        <v>325</v>
      </c>
      <c r="B64" s="133"/>
      <c r="C64" s="91"/>
      <c r="D64" s="91"/>
      <c r="E64" s="126">
        <v>11.185029029846191</v>
      </c>
      <c r="F64" s="114">
        <v>11.096076965332031</v>
      </c>
      <c r="G64" s="114">
        <v>11.32984447479248</v>
      </c>
      <c r="H64" s="114">
        <f>AVERAGE(E64:G64)</f>
        <v>11.2036501566569</v>
      </c>
    </row>
    <row r="65" spans="1:8">
      <c r="A65" s="59" t="s">
        <v>325</v>
      </c>
      <c r="B65" s="133"/>
      <c r="C65" s="91"/>
      <c r="D65" s="91"/>
      <c r="E65" s="126">
        <v>11.051477432250977</v>
      </c>
      <c r="F65" s="114">
        <v>10.973122596740723</v>
      </c>
      <c r="G65" s="114">
        <v>10.89690113067627</v>
      </c>
      <c r="H65" s="114">
        <f>AVERAGE(E65:G65)</f>
        <v>10.973833719889322</v>
      </c>
    </row>
    <row r="66" spans="1:8">
      <c r="A66" s="59"/>
    </row>
    <row r="67" spans="1:8">
      <c r="G67" t="s">
        <v>294</v>
      </c>
      <c r="H67" s="90">
        <f>AVERAGE(H27:H65)</f>
        <v>11.296260360978607</v>
      </c>
    </row>
  </sheetData>
  <mergeCells count="19"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opLeftCell="L1" workbookViewId="0">
      <selection activeCell="M5" sqref="M5:M21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  <col min="15" max="15" width="11.5" bestFit="1" customWidth="1"/>
  </cols>
  <sheetData>
    <row r="2" spans="1:17">
      <c r="A2" s="113" t="s">
        <v>263</v>
      </c>
      <c r="B2" s="91"/>
      <c r="C2" s="91"/>
      <c r="D2" s="91"/>
      <c r="H2" s="113" t="s">
        <v>235</v>
      </c>
      <c r="I2" s="91"/>
      <c r="J2" s="91"/>
      <c r="K2" s="91"/>
      <c r="O2" s="113" t="s">
        <v>260</v>
      </c>
    </row>
    <row r="3" spans="1:17">
      <c r="A3" s="138" t="s">
        <v>4</v>
      </c>
      <c r="B3" s="138" t="s">
        <v>117</v>
      </c>
      <c r="C3" s="138" t="s">
        <v>117</v>
      </c>
      <c r="D3" s="138" t="s">
        <v>5</v>
      </c>
      <c r="E3" s="157" t="s">
        <v>249</v>
      </c>
      <c r="F3" s="154" t="s">
        <v>250</v>
      </c>
      <c r="H3" s="138" t="s">
        <v>4</v>
      </c>
      <c r="I3" s="138" t="s">
        <v>117</v>
      </c>
      <c r="J3" s="138" t="s">
        <v>117</v>
      </c>
      <c r="K3" s="138" t="s">
        <v>5</v>
      </c>
      <c r="L3" s="157" t="s">
        <v>249</v>
      </c>
      <c r="M3" s="154" t="s">
        <v>250</v>
      </c>
      <c r="O3" s="157" t="s">
        <v>249</v>
      </c>
      <c r="P3" s="157" t="s">
        <v>249</v>
      </c>
      <c r="Q3" s="154" t="s">
        <v>250</v>
      </c>
    </row>
    <row r="4" spans="1:17">
      <c r="A4" s="139"/>
      <c r="B4" s="139"/>
      <c r="C4" s="139"/>
      <c r="D4" s="139"/>
      <c r="E4" s="158"/>
      <c r="F4" s="156"/>
      <c r="H4" s="139"/>
      <c r="I4" s="139"/>
      <c r="J4" s="139"/>
      <c r="K4" s="139"/>
      <c r="L4" s="158"/>
      <c r="M4" s="156"/>
      <c r="O4" s="158"/>
      <c r="P4" s="158"/>
      <c r="Q4" s="156"/>
    </row>
    <row r="5" spans="1:17">
      <c r="A5" s="40">
        <v>0</v>
      </c>
      <c r="B5" s="32">
        <v>10</v>
      </c>
      <c r="C5" s="32">
        <f>B5</f>
        <v>10</v>
      </c>
      <c r="D5" s="13">
        <f t="shared" ref="D5:D19" si="0">C5/60</f>
        <v>0.16666666666666666</v>
      </c>
      <c r="E5" s="115">
        <f>'Determination cell counts FP'!R4</f>
        <v>7.01973070797938</v>
      </c>
      <c r="F5" s="115">
        <f>'Determination cell counts FP'!S4</f>
        <v>7.5610344025311207E-2</v>
      </c>
      <c r="H5" s="40">
        <v>0</v>
      </c>
      <c r="I5" s="32">
        <v>10</v>
      </c>
      <c r="J5" s="32">
        <f>I5</f>
        <v>10</v>
      </c>
      <c r="K5" s="13">
        <f t="shared" ref="K5:K13" si="1">J5/60</f>
        <v>0.16666666666666666</v>
      </c>
      <c r="L5" s="115">
        <f>'Determination cell counts BH'!R4</f>
        <v>7.5882246825639372</v>
      </c>
      <c r="M5" s="115">
        <f>'Determination cell counts BH'!S4</f>
        <v>9.5285380696809672E-3</v>
      </c>
      <c r="O5" s="31">
        <f>POWER(10,E5)+POWER(10,L5)</f>
        <v>49210599.064043358</v>
      </c>
      <c r="P5" s="127">
        <f>LOG(O5)</f>
        <v>7.6920586519396839</v>
      </c>
      <c r="Q5" s="127">
        <f>F5+M5</f>
        <v>8.513888209499218E-2</v>
      </c>
    </row>
    <row r="6" spans="1:17">
      <c r="A6" s="40">
        <v>1</v>
      </c>
      <c r="B6" s="32">
        <v>110</v>
      </c>
      <c r="C6" s="32">
        <f>C5+B6</f>
        <v>120</v>
      </c>
      <c r="D6" s="13">
        <f t="shared" si="0"/>
        <v>2</v>
      </c>
      <c r="E6" s="115">
        <f>'Determination cell counts FP'!R5</f>
        <v>7.3166362102694098</v>
      </c>
      <c r="F6" s="115">
        <f>'Determination cell counts FP'!S5</f>
        <v>8.7728403139862177E-3</v>
      </c>
      <c r="H6" s="40">
        <v>1</v>
      </c>
      <c r="I6" s="32">
        <v>110</v>
      </c>
      <c r="J6" s="32">
        <f>J5+I6</f>
        <v>120</v>
      </c>
      <c r="K6" s="13">
        <f t="shared" si="1"/>
        <v>2</v>
      </c>
      <c r="L6" s="115">
        <f>'Determination cell counts BH'!R5</f>
        <v>7.7904875582964728</v>
      </c>
      <c r="M6" s="115">
        <f>'Determination cell counts BH'!S5</f>
        <v>4.2171626656056428E-2</v>
      </c>
      <c r="O6" s="31">
        <f t="shared" ref="O6:O21" si="2">POWER(10,E6)+POWER(10,L6)</f>
        <v>82460522.550629735</v>
      </c>
      <c r="P6" s="127">
        <f t="shared" ref="P6:P21" si="3">LOG(O6)</f>
        <v>7.9162460825892298</v>
      </c>
      <c r="Q6" s="127">
        <f t="shared" ref="Q6:Q21" si="4">F6+M6</f>
        <v>5.0944466970042644E-2</v>
      </c>
    </row>
    <row r="7" spans="1:17">
      <c r="A7" s="40">
        <v>2</v>
      </c>
      <c r="B7" s="32">
        <v>80</v>
      </c>
      <c r="C7" s="32">
        <f>C6+B7</f>
        <v>200</v>
      </c>
      <c r="D7" s="13">
        <f t="shared" si="0"/>
        <v>3.3333333333333335</v>
      </c>
      <c r="E7" s="115">
        <f>'Determination cell counts FP'!R6</f>
        <v>7.6343177003664007</v>
      </c>
      <c r="F7" s="115">
        <f>'Determination cell counts FP'!S6</f>
        <v>0.10434560899783747</v>
      </c>
      <c r="H7" s="40">
        <v>2</v>
      </c>
      <c r="I7" s="32">
        <v>80</v>
      </c>
      <c r="J7" s="32">
        <f>J6+I7</f>
        <v>200</v>
      </c>
      <c r="K7" s="13">
        <f t="shared" si="1"/>
        <v>3.3333333333333335</v>
      </c>
      <c r="L7" s="115">
        <f>'Determination cell counts BH'!R6</f>
        <v>8.1367310232883536</v>
      </c>
      <c r="M7" s="115">
        <f>'Determination cell counts BH'!S6</f>
        <v>3.1813049356380373E-2</v>
      </c>
      <c r="O7" s="31">
        <f t="shared" si="2"/>
        <v>180087465.44630963</v>
      </c>
      <c r="P7" s="127">
        <f t="shared" si="3"/>
        <v>8.2554834858514941</v>
      </c>
      <c r="Q7" s="127">
        <f t="shared" si="4"/>
        <v>0.13615865835421784</v>
      </c>
    </row>
    <row r="8" spans="1:17">
      <c r="A8" s="40">
        <v>3</v>
      </c>
      <c r="B8" s="32">
        <v>80</v>
      </c>
      <c r="C8" s="32">
        <f>C7+B8</f>
        <v>280</v>
      </c>
      <c r="D8" s="13">
        <f t="shared" si="0"/>
        <v>4.666666666666667</v>
      </c>
      <c r="E8" s="115">
        <f>'Determination cell counts FP'!R7</f>
        <v>8.0363236301494343</v>
      </c>
      <c r="F8" s="115">
        <f>'Determination cell counts FP'!S7</f>
        <v>6.4767652881688828E-2</v>
      </c>
      <c r="H8" s="40">
        <v>3</v>
      </c>
      <c r="I8" s="32">
        <v>80</v>
      </c>
      <c r="J8" s="32">
        <f>J7+I8</f>
        <v>280</v>
      </c>
      <c r="K8" s="13">
        <f t="shared" si="1"/>
        <v>4.666666666666667</v>
      </c>
      <c r="L8" s="115">
        <f>'Determination cell counts BH'!R7</f>
        <v>8.3177677430544783</v>
      </c>
      <c r="M8" s="115">
        <f>'Determination cell counts BH'!S7</f>
        <v>8.2443444815228265E-2</v>
      </c>
      <c r="O8" s="31">
        <f t="shared" si="2"/>
        <v>316582029.50449538</v>
      </c>
      <c r="P8" s="127">
        <f t="shared" si="3"/>
        <v>8.500486258888504</v>
      </c>
      <c r="Q8" s="127">
        <f t="shared" si="4"/>
        <v>0.14721109769691709</v>
      </c>
    </row>
    <row r="9" spans="1:17">
      <c r="A9" s="40">
        <v>4</v>
      </c>
      <c r="B9" s="32">
        <v>80</v>
      </c>
      <c r="C9" s="32">
        <f t="shared" ref="C9:C19" si="5">C8+B9</f>
        <v>360</v>
      </c>
      <c r="D9" s="13">
        <f t="shared" si="0"/>
        <v>6</v>
      </c>
      <c r="E9" s="115">
        <f>'Determination cell counts FP'!R8</f>
        <v>8.3234301585098063</v>
      </c>
      <c r="F9" s="115">
        <f>'Determination cell counts FP'!S8</f>
        <v>8.7291471729132972E-2</v>
      </c>
      <c r="H9" s="40">
        <v>4</v>
      </c>
      <c r="I9" s="32">
        <v>80</v>
      </c>
      <c r="J9" s="32">
        <f t="shared" ref="J9:J19" si="6">J8+I9</f>
        <v>360</v>
      </c>
      <c r="K9" s="13">
        <f t="shared" si="1"/>
        <v>6</v>
      </c>
      <c r="L9" s="115">
        <f>'Determination cell counts BH'!R8</f>
        <v>8.6289247225384198</v>
      </c>
      <c r="M9" s="115">
        <f>'Determination cell counts BH'!S8</f>
        <v>7.1951655831011693E-2</v>
      </c>
      <c r="O9" s="31">
        <f t="shared" si="2"/>
        <v>636110970.91025627</v>
      </c>
      <c r="P9" s="127">
        <f t="shared" si="3"/>
        <v>8.8035328858527446</v>
      </c>
      <c r="Q9" s="127">
        <f t="shared" si="4"/>
        <v>0.15924312756014466</v>
      </c>
    </row>
    <row r="10" spans="1:17">
      <c r="A10" s="40">
        <v>5</v>
      </c>
      <c r="B10" s="32">
        <v>80</v>
      </c>
      <c r="C10" s="32">
        <f t="shared" si="5"/>
        <v>440</v>
      </c>
      <c r="D10" s="13">
        <f t="shared" si="0"/>
        <v>7.333333333333333</v>
      </c>
      <c r="E10" s="115">
        <f>'Determination cell counts FP'!R9</f>
        <v>8.6794497778107722</v>
      </c>
      <c r="F10" s="115">
        <f>'Determination cell counts FP'!S9</f>
        <v>0.11483205490952123</v>
      </c>
      <c r="H10" s="40">
        <v>5</v>
      </c>
      <c r="I10" s="32">
        <v>80</v>
      </c>
      <c r="J10" s="32">
        <f t="shared" si="6"/>
        <v>440</v>
      </c>
      <c r="K10" s="13">
        <f t="shared" si="1"/>
        <v>7.333333333333333</v>
      </c>
      <c r="L10" s="115">
        <f>'Determination cell counts BH'!R9</f>
        <v>8.7863856723667801</v>
      </c>
      <c r="M10" s="115">
        <f>'Determination cell counts BH'!S9</f>
        <v>0.1560696697987477</v>
      </c>
      <c r="O10" s="31">
        <f t="shared" si="2"/>
        <v>1089508892.7713282</v>
      </c>
      <c r="P10" s="127">
        <f t="shared" si="3"/>
        <v>9.0372307793879241</v>
      </c>
      <c r="Q10" s="127">
        <f t="shared" si="4"/>
        <v>0.2709017247082689</v>
      </c>
    </row>
    <row r="11" spans="1:17">
      <c r="A11" s="40">
        <v>6</v>
      </c>
      <c r="B11" s="32">
        <v>80</v>
      </c>
      <c r="C11" s="32">
        <f t="shared" si="5"/>
        <v>520</v>
      </c>
      <c r="D11" s="13">
        <f t="shared" si="0"/>
        <v>8.6666666666666661</v>
      </c>
      <c r="E11" s="115">
        <f>'Determination cell counts FP'!R10</f>
        <v>9.1071218110953964</v>
      </c>
      <c r="F11" s="115">
        <f>'Determination cell counts FP'!S10</f>
        <v>2.542343646134736E-2</v>
      </c>
      <c r="H11" s="40">
        <v>6</v>
      </c>
      <c r="I11" s="32">
        <v>80</v>
      </c>
      <c r="J11" s="32">
        <f t="shared" si="6"/>
        <v>520</v>
      </c>
      <c r="K11" s="13">
        <f t="shared" si="1"/>
        <v>8.6666666666666661</v>
      </c>
      <c r="L11" s="115">
        <f>'Determination cell counts BH'!R10</f>
        <v>9.1250534538635577</v>
      </c>
      <c r="M11" s="115">
        <f>'Determination cell counts BH'!S10</f>
        <v>8.858829853446161E-2</v>
      </c>
      <c r="O11" s="31">
        <f t="shared" si="2"/>
        <v>2613425770.7241349</v>
      </c>
      <c r="P11" s="127">
        <f t="shared" si="3"/>
        <v>9.4172101693188974</v>
      </c>
      <c r="Q11" s="127">
        <f t="shared" si="4"/>
        <v>0.11401173499580897</v>
      </c>
    </row>
    <row r="12" spans="1:17">
      <c r="A12" s="40">
        <v>7</v>
      </c>
      <c r="B12" s="32">
        <v>80</v>
      </c>
      <c r="C12" s="32">
        <f t="shared" si="5"/>
        <v>600</v>
      </c>
      <c r="D12" s="13">
        <f t="shared" si="0"/>
        <v>10</v>
      </c>
      <c r="E12" s="115">
        <f>'Determination cell counts FP'!R11</f>
        <v>9.3029404294962355</v>
      </c>
      <c r="F12" s="115">
        <f>'Determination cell counts FP'!S11</f>
        <v>3.8650992256091428E-2</v>
      </c>
      <c r="H12" s="40">
        <v>7</v>
      </c>
      <c r="I12" s="32">
        <v>80</v>
      </c>
      <c r="J12" s="32">
        <f t="shared" si="6"/>
        <v>600</v>
      </c>
      <c r="K12" s="13">
        <f t="shared" si="1"/>
        <v>10</v>
      </c>
      <c r="L12" s="115">
        <f>'Determination cell counts BH'!R11</f>
        <v>9.1309205615827427</v>
      </c>
      <c r="M12" s="115">
        <f>'Determination cell counts BH'!S11</f>
        <v>9.1706440087882465E-2</v>
      </c>
      <c r="O12" s="31">
        <f t="shared" si="2"/>
        <v>3360642525.1692505</v>
      </c>
      <c r="P12" s="127">
        <f t="shared" si="3"/>
        <v>9.5264223185976729</v>
      </c>
      <c r="Q12" s="127">
        <f t="shared" si="4"/>
        <v>0.1303574323439739</v>
      </c>
    </row>
    <row r="13" spans="1:17">
      <c r="A13" s="40">
        <v>8</v>
      </c>
      <c r="B13" s="32">
        <v>80</v>
      </c>
      <c r="C13" s="32">
        <f t="shared" si="5"/>
        <v>680</v>
      </c>
      <c r="D13" s="13">
        <f t="shared" si="0"/>
        <v>11.333333333333334</v>
      </c>
      <c r="E13" s="115">
        <f>'Determination cell counts FP'!R12</f>
        <v>9.4246603365725043</v>
      </c>
      <c r="F13" s="115">
        <f>'Determination cell counts FP'!S12</f>
        <v>4.390798980108284E-3</v>
      </c>
      <c r="H13" s="40">
        <v>8</v>
      </c>
      <c r="I13" s="32">
        <v>80</v>
      </c>
      <c r="J13" s="32">
        <f t="shared" si="6"/>
        <v>680</v>
      </c>
      <c r="K13" s="13">
        <f t="shared" si="1"/>
        <v>11.333333333333334</v>
      </c>
      <c r="L13" s="115">
        <f>'Determination cell counts BH'!R12</f>
        <v>9.2329836256090267</v>
      </c>
      <c r="M13" s="115">
        <f>'Determination cell counts BH'!S12</f>
        <v>5.5977885750664751E-2</v>
      </c>
      <c r="O13" s="31">
        <f t="shared" si="2"/>
        <v>4368595752.6517906</v>
      </c>
      <c r="P13" s="127">
        <f t="shared" si="3"/>
        <v>9.6403418591945265</v>
      </c>
      <c r="Q13" s="127">
        <f t="shared" si="4"/>
        <v>6.0368684730773031E-2</v>
      </c>
    </row>
    <row r="14" spans="1:17">
      <c r="A14" s="40">
        <v>9</v>
      </c>
      <c r="B14" s="32">
        <v>80</v>
      </c>
      <c r="C14" s="32">
        <f t="shared" si="5"/>
        <v>760</v>
      </c>
      <c r="D14" s="13">
        <f>C14/60</f>
        <v>12.666666666666666</v>
      </c>
      <c r="E14" s="115">
        <f>'Determination cell counts FP'!R13</f>
        <v>9.4037356596093638</v>
      </c>
      <c r="F14" s="115">
        <f>'Determination cell counts FP'!S13</f>
        <v>4.5516952550749452E-3</v>
      </c>
      <c r="H14" s="40">
        <v>9</v>
      </c>
      <c r="I14" s="32">
        <v>80</v>
      </c>
      <c r="J14" s="32">
        <f t="shared" si="6"/>
        <v>760</v>
      </c>
      <c r="K14" s="13">
        <f>J14/60</f>
        <v>12.666666666666666</v>
      </c>
      <c r="L14" s="115">
        <f>'Determination cell counts BH'!R13</f>
        <v>9.3141817853134636</v>
      </c>
      <c r="M14" s="115">
        <f>'Determination cell counts BH'!S13</f>
        <v>3.5030302596875118E-2</v>
      </c>
      <c r="O14" s="31">
        <f t="shared" si="2"/>
        <v>4595078677.1383104</v>
      </c>
      <c r="P14" s="127">
        <f t="shared" si="3"/>
        <v>9.6622929517949263</v>
      </c>
      <c r="Q14" s="127">
        <f t="shared" si="4"/>
        <v>3.958199785195006E-2</v>
      </c>
    </row>
    <row r="15" spans="1:17">
      <c r="A15" s="40">
        <v>10</v>
      </c>
      <c r="B15" s="32">
        <v>80</v>
      </c>
      <c r="C15" s="32">
        <f t="shared" si="5"/>
        <v>840</v>
      </c>
      <c r="D15" s="13">
        <f t="shared" si="0"/>
        <v>14</v>
      </c>
      <c r="E15" s="115">
        <f>'Determination cell counts FP'!R14</f>
        <v>9.3818429017120586</v>
      </c>
      <c r="F15" s="115">
        <f>'Determination cell counts FP'!S14</f>
        <v>4.4787488453017603E-2</v>
      </c>
      <c r="H15" s="40">
        <v>10</v>
      </c>
      <c r="I15" s="32">
        <v>80</v>
      </c>
      <c r="J15" s="32">
        <f t="shared" si="6"/>
        <v>840</v>
      </c>
      <c r="K15" s="13">
        <f t="shared" ref="K15:K19" si="7">J15/60</f>
        <v>14</v>
      </c>
      <c r="L15" s="115">
        <f>'Determination cell counts BH'!R14</f>
        <v>9.6264459129536935</v>
      </c>
      <c r="M15" s="115">
        <f>'Determination cell counts BH'!S14</f>
        <v>3.6206336299005708E-2</v>
      </c>
      <c r="O15" s="31">
        <f t="shared" si="2"/>
        <v>6640061977.9981403</v>
      </c>
      <c r="P15" s="127">
        <f t="shared" si="3"/>
        <v>9.822172133069369</v>
      </c>
      <c r="Q15" s="127">
        <f t="shared" si="4"/>
        <v>8.0993824752023311E-2</v>
      </c>
    </row>
    <row r="16" spans="1:17">
      <c r="A16" s="40">
        <v>11</v>
      </c>
      <c r="B16" s="32">
        <v>80</v>
      </c>
      <c r="C16" s="32">
        <f t="shared" si="5"/>
        <v>920</v>
      </c>
      <c r="D16" s="13">
        <f t="shared" si="0"/>
        <v>15.333333333333334</v>
      </c>
      <c r="E16" s="115">
        <f>'Determination cell counts FP'!R15</f>
        <v>9.4008322668371829</v>
      </c>
      <c r="F16" s="115">
        <f>'Determination cell counts FP'!S15</f>
        <v>3.5612500981434037E-2</v>
      </c>
      <c r="H16" s="40">
        <v>11</v>
      </c>
      <c r="I16" s="32">
        <v>80</v>
      </c>
      <c r="J16" s="32">
        <f t="shared" si="6"/>
        <v>920</v>
      </c>
      <c r="K16" s="13">
        <f t="shared" si="7"/>
        <v>15.333333333333334</v>
      </c>
      <c r="L16" s="115">
        <f>'Determination cell counts BH'!R15</f>
        <v>9.7807086879120497</v>
      </c>
      <c r="M16" s="115">
        <f>'Determination cell counts BH'!S15</f>
        <v>9.5728400752130599E-2</v>
      </c>
      <c r="O16" s="31">
        <f t="shared" si="2"/>
        <v>8552141279.290103</v>
      </c>
      <c r="P16" s="127">
        <f t="shared" si="3"/>
        <v>9.9320748666990024</v>
      </c>
      <c r="Q16" s="127">
        <f t="shared" si="4"/>
        <v>0.13134090173356464</v>
      </c>
    </row>
    <row r="17" spans="1:17">
      <c r="A17" s="40">
        <v>12</v>
      </c>
      <c r="B17" s="32">
        <v>80</v>
      </c>
      <c r="C17" s="32">
        <f t="shared" si="5"/>
        <v>1000</v>
      </c>
      <c r="D17" s="13">
        <f t="shared" si="0"/>
        <v>16.666666666666668</v>
      </c>
      <c r="E17" s="115">
        <f>'Determination cell counts FP'!R16</f>
        <v>9.4139494500375154</v>
      </c>
      <c r="F17" s="115">
        <f>'Determination cell counts FP'!S16</f>
        <v>2.7750282283683446E-2</v>
      </c>
      <c r="H17" s="40">
        <v>12</v>
      </c>
      <c r="I17" s="32">
        <v>80</v>
      </c>
      <c r="J17" s="32">
        <f t="shared" si="6"/>
        <v>1000</v>
      </c>
      <c r="K17" s="13">
        <f t="shared" si="7"/>
        <v>16.666666666666668</v>
      </c>
      <c r="L17" s="115">
        <f>'Determination cell counts BH'!R16</f>
        <v>9.7984002975600237</v>
      </c>
      <c r="M17" s="115">
        <f>'Determination cell counts BH'!S16</f>
        <v>8.6962797956314217E-2</v>
      </c>
      <c r="O17" s="31">
        <f t="shared" si="2"/>
        <v>8880252619.9381466</v>
      </c>
      <c r="P17" s="127">
        <f t="shared" si="3"/>
        <v>9.948425320495339</v>
      </c>
      <c r="Q17" s="127">
        <f t="shared" si="4"/>
        <v>0.11471308023999766</v>
      </c>
    </row>
    <row r="18" spans="1:17">
      <c r="A18" s="40">
        <v>13</v>
      </c>
      <c r="B18" s="32">
        <v>80</v>
      </c>
      <c r="C18" s="32">
        <f t="shared" si="5"/>
        <v>1080</v>
      </c>
      <c r="D18" s="13">
        <f t="shared" si="0"/>
        <v>18</v>
      </c>
      <c r="E18" s="115">
        <f>'Determination cell counts FP'!R17</f>
        <v>9.3925673871124484</v>
      </c>
      <c r="F18" s="115">
        <f>'Determination cell counts FP'!S17</f>
        <v>6.9991701100228149E-2</v>
      </c>
      <c r="H18" s="40">
        <v>13</v>
      </c>
      <c r="I18" s="32">
        <v>80</v>
      </c>
      <c r="J18" s="32">
        <f t="shared" si="6"/>
        <v>1080</v>
      </c>
      <c r="K18" s="13">
        <f t="shared" si="7"/>
        <v>18</v>
      </c>
      <c r="L18" s="115">
        <f>'Determination cell counts BH'!R17</f>
        <v>9.8422792864276119</v>
      </c>
      <c r="M18" s="115">
        <f>'Determination cell counts BH'!S17</f>
        <v>4.7854929142323095E-2</v>
      </c>
      <c r="O18" s="31">
        <f t="shared" si="2"/>
        <v>9423977398.3651371</v>
      </c>
      <c r="P18" s="127">
        <f t="shared" si="3"/>
        <v>9.9742342358707567</v>
      </c>
      <c r="Q18" s="127">
        <f t="shared" si="4"/>
        <v>0.11784663024255124</v>
      </c>
    </row>
    <row r="19" spans="1:17">
      <c r="A19" s="40">
        <v>14</v>
      </c>
      <c r="B19" s="32">
        <v>360</v>
      </c>
      <c r="C19" s="32">
        <f t="shared" si="5"/>
        <v>1440</v>
      </c>
      <c r="D19" s="13">
        <f t="shared" si="0"/>
        <v>24</v>
      </c>
      <c r="E19" s="115">
        <f>'Determination cell counts FP'!R18</f>
        <v>9.4127200187163176</v>
      </c>
      <c r="F19" s="115">
        <f>'Determination cell counts FP'!S18</f>
        <v>9.0425959702635103E-2</v>
      </c>
      <c r="H19" s="40">
        <v>14</v>
      </c>
      <c r="I19" s="32">
        <v>360</v>
      </c>
      <c r="J19" s="32">
        <f t="shared" si="6"/>
        <v>1440</v>
      </c>
      <c r="K19" s="13">
        <f t="shared" si="7"/>
        <v>24</v>
      </c>
      <c r="L19" s="115">
        <f>'Determination cell counts BH'!R18</f>
        <v>10.009838095592677</v>
      </c>
      <c r="M19" s="115">
        <f>'Determination cell counts BH'!S18</f>
        <v>2.7157199500961866E-2</v>
      </c>
      <c r="O19" s="31">
        <f t="shared" si="2"/>
        <v>12815660692.978645</v>
      </c>
      <c r="P19" s="127">
        <f t="shared" si="3"/>
        <v>10.107741000525605</v>
      </c>
      <c r="Q19" s="127">
        <f t="shared" si="4"/>
        <v>0.11758315920359697</v>
      </c>
    </row>
    <row r="20" spans="1:17">
      <c r="A20" s="40">
        <v>15</v>
      </c>
      <c r="B20" s="32">
        <v>375</v>
      </c>
      <c r="C20" s="32">
        <f>C19+B20</f>
        <v>1815</v>
      </c>
      <c r="D20" s="13">
        <f>C20/60</f>
        <v>30.25</v>
      </c>
      <c r="E20" s="115">
        <f>'Determination cell counts FP'!R19</f>
        <v>9.2631848344224892</v>
      </c>
      <c r="F20" s="115">
        <f>'Determination cell counts FP'!S19</f>
        <v>4.6982561080620412E-2</v>
      </c>
      <c r="H20" s="40">
        <v>15</v>
      </c>
      <c r="I20" s="32">
        <v>375</v>
      </c>
      <c r="J20" s="32">
        <f>J19+I20</f>
        <v>1815</v>
      </c>
      <c r="K20" s="13">
        <f>J20/60</f>
        <v>30.25</v>
      </c>
      <c r="L20" s="115">
        <f>'Determination cell counts BH'!R19</f>
        <v>9.9072694443633207</v>
      </c>
      <c r="M20" s="115">
        <f>'Determination cell counts BH'!S19</f>
        <v>2.6105289847130116E-2</v>
      </c>
      <c r="O20" s="31">
        <f t="shared" si="2"/>
        <v>9910454508.3138332</v>
      </c>
      <c r="P20" s="127">
        <f t="shared" si="3"/>
        <v>9.9960935723385855</v>
      </c>
      <c r="Q20" s="127">
        <f t="shared" si="4"/>
        <v>7.3087850927750525E-2</v>
      </c>
    </row>
    <row r="21" spans="1:17">
      <c r="A21" s="40">
        <v>16</v>
      </c>
      <c r="B21" s="32">
        <v>1065</v>
      </c>
      <c r="C21" s="32">
        <f>C20+B21</f>
        <v>2880</v>
      </c>
      <c r="D21" s="13">
        <f t="shared" ref="D21" si="8">C21/60</f>
        <v>48</v>
      </c>
      <c r="E21" s="115">
        <f>'Determination cell counts FP'!R20</f>
        <v>9.1102801623430736</v>
      </c>
      <c r="F21" s="115">
        <f>'Determination cell counts FP'!S20</f>
        <v>7.3844742421928414E-2</v>
      </c>
      <c r="H21" s="40">
        <v>16</v>
      </c>
      <c r="I21" s="32">
        <v>1065</v>
      </c>
      <c r="J21" s="32">
        <f>J20+I21</f>
        <v>2880</v>
      </c>
      <c r="K21" s="13">
        <f t="shared" ref="K21" si="9">J21/60</f>
        <v>48</v>
      </c>
      <c r="L21" s="115">
        <f>'Determination cell counts BH'!R20</f>
        <v>9.5948325090726261</v>
      </c>
      <c r="M21" s="115">
        <f>'Determination cell counts BH'!S20</f>
        <v>6.4180729913603712E-2</v>
      </c>
      <c r="O21" s="31">
        <f t="shared" si="2"/>
        <v>5223064140.2016954</v>
      </c>
      <c r="P21" s="127">
        <f t="shared" si="3"/>
        <v>9.717925359086971</v>
      </c>
      <c r="Q21" s="127">
        <f t="shared" si="4"/>
        <v>0.13802547233553214</v>
      </c>
    </row>
  </sheetData>
  <mergeCells count="15">
    <mergeCell ref="O3:O4"/>
    <mergeCell ref="P3:P4"/>
    <mergeCell ref="Q3:Q4"/>
    <mergeCell ref="H3:H4"/>
    <mergeCell ref="I3:I4"/>
    <mergeCell ref="J3:J4"/>
    <mergeCell ref="K3:K4"/>
    <mergeCell ref="L3:L4"/>
    <mergeCell ref="M3:M4"/>
    <mergeCell ref="F3:F4"/>
    <mergeCell ref="A3:A4"/>
    <mergeCell ref="B3:B4"/>
    <mergeCell ref="C3:C4"/>
    <mergeCell ref="D3:D4"/>
    <mergeCell ref="E3:E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Fermentation</vt:lpstr>
      <vt:lpstr>Calculation</vt:lpstr>
      <vt:lpstr>Plate Count</vt:lpstr>
      <vt:lpstr>Flow cytometer</vt:lpstr>
      <vt:lpstr>Calibration F. prausnitzii</vt:lpstr>
      <vt:lpstr>Determination cell counts FP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2016-04-13T15:50:40Z</dcterms:modified>
</cp:coreProperties>
</file>